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C:\Users\Dina\Dropbox\Fizika 1 i 2 2019_2020\"/>
    </mc:Choice>
  </mc:AlternateContent>
  <xr:revisionPtr revIDLastSave="0" documentId="13_ncr:1_{87CC8A81-425D-49EE-8148-BE3208342946}" xr6:coauthVersionLast="45" xr6:coauthVersionMax="45" xr10:uidLastSave="{00000000-0000-0000-0000-000000000000}"/>
  <bookViews>
    <workbookView xWindow="-120" yWindow="-120" windowWidth="29040" windowHeight="15840" tabRatio="793" activeTab="9" xr2:uid="{00000000-000D-0000-FFFF-FFFF00000000}"/>
  </bookViews>
  <sheets>
    <sheet name="PE1" sheetId="18" r:id="rId1"/>
    <sheet name="PE2" sheetId="68" r:id="rId2"/>
    <sheet name="PE3" sheetId="70" r:id="rId3"/>
    <sheet name="PE4" sheetId="111" r:id="rId4"/>
    <sheet name="PE5" sheetId="72" r:id="rId5"/>
    <sheet name="PE6" sheetId="74" r:id="rId6"/>
    <sheet name="PE7" sheetId="76" r:id="rId7"/>
    <sheet name="PE8" sheetId="80" r:id="rId8"/>
    <sheet name="PE9" sheetId="119" r:id="rId9"/>
    <sheet name="Novi" sheetId="121" r:id="rId10"/>
    <sheet name="DV-IDENTITY-0" sheetId="9" state="veryHidden" r:id="rId11"/>
  </sheets>
  <definedNames>
    <definedName name="_xlnm._FilterDatabase" localSheetId="9" hidden="1">#REF!</definedName>
    <definedName name="_xlnm._FilterDatabase" localSheetId="8" hidden="1">#REF!</definedName>
    <definedName name="_xlnm._FilterDatabase" hidden="1">#REF!</definedName>
    <definedName name="ETFSVE" localSheetId="9">#REF!</definedName>
    <definedName name="ETFSVE" localSheetId="8">#REF!</definedName>
    <definedName name="ETFSVE">#REF!</definedName>
    <definedName name="ETFtab2013" localSheetId="9">#REF!</definedName>
    <definedName name="ETFtab2013" localSheetId="8">#REF!</definedName>
    <definedName name="ETFtab2013">#REF!</definedName>
    <definedName name="_xlnm.Print_Area" localSheetId="9">Novi!$A$1:$AD$26</definedName>
    <definedName name="_xlnm.Print_Area" localSheetId="0">'PE1'!$A$1:$AD$25</definedName>
    <definedName name="_xlnm.Print_Area" localSheetId="1">'PE2'!$A$1:$AD$28</definedName>
    <definedName name="_xlnm.Print_Area" localSheetId="2">'PE3'!$A$1:$AD$27</definedName>
    <definedName name="_xlnm.Print_Area" localSheetId="3">'PE4'!$A$1:$AD$25</definedName>
    <definedName name="_xlnm.Print_Area" localSheetId="4">'PE5'!$A$1:$AD$27</definedName>
    <definedName name="_xlnm.Print_Area" localSheetId="5">'PE6'!$A$1:$AD$25</definedName>
    <definedName name="_xlnm.Print_Area" localSheetId="6">'PE7'!$A$1:$AD$24</definedName>
    <definedName name="_xlnm.Print_Area" localSheetId="7">'PE8'!$A$1:$AD$25</definedName>
    <definedName name="_xlnm.Print_Area" localSheetId="8">'PE9'!$A$1:$AD$26</definedName>
  </definedNames>
  <calcPr calcId="191029" iterateDelta="1E-4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11" i="121" l="1"/>
  <c r="AC10" i="121"/>
  <c r="AC11" i="119"/>
  <c r="AC12" i="119"/>
  <c r="AC13" i="119"/>
  <c r="AC14" i="119"/>
  <c r="AC15" i="119"/>
  <c r="AC16" i="119"/>
  <c r="AC17" i="119"/>
  <c r="AC19" i="119"/>
  <c r="AC22" i="119"/>
  <c r="AC23" i="119"/>
  <c r="AC24" i="119"/>
  <c r="AC25" i="119"/>
  <c r="AC10" i="119"/>
  <c r="AC11" i="80"/>
  <c r="AC12" i="80"/>
  <c r="AC13" i="80"/>
  <c r="AC14" i="80"/>
  <c r="AC15" i="80"/>
  <c r="AC16" i="80"/>
  <c r="AC17" i="80"/>
  <c r="AC18" i="80"/>
  <c r="AC19" i="80"/>
  <c r="AC20" i="80"/>
  <c r="AC21" i="80"/>
  <c r="AC22" i="80"/>
  <c r="AC23" i="80"/>
  <c r="AC24" i="80"/>
  <c r="AC10" i="80"/>
  <c r="AC11" i="76"/>
  <c r="AC12" i="76"/>
  <c r="AC13" i="76"/>
  <c r="AC14" i="76"/>
  <c r="AC15" i="76"/>
  <c r="AC16" i="76"/>
  <c r="AC17" i="76"/>
  <c r="AC18" i="76"/>
  <c r="AC20" i="76"/>
  <c r="AC21" i="76"/>
  <c r="AC22" i="76"/>
  <c r="AC23" i="76"/>
  <c r="AC10" i="76"/>
  <c r="AC25" i="74"/>
  <c r="AC12" i="74"/>
  <c r="AC13" i="74"/>
  <c r="AC14" i="74"/>
  <c r="AC16" i="74"/>
  <c r="AC17" i="74"/>
  <c r="AC18" i="74"/>
  <c r="AC19" i="74"/>
  <c r="AC20" i="74"/>
  <c r="AC21" i="74"/>
  <c r="AC22" i="74"/>
  <c r="AC23" i="74"/>
  <c r="AC24" i="74"/>
  <c r="AC11" i="74"/>
  <c r="AC11" i="72"/>
  <c r="AC12" i="72"/>
  <c r="AC13" i="72"/>
  <c r="AC14" i="72"/>
  <c r="AC16" i="72"/>
  <c r="AC17" i="72"/>
  <c r="AC18" i="72"/>
  <c r="AC19" i="72"/>
  <c r="AC20" i="72"/>
  <c r="AC21" i="72"/>
  <c r="AC23" i="72"/>
  <c r="AC24" i="72"/>
  <c r="AC25" i="72"/>
  <c r="AC10" i="72"/>
  <c r="AC11" i="111"/>
  <c r="AC12" i="111"/>
  <c r="AC13" i="111"/>
  <c r="AC14" i="111"/>
  <c r="AC16" i="111"/>
  <c r="AC17" i="111"/>
  <c r="AC18" i="111"/>
  <c r="AC19" i="111"/>
  <c r="AC20" i="111"/>
  <c r="AC21" i="111"/>
  <c r="AC22" i="111"/>
  <c r="AC23" i="111"/>
  <c r="AC24" i="111"/>
  <c r="AC25" i="111"/>
  <c r="AC10" i="111"/>
  <c r="AC11" i="70"/>
  <c r="AC12" i="70"/>
  <c r="AC13" i="70"/>
  <c r="AC15" i="70"/>
  <c r="AC16" i="70"/>
  <c r="AC19" i="70"/>
  <c r="AC20" i="70"/>
  <c r="AC21" i="70"/>
  <c r="AC22" i="70"/>
  <c r="AC23" i="70"/>
  <c r="AC25" i="70"/>
  <c r="AC10" i="70"/>
  <c r="AC11" i="68"/>
  <c r="AC12" i="68"/>
  <c r="AC13" i="68"/>
  <c r="AC14" i="68"/>
  <c r="AC15" i="68"/>
  <c r="AC16" i="68"/>
  <c r="AC17" i="68"/>
  <c r="AC18" i="68"/>
  <c r="AC19" i="68"/>
  <c r="AC20" i="68"/>
  <c r="AC21" i="68"/>
  <c r="AC23" i="68"/>
  <c r="AC24" i="68"/>
  <c r="AC25" i="68"/>
  <c r="AC10" i="68"/>
  <c r="AC11" i="18"/>
  <c r="AC13" i="18"/>
  <c r="AC14" i="18"/>
  <c r="AC15" i="18"/>
  <c r="AC16" i="18"/>
  <c r="AC17" i="18"/>
  <c r="AC18" i="18"/>
  <c r="AC19" i="18"/>
  <c r="AC21" i="18"/>
  <c r="AC22" i="18"/>
  <c r="AC23" i="18"/>
  <c r="AC24" i="18"/>
  <c r="AC10" i="18"/>
  <c r="Y2" i="121" l="1"/>
  <c r="U2" i="121" s="1"/>
  <c r="Y2" i="18" l="1"/>
  <c r="Y2" i="119" l="1"/>
  <c r="U2" i="119" s="1"/>
  <c r="Y2" i="111"/>
  <c r="U2" i="111" s="1"/>
  <c r="Y2" i="80"/>
  <c r="U2" i="80" s="1"/>
  <c r="Y2" i="76"/>
  <c r="U2" i="76" s="1"/>
  <c r="Y2" i="74"/>
  <c r="U2" i="74" s="1"/>
  <c r="Y2" i="72"/>
  <c r="U2" i="72" s="1"/>
  <c r="Y2" i="70"/>
  <c r="U2" i="70" s="1"/>
  <c r="A27" i="70" s="1"/>
  <c r="B27" i="70" s="1"/>
  <c r="Y2" i="68"/>
  <c r="U2" i="68" s="1"/>
  <c r="A209" i="9"/>
  <c r="B209" i="9"/>
  <c r="C209" i="9"/>
  <c r="D209" i="9"/>
  <c r="E209" i="9"/>
  <c r="F209" i="9"/>
  <c r="G209" i="9"/>
  <c r="H209" i="9"/>
  <c r="I209" i="9"/>
  <c r="J209" i="9"/>
  <c r="K209" i="9"/>
  <c r="L209" i="9"/>
  <c r="M209" i="9"/>
  <c r="N209" i="9"/>
  <c r="O209" i="9"/>
  <c r="P209" i="9"/>
  <c r="Q209" i="9"/>
  <c r="R209" i="9"/>
  <c r="S209" i="9"/>
  <c r="T209" i="9"/>
  <c r="U209" i="9"/>
  <c r="V209" i="9"/>
  <c r="W209" i="9"/>
  <c r="X209" i="9"/>
  <c r="Y209" i="9"/>
  <c r="Z209" i="9"/>
  <c r="AA209" i="9"/>
  <c r="AB209" i="9"/>
  <c r="AC209" i="9"/>
  <c r="AD209" i="9"/>
  <c r="A208" i="9"/>
  <c r="B208" i="9"/>
  <c r="C208" i="9"/>
  <c r="D208" i="9"/>
  <c r="E208" i="9"/>
  <c r="F208" i="9"/>
  <c r="G208" i="9"/>
  <c r="H208" i="9"/>
  <c r="I208" i="9"/>
  <c r="J208" i="9"/>
  <c r="K208" i="9"/>
  <c r="L208" i="9"/>
  <c r="M208" i="9"/>
  <c r="N208" i="9"/>
  <c r="O208" i="9"/>
  <c r="P208" i="9"/>
  <c r="Q208" i="9"/>
  <c r="R208" i="9"/>
  <c r="S208" i="9"/>
  <c r="T208" i="9"/>
  <c r="U208" i="9"/>
  <c r="V208" i="9"/>
  <c r="W208" i="9"/>
  <c r="X208" i="9"/>
  <c r="Y208" i="9"/>
  <c r="Z208" i="9"/>
  <c r="AA208" i="9"/>
  <c r="AB208" i="9"/>
  <c r="AC208" i="9"/>
  <c r="AD208" i="9"/>
  <c r="A207" i="9"/>
  <c r="B207" i="9"/>
  <c r="C207" i="9"/>
  <c r="D207" i="9"/>
  <c r="E207" i="9"/>
  <c r="F207" i="9"/>
  <c r="G207" i="9"/>
  <c r="H207" i="9"/>
  <c r="I207" i="9"/>
  <c r="J207" i="9"/>
  <c r="K207" i="9"/>
  <c r="L207" i="9"/>
  <c r="M207" i="9"/>
  <c r="N207" i="9"/>
  <c r="O207" i="9"/>
  <c r="P207" i="9"/>
  <c r="Q207" i="9"/>
  <c r="R207" i="9"/>
  <c r="S207" i="9"/>
  <c r="T207" i="9"/>
  <c r="U207" i="9"/>
  <c r="V207" i="9"/>
  <c r="W207" i="9"/>
  <c r="X207" i="9"/>
  <c r="Y207" i="9"/>
  <c r="Z207" i="9"/>
  <c r="AA207" i="9"/>
  <c r="AB207" i="9"/>
  <c r="AC207" i="9"/>
  <c r="AD207" i="9"/>
  <c r="AE207" i="9"/>
  <c r="AF207" i="9"/>
  <c r="AG207" i="9"/>
  <c r="AH207" i="9"/>
  <c r="AI207" i="9"/>
  <c r="AJ207" i="9"/>
  <c r="AK207" i="9"/>
  <c r="AL207" i="9"/>
  <c r="AM207" i="9"/>
  <c r="AN207" i="9"/>
  <c r="AO207" i="9"/>
  <c r="AP207" i="9"/>
  <c r="AQ207" i="9"/>
  <c r="AR207" i="9"/>
  <c r="AS207" i="9"/>
  <c r="AT207" i="9"/>
  <c r="AU207" i="9"/>
  <c r="AV207" i="9"/>
  <c r="AW207" i="9"/>
  <c r="AX207" i="9"/>
  <c r="AY207" i="9"/>
  <c r="AZ207" i="9"/>
  <c r="BA207" i="9"/>
  <c r="BB207" i="9"/>
  <c r="BC207" i="9"/>
  <c r="BD207" i="9"/>
  <c r="BE207" i="9"/>
  <c r="BF207" i="9"/>
  <c r="BG207" i="9"/>
  <c r="BH207" i="9"/>
  <c r="BI207" i="9"/>
  <c r="BJ207" i="9"/>
  <c r="BK207" i="9"/>
  <c r="BL207" i="9"/>
  <c r="BM207" i="9"/>
  <c r="BN207" i="9"/>
  <c r="BO207" i="9"/>
  <c r="BP207" i="9"/>
  <c r="BQ207" i="9"/>
  <c r="BR207" i="9"/>
  <c r="BS207" i="9"/>
  <c r="BT207" i="9"/>
  <c r="BU207" i="9"/>
  <c r="BV207" i="9"/>
  <c r="BW207" i="9"/>
  <c r="BX207" i="9"/>
  <c r="BY207" i="9"/>
  <c r="BZ207" i="9"/>
  <c r="CA207" i="9"/>
  <c r="CB207" i="9"/>
  <c r="CC207" i="9"/>
  <c r="CD207" i="9"/>
  <c r="CE207" i="9"/>
  <c r="CF207" i="9"/>
  <c r="CG207" i="9"/>
  <c r="CH207" i="9"/>
  <c r="CI207" i="9"/>
  <c r="CJ207" i="9"/>
  <c r="CK207" i="9"/>
  <c r="CL207" i="9"/>
  <c r="CM207" i="9"/>
  <c r="CN207" i="9"/>
  <c r="CO207" i="9"/>
  <c r="CP207" i="9"/>
  <c r="CQ207" i="9"/>
  <c r="CR207" i="9"/>
  <c r="CS207" i="9"/>
  <c r="CT207" i="9"/>
  <c r="CU207" i="9"/>
  <c r="CV207" i="9"/>
  <c r="CW207" i="9"/>
  <c r="CX207" i="9"/>
  <c r="CY207" i="9"/>
  <c r="CZ207" i="9"/>
  <c r="DA207" i="9"/>
  <c r="DB207" i="9"/>
  <c r="DC207" i="9"/>
  <c r="DD207" i="9"/>
  <c r="DE207" i="9"/>
  <c r="DF207" i="9"/>
  <c r="DG207" i="9"/>
  <c r="DH207" i="9"/>
  <c r="DI207" i="9"/>
  <c r="DJ207" i="9"/>
  <c r="DK207" i="9"/>
  <c r="DL207" i="9"/>
  <c r="DM207" i="9"/>
  <c r="DN207" i="9"/>
  <c r="DO207" i="9"/>
  <c r="DP207" i="9"/>
  <c r="DQ207" i="9"/>
  <c r="DR207" i="9"/>
  <c r="DS207" i="9"/>
  <c r="DT207" i="9"/>
  <c r="DU207" i="9"/>
  <c r="DV207" i="9"/>
  <c r="DW207" i="9"/>
  <c r="DX207" i="9"/>
  <c r="DY207" i="9"/>
  <c r="DZ207" i="9"/>
  <c r="EA207" i="9"/>
  <c r="EB207" i="9"/>
  <c r="EC207" i="9"/>
  <c r="EF207" i="9"/>
  <c r="EG207" i="9"/>
  <c r="EH207" i="9"/>
  <c r="EI207" i="9"/>
  <c r="EJ207" i="9"/>
  <c r="EK207" i="9"/>
  <c r="EL207" i="9"/>
  <c r="EM207" i="9"/>
  <c r="EN207" i="9"/>
  <c r="EO207" i="9"/>
  <c r="EP207" i="9"/>
  <c r="EQ207" i="9"/>
  <c r="ER207" i="9"/>
  <c r="ES207" i="9"/>
  <c r="ET207" i="9"/>
  <c r="EU207" i="9"/>
  <c r="EV207" i="9"/>
  <c r="EW207" i="9"/>
  <c r="EX207" i="9"/>
  <c r="EY207" i="9"/>
  <c r="EZ207" i="9"/>
  <c r="FA207" i="9"/>
  <c r="FB207" i="9"/>
  <c r="FC207" i="9"/>
  <c r="FD207" i="9"/>
  <c r="FE207" i="9"/>
  <c r="FF207" i="9"/>
  <c r="FG207" i="9"/>
  <c r="FH207" i="9"/>
  <c r="FI207" i="9"/>
  <c r="FJ207" i="9"/>
  <c r="FK207" i="9"/>
  <c r="FL207" i="9"/>
  <c r="FM207" i="9"/>
  <c r="FN207" i="9"/>
  <c r="FO207" i="9"/>
  <c r="A206" i="9"/>
  <c r="B206" i="9"/>
  <c r="C206" i="9"/>
  <c r="D206" i="9"/>
  <c r="E206" i="9"/>
  <c r="F206" i="9"/>
  <c r="G206" i="9"/>
  <c r="H206" i="9"/>
  <c r="I206" i="9"/>
  <c r="J206" i="9"/>
  <c r="K206" i="9"/>
  <c r="L206" i="9"/>
  <c r="M206" i="9"/>
  <c r="N206" i="9"/>
  <c r="O206" i="9"/>
  <c r="P206" i="9"/>
  <c r="Q206" i="9"/>
  <c r="R206" i="9"/>
  <c r="S206" i="9"/>
  <c r="T206" i="9"/>
  <c r="U206" i="9"/>
  <c r="V206" i="9"/>
  <c r="W206" i="9"/>
  <c r="X206" i="9"/>
  <c r="Y206" i="9"/>
  <c r="Z206" i="9"/>
  <c r="AA206" i="9"/>
  <c r="AB206" i="9"/>
  <c r="AC206" i="9"/>
  <c r="AD206" i="9"/>
  <c r="AE206" i="9"/>
  <c r="AF206" i="9"/>
  <c r="AG206" i="9"/>
  <c r="AH206" i="9"/>
  <c r="AI206" i="9"/>
  <c r="AJ206" i="9"/>
  <c r="AK206" i="9"/>
  <c r="AL206" i="9"/>
  <c r="AM206" i="9"/>
  <c r="AN206" i="9"/>
  <c r="AO206" i="9"/>
  <c r="AP206" i="9"/>
  <c r="AQ206" i="9"/>
  <c r="AR206" i="9"/>
  <c r="AS206" i="9"/>
  <c r="AT206" i="9"/>
  <c r="AU206" i="9"/>
  <c r="AV206" i="9"/>
  <c r="AW206" i="9"/>
  <c r="AX206" i="9"/>
  <c r="AY206" i="9"/>
  <c r="AZ206" i="9"/>
  <c r="BA206" i="9"/>
  <c r="BB206" i="9"/>
  <c r="BC206" i="9"/>
  <c r="BD206" i="9"/>
  <c r="BE206" i="9"/>
  <c r="BF206" i="9"/>
  <c r="BG206" i="9"/>
  <c r="BH206" i="9"/>
  <c r="BI206" i="9"/>
  <c r="BJ206" i="9"/>
  <c r="BK206" i="9"/>
  <c r="BL206" i="9"/>
  <c r="BM206" i="9"/>
  <c r="BN206" i="9"/>
  <c r="BO206" i="9"/>
  <c r="BP206" i="9"/>
  <c r="BQ206" i="9"/>
  <c r="BR206" i="9"/>
  <c r="BS206" i="9"/>
  <c r="BT206" i="9"/>
  <c r="BU206" i="9"/>
  <c r="BV206" i="9"/>
  <c r="BW206" i="9"/>
  <c r="BX206" i="9"/>
  <c r="BY206" i="9"/>
  <c r="BZ206" i="9"/>
  <c r="CA206" i="9"/>
  <c r="CB206" i="9"/>
  <c r="CC206" i="9"/>
  <c r="CD206" i="9"/>
  <c r="CE206" i="9"/>
  <c r="CF206" i="9"/>
  <c r="CG206" i="9"/>
  <c r="CH206" i="9"/>
  <c r="CI206" i="9"/>
  <c r="CJ206" i="9"/>
  <c r="CK206" i="9"/>
  <c r="CL206" i="9"/>
  <c r="CM206" i="9"/>
  <c r="CN206" i="9"/>
  <c r="CO206" i="9"/>
  <c r="CP206" i="9"/>
  <c r="CQ206" i="9"/>
  <c r="CR206" i="9"/>
  <c r="CS206" i="9"/>
  <c r="CT206" i="9"/>
  <c r="CU206" i="9"/>
  <c r="CV206" i="9"/>
  <c r="CW206" i="9"/>
  <c r="CX206" i="9"/>
  <c r="CY206" i="9"/>
  <c r="CZ206" i="9"/>
  <c r="DA206" i="9"/>
  <c r="DB206" i="9"/>
  <c r="DC206" i="9"/>
  <c r="DD206" i="9"/>
  <c r="DE206" i="9"/>
  <c r="DF206" i="9"/>
  <c r="DG206" i="9"/>
  <c r="DH206" i="9"/>
  <c r="DI206" i="9"/>
  <c r="DJ206" i="9"/>
  <c r="DK206" i="9"/>
  <c r="DL206" i="9"/>
  <c r="DM206" i="9"/>
  <c r="DN206" i="9"/>
  <c r="DO206" i="9"/>
  <c r="DP206" i="9"/>
  <c r="DQ206" i="9"/>
  <c r="DR206" i="9"/>
  <c r="DS206" i="9"/>
  <c r="DT206" i="9"/>
  <c r="DU206" i="9"/>
  <c r="DV206" i="9"/>
  <c r="DW206" i="9"/>
  <c r="DX206" i="9"/>
  <c r="DY206" i="9"/>
  <c r="DZ206" i="9"/>
  <c r="EA206" i="9"/>
  <c r="EB206" i="9"/>
  <c r="EC206" i="9"/>
  <c r="ED206" i="9"/>
  <c r="EE206" i="9"/>
  <c r="EF206" i="9"/>
  <c r="EG206" i="9"/>
  <c r="EH206" i="9"/>
  <c r="EI206" i="9"/>
  <c r="EJ206" i="9"/>
  <c r="EK206" i="9"/>
  <c r="EL206" i="9"/>
  <c r="EM206" i="9"/>
  <c r="EN206" i="9"/>
  <c r="EO206" i="9"/>
  <c r="EP206" i="9"/>
  <c r="EQ206" i="9"/>
  <c r="ER206" i="9"/>
  <c r="ES206" i="9"/>
  <c r="ET206" i="9"/>
  <c r="EU206" i="9"/>
  <c r="EV206" i="9"/>
  <c r="EW206" i="9"/>
  <c r="EX206" i="9"/>
  <c r="EY206" i="9"/>
  <c r="EZ206" i="9"/>
  <c r="FA206" i="9"/>
  <c r="FB206" i="9"/>
  <c r="FC206" i="9"/>
  <c r="FD206" i="9"/>
  <c r="FE206" i="9"/>
  <c r="FF206" i="9"/>
  <c r="FG206" i="9"/>
  <c r="FH206" i="9"/>
  <c r="FI206" i="9"/>
  <c r="FJ206" i="9"/>
  <c r="FK206" i="9"/>
  <c r="FL206" i="9"/>
  <c r="FM206" i="9"/>
  <c r="FN206" i="9"/>
  <c r="FO206" i="9"/>
  <c r="FP206" i="9"/>
  <c r="FQ206" i="9"/>
  <c r="FR206" i="9"/>
  <c r="FS206" i="9"/>
  <c r="FT206" i="9"/>
  <c r="FU206" i="9"/>
  <c r="FV206" i="9"/>
  <c r="FW206" i="9"/>
  <c r="FX206" i="9"/>
  <c r="FY206" i="9"/>
  <c r="FZ206" i="9"/>
  <c r="GA206" i="9"/>
  <c r="GB206" i="9"/>
  <c r="GC206" i="9"/>
  <c r="GD206" i="9"/>
  <c r="GE206" i="9"/>
  <c r="GF206" i="9"/>
  <c r="GG206" i="9"/>
  <c r="GH206" i="9"/>
  <c r="GI206" i="9"/>
  <c r="GJ206" i="9"/>
  <c r="GK206" i="9"/>
  <c r="GL206" i="9"/>
  <c r="GM206" i="9"/>
  <c r="GN206" i="9"/>
  <c r="GO206" i="9"/>
  <c r="GP206" i="9"/>
  <c r="GQ206" i="9"/>
  <c r="GR206" i="9"/>
  <c r="GS206" i="9"/>
  <c r="GT206" i="9"/>
  <c r="GU206" i="9"/>
  <c r="GV206" i="9"/>
  <c r="GW206" i="9"/>
  <c r="GX206" i="9"/>
  <c r="GY206" i="9"/>
  <c r="GZ206" i="9"/>
  <c r="HA206" i="9"/>
  <c r="HB206" i="9"/>
  <c r="HC206" i="9"/>
  <c r="HD206" i="9"/>
  <c r="HE206" i="9"/>
  <c r="HF206" i="9"/>
  <c r="HG206" i="9"/>
  <c r="HH206" i="9"/>
  <c r="HI206" i="9"/>
  <c r="HJ206" i="9"/>
  <c r="HK206" i="9"/>
  <c r="HL206" i="9"/>
  <c r="HM206" i="9"/>
  <c r="HN206" i="9"/>
  <c r="HO206" i="9"/>
  <c r="HP206" i="9"/>
  <c r="HQ206" i="9"/>
  <c r="HR206" i="9"/>
  <c r="HS206" i="9"/>
  <c r="HT206" i="9"/>
  <c r="HU206" i="9"/>
  <c r="HV206" i="9"/>
  <c r="HW206" i="9"/>
  <c r="HX206" i="9"/>
  <c r="HY206" i="9"/>
  <c r="HZ206" i="9"/>
  <c r="IA206" i="9"/>
  <c r="IB206" i="9"/>
  <c r="IC206" i="9"/>
  <c r="ID206" i="9"/>
  <c r="IE206" i="9"/>
  <c r="IF206" i="9"/>
  <c r="IG206" i="9"/>
  <c r="IH206" i="9"/>
  <c r="II206" i="9"/>
  <c r="IJ206" i="9"/>
  <c r="IK206" i="9"/>
  <c r="IL206" i="9"/>
  <c r="IM206" i="9"/>
  <c r="IN206" i="9"/>
  <c r="IO206" i="9"/>
  <c r="IP206" i="9"/>
  <c r="IQ206" i="9"/>
  <c r="IR206" i="9"/>
  <c r="IS206" i="9"/>
  <c r="IT206" i="9"/>
  <c r="IU206" i="9"/>
  <c r="IV206" i="9"/>
  <c r="A205" i="9"/>
  <c r="B205" i="9"/>
  <c r="C205" i="9"/>
  <c r="D205" i="9"/>
  <c r="E205" i="9"/>
  <c r="G205" i="9"/>
  <c r="H205" i="9"/>
  <c r="I205" i="9"/>
  <c r="J205" i="9"/>
  <c r="K205" i="9"/>
  <c r="L205" i="9"/>
  <c r="M205" i="9"/>
  <c r="N205" i="9"/>
  <c r="O205" i="9"/>
  <c r="P205" i="9"/>
  <c r="Q205" i="9"/>
  <c r="R205" i="9"/>
  <c r="S205" i="9"/>
  <c r="T205" i="9"/>
  <c r="U205" i="9"/>
  <c r="V205" i="9"/>
  <c r="W205" i="9"/>
  <c r="X205" i="9"/>
  <c r="Y205" i="9"/>
  <c r="Z205" i="9"/>
  <c r="AA205" i="9"/>
  <c r="AB205" i="9"/>
  <c r="AC205" i="9"/>
  <c r="AD205" i="9"/>
  <c r="AE205" i="9"/>
  <c r="AF205" i="9"/>
  <c r="AG205" i="9"/>
  <c r="AH205" i="9"/>
  <c r="AI205" i="9"/>
  <c r="AJ205" i="9"/>
  <c r="AK205" i="9"/>
  <c r="AL205" i="9"/>
  <c r="AM205" i="9"/>
  <c r="AN205" i="9"/>
  <c r="AO205" i="9"/>
  <c r="AP205" i="9"/>
  <c r="AQ205" i="9"/>
  <c r="AR205" i="9"/>
  <c r="AS205" i="9"/>
  <c r="AT205" i="9"/>
  <c r="AU205" i="9"/>
  <c r="AV205" i="9"/>
  <c r="AW205" i="9"/>
  <c r="AX205" i="9"/>
  <c r="AY205" i="9"/>
  <c r="AZ205" i="9"/>
  <c r="BA205" i="9"/>
  <c r="BB205" i="9"/>
  <c r="BC205" i="9"/>
  <c r="BD205" i="9"/>
  <c r="BE205" i="9"/>
  <c r="BF205" i="9"/>
  <c r="BG205" i="9"/>
  <c r="BH205" i="9"/>
  <c r="BI205" i="9"/>
  <c r="BJ205" i="9"/>
  <c r="BK205" i="9"/>
  <c r="BL205" i="9"/>
  <c r="BM205" i="9"/>
  <c r="BN205" i="9"/>
  <c r="BO205" i="9"/>
  <c r="BP205" i="9"/>
  <c r="BQ205" i="9"/>
  <c r="BR205" i="9"/>
  <c r="BS205" i="9"/>
  <c r="BT205" i="9"/>
  <c r="BU205" i="9"/>
  <c r="BV205" i="9"/>
  <c r="BW205" i="9"/>
  <c r="BX205" i="9"/>
  <c r="BY205" i="9"/>
  <c r="BZ205" i="9"/>
  <c r="CA205" i="9"/>
  <c r="CB205" i="9"/>
  <c r="CC205" i="9"/>
  <c r="CD205" i="9"/>
  <c r="CE205" i="9"/>
  <c r="CF205" i="9"/>
  <c r="CG205" i="9"/>
  <c r="CH205" i="9"/>
  <c r="CI205" i="9"/>
  <c r="CJ205" i="9"/>
  <c r="CK205" i="9"/>
  <c r="CL205" i="9"/>
  <c r="CM205" i="9"/>
  <c r="CN205" i="9"/>
  <c r="CO205" i="9"/>
  <c r="CP205" i="9"/>
  <c r="CQ205" i="9"/>
  <c r="CR205" i="9"/>
  <c r="CS205" i="9"/>
  <c r="CT205" i="9"/>
  <c r="CU205" i="9"/>
  <c r="CV205" i="9"/>
  <c r="CW205" i="9"/>
  <c r="CX205" i="9"/>
  <c r="CY205" i="9"/>
  <c r="CZ205" i="9"/>
  <c r="DA205" i="9"/>
  <c r="DB205" i="9"/>
  <c r="DC205" i="9"/>
  <c r="DD205" i="9"/>
  <c r="DE205" i="9"/>
  <c r="DF205" i="9"/>
  <c r="DG205" i="9"/>
  <c r="DH205" i="9"/>
  <c r="DI205" i="9"/>
  <c r="DJ205" i="9"/>
  <c r="DK205" i="9"/>
  <c r="DL205" i="9"/>
  <c r="DM205" i="9"/>
  <c r="DN205" i="9"/>
  <c r="DO205" i="9"/>
  <c r="DP205" i="9"/>
  <c r="DQ205" i="9"/>
  <c r="DR205" i="9"/>
  <c r="DS205" i="9"/>
  <c r="DT205" i="9"/>
  <c r="DU205" i="9"/>
  <c r="DV205" i="9"/>
  <c r="DW205" i="9"/>
  <c r="DX205" i="9"/>
  <c r="DY205" i="9"/>
  <c r="DZ205" i="9"/>
  <c r="EA205" i="9"/>
  <c r="EB205" i="9"/>
  <c r="EC205" i="9"/>
  <c r="ED205" i="9"/>
  <c r="EE205" i="9"/>
  <c r="EF205" i="9"/>
  <c r="EG205" i="9"/>
  <c r="EH205" i="9"/>
  <c r="EI205" i="9"/>
  <c r="EJ205" i="9"/>
  <c r="EK205" i="9"/>
  <c r="EL205" i="9"/>
  <c r="EM205" i="9"/>
  <c r="EN205" i="9"/>
  <c r="EO205" i="9"/>
  <c r="EP205" i="9"/>
  <c r="EQ205" i="9"/>
  <c r="ER205" i="9"/>
  <c r="ES205" i="9"/>
  <c r="ET205" i="9"/>
  <c r="EU205" i="9"/>
  <c r="EV205" i="9"/>
  <c r="EW205" i="9"/>
  <c r="EX205" i="9"/>
  <c r="EY205" i="9"/>
  <c r="EZ205" i="9"/>
  <c r="FA205" i="9"/>
  <c r="FB205" i="9"/>
  <c r="FC205" i="9"/>
  <c r="FD205" i="9"/>
  <c r="FE205" i="9"/>
  <c r="FF205" i="9"/>
  <c r="FG205" i="9"/>
  <c r="FH205" i="9"/>
  <c r="FI205" i="9"/>
  <c r="FJ205" i="9"/>
  <c r="FK205" i="9"/>
  <c r="FL205" i="9"/>
  <c r="FM205" i="9"/>
  <c r="FN205" i="9"/>
  <c r="FO205" i="9"/>
  <c r="FP205" i="9"/>
  <c r="FQ205" i="9"/>
  <c r="FR205" i="9"/>
  <c r="FS205" i="9"/>
  <c r="FT205" i="9"/>
  <c r="FU205" i="9"/>
  <c r="FV205" i="9"/>
  <c r="FW205" i="9"/>
  <c r="FX205" i="9"/>
  <c r="FY205" i="9"/>
  <c r="FZ205" i="9"/>
  <c r="GA205" i="9"/>
  <c r="GB205" i="9"/>
  <c r="GC205" i="9"/>
  <c r="GD205" i="9"/>
  <c r="GE205" i="9"/>
  <c r="GF205" i="9"/>
  <c r="GG205" i="9"/>
  <c r="GH205" i="9"/>
  <c r="GI205" i="9"/>
  <c r="GJ205" i="9"/>
  <c r="GK205" i="9"/>
  <c r="GL205" i="9"/>
  <c r="GM205" i="9"/>
  <c r="GN205" i="9"/>
  <c r="GO205" i="9"/>
  <c r="GP205" i="9"/>
  <c r="GQ205" i="9"/>
  <c r="GR205" i="9"/>
  <c r="GS205" i="9"/>
  <c r="GT205" i="9"/>
  <c r="GU205" i="9"/>
  <c r="GV205" i="9"/>
  <c r="GW205" i="9"/>
  <c r="GX205" i="9"/>
  <c r="GY205" i="9"/>
  <c r="GZ205" i="9"/>
  <c r="HA205" i="9"/>
  <c r="HB205" i="9"/>
  <c r="HC205" i="9"/>
  <c r="HD205" i="9"/>
  <c r="HE205" i="9"/>
  <c r="HF205" i="9"/>
  <c r="HG205" i="9"/>
  <c r="HH205" i="9"/>
  <c r="HI205" i="9"/>
  <c r="HJ205" i="9"/>
  <c r="HK205" i="9"/>
  <c r="HL205" i="9"/>
  <c r="HM205" i="9"/>
  <c r="HN205" i="9"/>
  <c r="HO205" i="9"/>
  <c r="HP205" i="9"/>
  <c r="HQ205" i="9"/>
  <c r="HR205" i="9"/>
  <c r="HS205" i="9"/>
  <c r="HT205" i="9"/>
  <c r="HU205" i="9"/>
  <c r="HV205" i="9"/>
  <c r="HW205" i="9"/>
  <c r="HX205" i="9"/>
  <c r="HY205" i="9"/>
  <c r="HZ205" i="9"/>
  <c r="IA205" i="9"/>
  <c r="IB205" i="9"/>
  <c r="IC205" i="9"/>
  <c r="ID205" i="9"/>
  <c r="IE205" i="9"/>
  <c r="IF205" i="9"/>
  <c r="IG205" i="9"/>
  <c r="IH205" i="9"/>
  <c r="II205" i="9"/>
  <c r="IJ205" i="9"/>
  <c r="IK205" i="9"/>
  <c r="IL205" i="9"/>
  <c r="IM205" i="9"/>
  <c r="IN205" i="9"/>
  <c r="IO205" i="9"/>
  <c r="IP205" i="9"/>
  <c r="IQ205" i="9"/>
  <c r="IR205" i="9"/>
  <c r="IS205" i="9"/>
  <c r="IT205" i="9"/>
  <c r="IU205" i="9"/>
  <c r="IV205" i="9"/>
  <c r="A204" i="9"/>
  <c r="B204" i="9"/>
  <c r="C204" i="9"/>
  <c r="D204" i="9"/>
  <c r="E204" i="9"/>
  <c r="F204" i="9"/>
  <c r="G204" i="9"/>
  <c r="H204" i="9"/>
  <c r="I204" i="9"/>
  <c r="J204" i="9"/>
  <c r="K204" i="9"/>
  <c r="L204" i="9"/>
  <c r="M204" i="9"/>
  <c r="N204" i="9"/>
  <c r="O204" i="9"/>
  <c r="P204" i="9"/>
  <c r="Q204" i="9"/>
  <c r="R204" i="9"/>
  <c r="S204" i="9"/>
  <c r="T204" i="9"/>
  <c r="U204" i="9"/>
  <c r="V204" i="9"/>
  <c r="W204" i="9"/>
  <c r="X204" i="9"/>
  <c r="Y204" i="9"/>
  <c r="Z204" i="9"/>
  <c r="AA204" i="9"/>
  <c r="AB204" i="9"/>
  <c r="AC204" i="9"/>
  <c r="AD204" i="9"/>
  <c r="AE204" i="9"/>
  <c r="AF204" i="9"/>
  <c r="AG204" i="9"/>
  <c r="AH204" i="9"/>
  <c r="AI204" i="9"/>
  <c r="AJ204" i="9"/>
  <c r="AK204" i="9"/>
  <c r="AL204" i="9"/>
  <c r="AM204" i="9"/>
  <c r="AN204" i="9"/>
  <c r="AO204" i="9"/>
  <c r="AP204" i="9"/>
  <c r="AQ204" i="9"/>
  <c r="AR204" i="9"/>
  <c r="AS204" i="9"/>
  <c r="AT204" i="9"/>
  <c r="AU204" i="9"/>
  <c r="AV204" i="9"/>
  <c r="AW204" i="9"/>
  <c r="AX204" i="9"/>
  <c r="AY204" i="9"/>
  <c r="AZ204" i="9"/>
  <c r="BA204" i="9"/>
  <c r="BB204" i="9"/>
  <c r="BC204" i="9"/>
  <c r="BD204" i="9"/>
  <c r="BE204" i="9"/>
  <c r="BF204" i="9"/>
  <c r="BG204" i="9"/>
  <c r="BH204" i="9"/>
  <c r="BI204" i="9"/>
  <c r="BJ204" i="9"/>
  <c r="BK204" i="9"/>
  <c r="BL204" i="9"/>
  <c r="BM204" i="9"/>
  <c r="BN204" i="9"/>
  <c r="BO204" i="9"/>
  <c r="BP204" i="9"/>
  <c r="BQ204" i="9"/>
  <c r="BR204" i="9"/>
  <c r="BS204" i="9"/>
  <c r="BT204" i="9"/>
  <c r="BU204" i="9"/>
  <c r="BV204" i="9"/>
  <c r="BW204" i="9"/>
  <c r="BX204" i="9"/>
  <c r="BY204" i="9"/>
  <c r="BZ204" i="9"/>
  <c r="CA204" i="9"/>
  <c r="CB204" i="9"/>
  <c r="CC204" i="9"/>
  <c r="CD204" i="9"/>
  <c r="CE204" i="9"/>
  <c r="CF204" i="9"/>
  <c r="CG204" i="9"/>
  <c r="CH204" i="9"/>
  <c r="CI204" i="9"/>
  <c r="CJ204" i="9"/>
  <c r="CK204" i="9"/>
  <c r="CL204" i="9"/>
  <c r="CM204" i="9"/>
  <c r="CN204" i="9"/>
  <c r="CO204" i="9"/>
  <c r="CP204" i="9"/>
  <c r="CQ204" i="9"/>
  <c r="CR204" i="9"/>
  <c r="CS204" i="9"/>
  <c r="CT204" i="9"/>
  <c r="CU204" i="9"/>
  <c r="CV204" i="9"/>
  <c r="CW204" i="9"/>
  <c r="CX204" i="9"/>
  <c r="CY204" i="9"/>
  <c r="CZ204" i="9"/>
  <c r="DA204" i="9"/>
  <c r="DB204" i="9"/>
  <c r="DC204" i="9"/>
  <c r="DD204" i="9"/>
  <c r="DE204" i="9"/>
  <c r="DF204" i="9"/>
  <c r="DG204" i="9"/>
  <c r="DH204" i="9"/>
  <c r="DI204" i="9"/>
  <c r="DJ204" i="9"/>
  <c r="DK204" i="9"/>
  <c r="DL204" i="9"/>
  <c r="DM204" i="9"/>
  <c r="DN204" i="9"/>
  <c r="DO204" i="9"/>
  <c r="DP204" i="9"/>
  <c r="DQ204" i="9"/>
  <c r="DR204" i="9"/>
  <c r="DS204" i="9"/>
  <c r="DT204" i="9"/>
  <c r="DU204" i="9"/>
  <c r="DV204" i="9"/>
  <c r="DW204" i="9"/>
  <c r="DX204" i="9"/>
  <c r="DY204" i="9"/>
  <c r="DZ204" i="9"/>
  <c r="EA204" i="9"/>
  <c r="EB204" i="9"/>
  <c r="EC204" i="9"/>
  <c r="ED204" i="9"/>
  <c r="EE204" i="9"/>
  <c r="EF204" i="9"/>
  <c r="EG204" i="9"/>
  <c r="EH204" i="9"/>
  <c r="EI204" i="9"/>
  <c r="EJ204" i="9"/>
  <c r="EK204" i="9"/>
  <c r="EL204" i="9"/>
  <c r="EM204" i="9"/>
  <c r="EN204" i="9"/>
  <c r="EO204" i="9"/>
  <c r="EP204" i="9"/>
  <c r="EQ204" i="9"/>
  <c r="ER204" i="9"/>
  <c r="ES204" i="9"/>
  <c r="ET204" i="9"/>
  <c r="EU204" i="9"/>
  <c r="EV204" i="9"/>
  <c r="EW204" i="9"/>
  <c r="EX204" i="9"/>
  <c r="EY204" i="9"/>
  <c r="EZ204" i="9"/>
  <c r="FA204" i="9"/>
  <c r="FB204" i="9"/>
  <c r="FC204" i="9"/>
  <c r="FD204" i="9"/>
  <c r="FE204" i="9"/>
  <c r="FF204" i="9"/>
  <c r="FG204" i="9"/>
  <c r="FH204" i="9"/>
  <c r="FI204" i="9"/>
  <c r="FJ204" i="9"/>
  <c r="FK204" i="9"/>
  <c r="FL204" i="9"/>
  <c r="FM204" i="9"/>
  <c r="FN204" i="9"/>
  <c r="FO204" i="9"/>
  <c r="FP204" i="9"/>
  <c r="FQ204" i="9"/>
  <c r="FR204" i="9"/>
  <c r="FS204" i="9"/>
  <c r="FT204" i="9"/>
  <c r="FU204" i="9"/>
  <c r="FV204" i="9"/>
  <c r="FW204" i="9"/>
  <c r="FX204" i="9"/>
  <c r="FY204" i="9"/>
  <c r="FZ204" i="9"/>
  <c r="GA204" i="9"/>
  <c r="GB204" i="9"/>
  <c r="GC204" i="9"/>
  <c r="GD204" i="9"/>
  <c r="GE204" i="9"/>
  <c r="GF204" i="9"/>
  <c r="GG204" i="9"/>
  <c r="GH204" i="9"/>
  <c r="GI204" i="9"/>
  <c r="GJ204" i="9"/>
  <c r="GK204" i="9"/>
  <c r="GL204" i="9"/>
  <c r="GM204" i="9"/>
  <c r="GN204" i="9"/>
  <c r="GO204" i="9"/>
  <c r="GP204" i="9"/>
  <c r="GQ204" i="9"/>
  <c r="GR204" i="9"/>
  <c r="GS204" i="9"/>
  <c r="GT204" i="9"/>
  <c r="GU204" i="9"/>
  <c r="GV204" i="9"/>
  <c r="GW204" i="9"/>
  <c r="GX204" i="9"/>
  <c r="GY204" i="9"/>
  <c r="GZ204" i="9"/>
  <c r="HA204" i="9"/>
  <c r="HB204" i="9"/>
  <c r="HC204" i="9"/>
  <c r="HD204" i="9"/>
  <c r="HE204" i="9"/>
  <c r="HF204" i="9"/>
  <c r="HG204" i="9"/>
  <c r="HH204" i="9"/>
  <c r="HI204" i="9"/>
  <c r="HJ204" i="9"/>
  <c r="HK204" i="9"/>
  <c r="HL204" i="9"/>
  <c r="HM204" i="9"/>
  <c r="HN204" i="9"/>
  <c r="HO204" i="9"/>
  <c r="HP204" i="9"/>
  <c r="HQ204" i="9"/>
  <c r="HR204" i="9"/>
  <c r="HS204" i="9"/>
  <c r="HT204" i="9"/>
  <c r="HU204" i="9"/>
  <c r="HV204" i="9"/>
  <c r="HW204" i="9"/>
  <c r="HX204" i="9"/>
  <c r="HY204" i="9"/>
  <c r="HZ204" i="9"/>
  <c r="IA204" i="9"/>
  <c r="IB204" i="9"/>
  <c r="IC204" i="9"/>
  <c r="ID204" i="9"/>
  <c r="IE204" i="9"/>
  <c r="IF204" i="9"/>
  <c r="IG204" i="9"/>
  <c r="IH204" i="9"/>
  <c r="II204" i="9"/>
  <c r="IJ204" i="9"/>
  <c r="IK204" i="9"/>
  <c r="IL204" i="9"/>
  <c r="IM204" i="9"/>
  <c r="IN204" i="9"/>
  <c r="IO204" i="9"/>
  <c r="IP204" i="9"/>
  <c r="IQ204" i="9"/>
  <c r="IR204" i="9"/>
  <c r="IS204" i="9"/>
  <c r="IT204" i="9"/>
  <c r="IU204" i="9"/>
  <c r="IV204" i="9"/>
  <c r="A203" i="9"/>
  <c r="B203" i="9"/>
  <c r="C203" i="9"/>
  <c r="D203" i="9"/>
  <c r="E203" i="9"/>
  <c r="F203" i="9"/>
  <c r="G203" i="9"/>
  <c r="H203" i="9"/>
  <c r="I203" i="9"/>
  <c r="J203" i="9"/>
  <c r="K203" i="9"/>
  <c r="L203" i="9"/>
  <c r="M203" i="9"/>
  <c r="N203" i="9"/>
  <c r="O203" i="9"/>
  <c r="P203" i="9"/>
  <c r="Q203" i="9"/>
  <c r="R203" i="9"/>
  <c r="S203" i="9"/>
  <c r="T203" i="9"/>
  <c r="U203" i="9"/>
  <c r="V203" i="9"/>
  <c r="W203" i="9"/>
  <c r="X203" i="9"/>
  <c r="Y203" i="9"/>
  <c r="Z203" i="9"/>
  <c r="AA203" i="9"/>
  <c r="AB203" i="9"/>
  <c r="AC203" i="9"/>
  <c r="AD203" i="9"/>
  <c r="AE203" i="9"/>
  <c r="AF203" i="9"/>
  <c r="AG203" i="9"/>
  <c r="AH203" i="9"/>
  <c r="AI203" i="9"/>
  <c r="AJ203" i="9"/>
  <c r="AK203" i="9"/>
  <c r="AL203" i="9"/>
  <c r="AM203" i="9"/>
  <c r="AN203" i="9"/>
  <c r="AO203" i="9"/>
  <c r="AP203" i="9"/>
  <c r="AQ203" i="9"/>
  <c r="AR203" i="9"/>
  <c r="AS203" i="9"/>
  <c r="AT203" i="9"/>
  <c r="AU203" i="9"/>
  <c r="AV203" i="9"/>
  <c r="AW203" i="9"/>
  <c r="AX203" i="9"/>
  <c r="AY203" i="9"/>
  <c r="AZ203" i="9"/>
  <c r="BA203" i="9"/>
  <c r="BB203" i="9"/>
  <c r="BC203" i="9"/>
  <c r="BD203" i="9"/>
  <c r="BE203" i="9"/>
  <c r="BF203" i="9"/>
  <c r="BG203" i="9"/>
  <c r="BH203" i="9"/>
  <c r="BI203" i="9"/>
  <c r="BJ203" i="9"/>
  <c r="BK203" i="9"/>
  <c r="BL203" i="9"/>
  <c r="BM203" i="9"/>
  <c r="BN203" i="9"/>
  <c r="BO203" i="9"/>
  <c r="BP203" i="9"/>
  <c r="BQ203" i="9"/>
  <c r="BR203" i="9"/>
  <c r="BS203" i="9"/>
  <c r="BT203" i="9"/>
  <c r="BU203" i="9"/>
  <c r="BV203" i="9"/>
  <c r="BW203" i="9"/>
  <c r="BX203" i="9"/>
  <c r="BY203" i="9"/>
  <c r="BZ203" i="9"/>
  <c r="CA203" i="9"/>
  <c r="CB203" i="9"/>
  <c r="CC203" i="9"/>
  <c r="CD203" i="9"/>
  <c r="CE203" i="9"/>
  <c r="CF203" i="9"/>
  <c r="CG203" i="9"/>
  <c r="CH203" i="9"/>
  <c r="CI203" i="9"/>
  <c r="CJ203" i="9"/>
  <c r="CK203" i="9"/>
  <c r="CL203" i="9"/>
  <c r="CM203" i="9"/>
  <c r="CN203" i="9"/>
  <c r="CO203" i="9"/>
  <c r="CP203" i="9"/>
  <c r="CQ203" i="9"/>
  <c r="CR203" i="9"/>
  <c r="CS203" i="9"/>
  <c r="CT203" i="9"/>
  <c r="CU203" i="9"/>
  <c r="CV203" i="9"/>
  <c r="CW203" i="9"/>
  <c r="CX203" i="9"/>
  <c r="CY203" i="9"/>
  <c r="CZ203" i="9"/>
  <c r="DA203" i="9"/>
  <c r="DB203" i="9"/>
  <c r="DC203" i="9"/>
  <c r="DD203" i="9"/>
  <c r="DE203" i="9"/>
  <c r="DF203" i="9"/>
  <c r="DG203" i="9"/>
  <c r="DH203" i="9"/>
  <c r="DI203" i="9"/>
  <c r="DJ203" i="9"/>
  <c r="DK203" i="9"/>
  <c r="DL203" i="9"/>
  <c r="DM203" i="9"/>
  <c r="DN203" i="9"/>
  <c r="DO203" i="9"/>
  <c r="DP203" i="9"/>
  <c r="DQ203" i="9"/>
  <c r="DR203" i="9"/>
  <c r="DS203" i="9"/>
  <c r="DT203" i="9"/>
  <c r="DU203" i="9"/>
  <c r="DV203" i="9"/>
  <c r="DW203" i="9"/>
  <c r="DX203" i="9"/>
  <c r="DY203" i="9"/>
  <c r="DZ203" i="9"/>
  <c r="EA203" i="9"/>
  <c r="EB203" i="9"/>
  <c r="EC203" i="9"/>
  <c r="ED203" i="9"/>
  <c r="EE203" i="9"/>
  <c r="EF203" i="9"/>
  <c r="EG203" i="9"/>
  <c r="EH203" i="9"/>
  <c r="EI203" i="9"/>
  <c r="EJ203" i="9"/>
  <c r="EK203" i="9"/>
  <c r="EL203" i="9"/>
  <c r="EM203" i="9"/>
  <c r="EN203" i="9"/>
  <c r="EO203" i="9"/>
  <c r="EP203" i="9"/>
  <c r="EQ203" i="9"/>
  <c r="ER203" i="9"/>
  <c r="ES203" i="9"/>
  <c r="ET203" i="9"/>
  <c r="EU203" i="9"/>
  <c r="EV203" i="9"/>
  <c r="EW203" i="9"/>
  <c r="EX203" i="9"/>
  <c r="EY203" i="9"/>
  <c r="EZ203" i="9"/>
  <c r="FA203" i="9"/>
  <c r="FB203" i="9"/>
  <c r="FC203" i="9"/>
  <c r="FD203" i="9"/>
  <c r="FE203" i="9"/>
  <c r="FF203" i="9"/>
  <c r="FG203" i="9"/>
  <c r="FH203" i="9"/>
  <c r="FI203" i="9"/>
  <c r="FJ203" i="9"/>
  <c r="FK203" i="9"/>
  <c r="FL203" i="9"/>
  <c r="FM203" i="9"/>
  <c r="FN203" i="9"/>
  <c r="FO203" i="9"/>
  <c r="FP203" i="9"/>
  <c r="FQ203" i="9"/>
  <c r="FR203" i="9"/>
  <c r="FS203" i="9"/>
  <c r="FT203" i="9"/>
  <c r="FU203" i="9"/>
  <c r="FV203" i="9"/>
  <c r="FW203" i="9"/>
  <c r="FX203" i="9"/>
  <c r="FY203" i="9"/>
  <c r="FZ203" i="9"/>
  <c r="GA203" i="9"/>
  <c r="GB203" i="9"/>
  <c r="GC203" i="9"/>
  <c r="GD203" i="9"/>
  <c r="GE203" i="9"/>
  <c r="GF203" i="9"/>
  <c r="GG203" i="9"/>
  <c r="GH203" i="9"/>
  <c r="GI203" i="9"/>
  <c r="GJ203" i="9"/>
  <c r="GK203" i="9"/>
  <c r="GL203" i="9"/>
  <c r="GM203" i="9"/>
  <c r="GN203" i="9"/>
  <c r="GO203" i="9"/>
  <c r="GP203" i="9"/>
  <c r="GQ203" i="9"/>
  <c r="GR203" i="9"/>
  <c r="GS203" i="9"/>
  <c r="GT203" i="9"/>
  <c r="GU203" i="9"/>
  <c r="GV203" i="9"/>
  <c r="GW203" i="9"/>
  <c r="GX203" i="9"/>
  <c r="GY203" i="9"/>
  <c r="GZ203" i="9"/>
  <c r="HA203" i="9"/>
  <c r="HB203" i="9"/>
  <c r="HC203" i="9"/>
  <c r="HD203" i="9"/>
  <c r="HE203" i="9"/>
  <c r="HF203" i="9"/>
  <c r="HG203" i="9"/>
  <c r="HH203" i="9"/>
  <c r="HI203" i="9"/>
  <c r="HJ203" i="9"/>
  <c r="HK203" i="9"/>
  <c r="HL203" i="9"/>
  <c r="HM203" i="9"/>
  <c r="HN203" i="9"/>
  <c r="HO203" i="9"/>
  <c r="HP203" i="9"/>
  <c r="HQ203" i="9"/>
  <c r="HR203" i="9"/>
  <c r="HS203" i="9"/>
  <c r="HT203" i="9"/>
  <c r="HU203" i="9"/>
  <c r="HV203" i="9"/>
  <c r="HW203" i="9"/>
  <c r="HX203" i="9"/>
  <c r="HY203" i="9"/>
  <c r="HZ203" i="9"/>
  <c r="IA203" i="9"/>
  <c r="IB203" i="9"/>
  <c r="IC203" i="9"/>
  <c r="ID203" i="9"/>
  <c r="IE203" i="9"/>
  <c r="IF203" i="9"/>
  <c r="IG203" i="9"/>
  <c r="IH203" i="9"/>
  <c r="II203" i="9"/>
  <c r="IJ203" i="9"/>
  <c r="IK203" i="9"/>
  <c r="IL203" i="9"/>
  <c r="IM203" i="9"/>
  <c r="IN203" i="9"/>
  <c r="IO203" i="9"/>
  <c r="IP203" i="9"/>
  <c r="IQ203" i="9"/>
  <c r="IR203" i="9"/>
  <c r="IS203" i="9"/>
  <c r="IT203" i="9"/>
  <c r="IU203" i="9"/>
  <c r="IV203" i="9"/>
  <c r="A202" i="9"/>
  <c r="B202" i="9"/>
  <c r="C202" i="9"/>
  <c r="D202" i="9"/>
  <c r="E202" i="9"/>
  <c r="F202" i="9"/>
  <c r="G202" i="9"/>
  <c r="H202" i="9"/>
  <c r="I202" i="9"/>
  <c r="J202" i="9"/>
  <c r="K202" i="9"/>
  <c r="L202" i="9"/>
  <c r="M202" i="9"/>
  <c r="N202" i="9"/>
  <c r="O202" i="9"/>
  <c r="P202" i="9"/>
  <c r="Q202" i="9"/>
  <c r="R202" i="9"/>
  <c r="S202" i="9"/>
  <c r="T202" i="9"/>
  <c r="U202" i="9"/>
  <c r="V202" i="9"/>
  <c r="W202" i="9"/>
  <c r="Y202" i="9"/>
  <c r="Z202" i="9"/>
  <c r="AA202" i="9"/>
  <c r="AB202" i="9"/>
  <c r="AC202" i="9"/>
  <c r="AD202" i="9"/>
  <c r="AE202" i="9"/>
  <c r="AF202" i="9"/>
  <c r="AG202" i="9"/>
  <c r="AH202" i="9"/>
  <c r="AI202" i="9"/>
  <c r="AJ202" i="9"/>
  <c r="AK202" i="9"/>
  <c r="AL202" i="9"/>
  <c r="AM202" i="9"/>
  <c r="AN202" i="9"/>
  <c r="AO202" i="9"/>
  <c r="AP202" i="9"/>
  <c r="AQ202" i="9"/>
  <c r="AR202" i="9"/>
  <c r="AS202" i="9"/>
  <c r="AT202" i="9"/>
  <c r="AU202" i="9"/>
  <c r="AV202" i="9"/>
  <c r="AW202" i="9"/>
  <c r="AX202" i="9"/>
  <c r="AY202" i="9"/>
  <c r="AZ202" i="9"/>
  <c r="BA202" i="9"/>
  <c r="BB202" i="9"/>
  <c r="BC202" i="9"/>
  <c r="BD202" i="9"/>
  <c r="BE202" i="9"/>
  <c r="BF202" i="9"/>
  <c r="BG202" i="9"/>
  <c r="BH202" i="9"/>
  <c r="BI202" i="9"/>
  <c r="BJ202" i="9"/>
  <c r="BK202" i="9"/>
  <c r="BL202" i="9"/>
  <c r="BM202" i="9"/>
  <c r="BN202" i="9"/>
  <c r="BO202" i="9"/>
  <c r="BP202" i="9"/>
  <c r="BQ202" i="9"/>
  <c r="BR202" i="9"/>
  <c r="BS202" i="9"/>
  <c r="BT202" i="9"/>
  <c r="BU202" i="9"/>
  <c r="BV202" i="9"/>
  <c r="BW202" i="9"/>
  <c r="BX202" i="9"/>
  <c r="BY202" i="9"/>
  <c r="BZ202" i="9"/>
  <c r="CA202" i="9"/>
  <c r="CB202" i="9"/>
  <c r="CC202" i="9"/>
  <c r="CD202" i="9"/>
  <c r="CE202" i="9"/>
  <c r="CF202" i="9"/>
  <c r="CG202" i="9"/>
  <c r="CH202" i="9"/>
  <c r="CI202" i="9"/>
  <c r="CJ202" i="9"/>
  <c r="CK202" i="9"/>
  <c r="CL202" i="9"/>
  <c r="CM202" i="9"/>
  <c r="CN202" i="9"/>
  <c r="CO202" i="9"/>
  <c r="CP202" i="9"/>
  <c r="CQ202" i="9"/>
  <c r="CR202" i="9"/>
  <c r="CS202" i="9"/>
  <c r="CT202" i="9"/>
  <c r="CU202" i="9"/>
  <c r="CV202" i="9"/>
  <c r="CW202" i="9"/>
  <c r="CX202" i="9"/>
  <c r="CY202" i="9"/>
  <c r="CZ202" i="9"/>
  <c r="DA202" i="9"/>
  <c r="DB202" i="9"/>
  <c r="DC202" i="9"/>
  <c r="DD202" i="9"/>
  <c r="DE202" i="9"/>
  <c r="DF202" i="9"/>
  <c r="DG202" i="9"/>
  <c r="DH202" i="9"/>
  <c r="DI202" i="9"/>
  <c r="DJ202" i="9"/>
  <c r="DK202" i="9"/>
  <c r="DL202" i="9"/>
  <c r="DM202" i="9"/>
  <c r="DN202" i="9"/>
  <c r="DO202" i="9"/>
  <c r="DP202" i="9"/>
  <c r="DQ202" i="9"/>
  <c r="DR202" i="9"/>
  <c r="DS202" i="9"/>
  <c r="DT202" i="9"/>
  <c r="DU202" i="9"/>
  <c r="DV202" i="9"/>
  <c r="DW202" i="9"/>
  <c r="DX202" i="9"/>
  <c r="DY202" i="9"/>
  <c r="DZ202" i="9"/>
  <c r="EA202" i="9"/>
  <c r="EB202" i="9"/>
  <c r="EC202" i="9"/>
  <c r="ED202" i="9"/>
  <c r="EE202" i="9"/>
  <c r="EF202" i="9"/>
  <c r="EG202" i="9"/>
  <c r="EH202" i="9"/>
  <c r="EI202" i="9"/>
  <c r="EJ202" i="9"/>
  <c r="EK202" i="9"/>
  <c r="EL202" i="9"/>
  <c r="EM202" i="9"/>
  <c r="EN202" i="9"/>
  <c r="EO202" i="9"/>
  <c r="EP202" i="9"/>
  <c r="EQ202" i="9"/>
  <c r="ER202" i="9"/>
  <c r="ES202" i="9"/>
  <c r="ET202" i="9"/>
  <c r="EU202" i="9"/>
  <c r="EV202" i="9"/>
  <c r="EW202" i="9"/>
  <c r="EX202" i="9"/>
  <c r="EY202" i="9"/>
  <c r="EZ202" i="9"/>
  <c r="FA202" i="9"/>
  <c r="FB202" i="9"/>
  <c r="FC202" i="9"/>
  <c r="FD202" i="9"/>
  <c r="FE202" i="9"/>
  <c r="FF202" i="9"/>
  <c r="FG202" i="9"/>
  <c r="FH202" i="9"/>
  <c r="FI202" i="9"/>
  <c r="FJ202" i="9"/>
  <c r="FK202" i="9"/>
  <c r="FL202" i="9"/>
  <c r="FM202" i="9"/>
  <c r="FN202" i="9"/>
  <c r="FO202" i="9"/>
  <c r="FP202" i="9"/>
  <c r="FQ202" i="9"/>
  <c r="FR202" i="9"/>
  <c r="FS202" i="9"/>
  <c r="FT202" i="9"/>
  <c r="FU202" i="9"/>
  <c r="FV202" i="9"/>
  <c r="FW202" i="9"/>
  <c r="FX202" i="9"/>
  <c r="FY202" i="9"/>
  <c r="FZ202" i="9"/>
  <c r="GA202" i="9"/>
  <c r="GB202" i="9"/>
  <c r="GC202" i="9"/>
  <c r="GD202" i="9"/>
  <c r="GE202" i="9"/>
  <c r="GF202" i="9"/>
  <c r="GG202" i="9"/>
  <c r="GH202" i="9"/>
  <c r="GI202" i="9"/>
  <c r="GJ202" i="9"/>
  <c r="GK202" i="9"/>
  <c r="GL202" i="9"/>
  <c r="GM202" i="9"/>
  <c r="GN202" i="9"/>
  <c r="GO202" i="9"/>
  <c r="GP202" i="9"/>
  <c r="GQ202" i="9"/>
  <c r="GR202" i="9"/>
  <c r="GS202" i="9"/>
  <c r="GT202" i="9"/>
  <c r="GU202" i="9"/>
  <c r="GV202" i="9"/>
  <c r="GW202" i="9"/>
  <c r="GX202" i="9"/>
  <c r="GY202" i="9"/>
  <c r="GZ202" i="9"/>
  <c r="HA202" i="9"/>
  <c r="HB202" i="9"/>
  <c r="HC202" i="9"/>
  <c r="HD202" i="9"/>
  <c r="HE202" i="9"/>
  <c r="HF202" i="9"/>
  <c r="HG202" i="9"/>
  <c r="HH202" i="9"/>
  <c r="HI202" i="9"/>
  <c r="HJ202" i="9"/>
  <c r="HK202" i="9"/>
  <c r="HL202" i="9"/>
  <c r="HM202" i="9"/>
  <c r="HN202" i="9"/>
  <c r="HO202" i="9"/>
  <c r="HP202" i="9"/>
  <c r="HQ202" i="9"/>
  <c r="HR202" i="9"/>
  <c r="HS202" i="9"/>
  <c r="HT202" i="9"/>
  <c r="HU202" i="9"/>
  <c r="HV202" i="9"/>
  <c r="HW202" i="9"/>
  <c r="HX202" i="9"/>
  <c r="HY202" i="9"/>
  <c r="HZ202" i="9"/>
  <c r="IA202" i="9"/>
  <c r="IB202" i="9"/>
  <c r="IC202" i="9"/>
  <c r="ID202" i="9"/>
  <c r="IE202" i="9"/>
  <c r="IF202" i="9"/>
  <c r="IG202" i="9"/>
  <c r="IH202" i="9"/>
  <c r="II202" i="9"/>
  <c r="IJ202" i="9"/>
  <c r="IK202" i="9"/>
  <c r="IL202" i="9"/>
  <c r="IM202" i="9"/>
  <c r="IN202" i="9"/>
  <c r="IO202" i="9"/>
  <c r="IP202" i="9"/>
  <c r="IQ202" i="9"/>
  <c r="IR202" i="9"/>
  <c r="IS202" i="9"/>
  <c r="IT202" i="9"/>
  <c r="IU202" i="9"/>
  <c r="IV202" i="9"/>
  <c r="A201" i="9"/>
  <c r="B201" i="9"/>
  <c r="C201" i="9"/>
  <c r="D201" i="9"/>
  <c r="E201" i="9"/>
  <c r="F201" i="9"/>
  <c r="G201" i="9"/>
  <c r="H201" i="9"/>
  <c r="I201" i="9"/>
  <c r="J201" i="9"/>
  <c r="K201" i="9"/>
  <c r="L201" i="9"/>
  <c r="M201" i="9"/>
  <c r="N201" i="9"/>
  <c r="O201" i="9"/>
  <c r="P201" i="9"/>
  <c r="Q201" i="9"/>
  <c r="R201" i="9"/>
  <c r="S201" i="9"/>
  <c r="T201" i="9"/>
  <c r="U201" i="9"/>
  <c r="V201" i="9"/>
  <c r="W201" i="9"/>
  <c r="X201" i="9"/>
  <c r="Y201" i="9"/>
  <c r="Z201" i="9"/>
  <c r="AA201" i="9"/>
  <c r="AB201" i="9"/>
  <c r="AC201" i="9"/>
  <c r="AD201" i="9"/>
  <c r="AE201" i="9"/>
  <c r="AF201" i="9"/>
  <c r="AG201" i="9"/>
  <c r="AH201" i="9"/>
  <c r="AI201" i="9"/>
  <c r="AJ201" i="9"/>
  <c r="AK201" i="9"/>
  <c r="AL201" i="9"/>
  <c r="AM201" i="9"/>
  <c r="AN201" i="9"/>
  <c r="AO201" i="9"/>
  <c r="AP201" i="9"/>
  <c r="AQ201" i="9"/>
  <c r="AR201" i="9"/>
  <c r="AS201" i="9"/>
  <c r="AT201" i="9"/>
  <c r="AU201" i="9"/>
  <c r="AV201" i="9"/>
  <c r="AW201" i="9"/>
  <c r="AX201" i="9"/>
  <c r="AY201" i="9"/>
  <c r="AZ201" i="9"/>
  <c r="BA201" i="9"/>
  <c r="BB201" i="9"/>
  <c r="BC201" i="9"/>
  <c r="BD201" i="9"/>
  <c r="BE201" i="9"/>
  <c r="BF201" i="9"/>
  <c r="BG201" i="9"/>
  <c r="BH201" i="9"/>
  <c r="BI201" i="9"/>
  <c r="BJ201" i="9"/>
  <c r="BK201" i="9"/>
  <c r="BL201" i="9"/>
  <c r="BM201" i="9"/>
  <c r="BN201" i="9"/>
  <c r="BO201" i="9"/>
  <c r="BP201" i="9"/>
  <c r="BQ201" i="9"/>
  <c r="BR201" i="9"/>
  <c r="BS201" i="9"/>
  <c r="BT201" i="9"/>
  <c r="BU201" i="9"/>
  <c r="BV201" i="9"/>
  <c r="BW201" i="9"/>
  <c r="BX201" i="9"/>
  <c r="BY201" i="9"/>
  <c r="BZ201" i="9"/>
  <c r="CA201" i="9"/>
  <c r="CB201" i="9"/>
  <c r="CC201" i="9"/>
  <c r="CD201" i="9"/>
  <c r="CE201" i="9"/>
  <c r="CF201" i="9"/>
  <c r="CG201" i="9"/>
  <c r="CH201" i="9"/>
  <c r="CI201" i="9"/>
  <c r="CJ201" i="9"/>
  <c r="CK201" i="9"/>
  <c r="CL201" i="9"/>
  <c r="CM201" i="9"/>
  <c r="CN201" i="9"/>
  <c r="CO201" i="9"/>
  <c r="CP201" i="9"/>
  <c r="CQ201" i="9"/>
  <c r="CR201" i="9"/>
  <c r="CS201" i="9"/>
  <c r="CT201" i="9"/>
  <c r="CU201" i="9"/>
  <c r="CV201" i="9"/>
  <c r="CW201" i="9"/>
  <c r="CX201" i="9"/>
  <c r="CY201" i="9"/>
  <c r="CZ201" i="9"/>
  <c r="DA201" i="9"/>
  <c r="DB201" i="9"/>
  <c r="DC201" i="9"/>
  <c r="DD201" i="9"/>
  <c r="DE201" i="9"/>
  <c r="DF201" i="9"/>
  <c r="DG201" i="9"/>
  <c r="DH201" i="9"/>
  <c r="DI201" i="9"/>
  <c r="DJ201" i="9"/>
  <c r="DK201" i="9"/>
  <c r="DL201" i="9"/>
  <c r="DM201" i="9"/>
  <c r="DN201" i="9"/>
  <c r="DO201" i="9"/>
  <c r="DP201" i="9"/>
  <c r="DQ201" i="9"/>
  <c r="DR201" i="9"/>
  <c r="DS201" i="9"/>
  <c r="DT201" i="9"/>
  <c r="DU201" i="9"/>
  <c r="DV201" i="9"/>
  <c r="DW201" i="9"/>
  <c r="DX201" i="9"/>
  <c r="DY201" i="9"/>
  <c r="DZ201" i="9"/>
  <c r="EA201" i="9"/>
  <c r="EB201" i="9"/>
  <c r="EC201" i="9"/>
  <c r="ED201" i="9"/>
  <c r="EE201" i="9"/>
  <c r="EF201" i="9"/>
  <c r="EG201" i="9"/>
  <c r="EH201" i="9"/>
  <c r="EI201" i="9"/>
  <c r="EJ201" i="9"/>
  <c r="EK201" i="9"/>
  <c r="EL201" i="9"/>
  <c r="EM201" i="9"/>
  <c r="EN201" i="9"/>
  <c r="EO201" i="9"/>
  <c r="EP201" i="9"/>
  <c r="EQ201" i="9"/>
  <c r="ER201" i="9"/>
  <c r="ES201" i="9"/>
  <c r="ET201" i="9"/>
  <c r="EU201" i="9"/>
  <c r="EV201" i="9"/>
  <c r="EW201" i="9"/>
  <c r="EX201" i="9"/>
  <c r="EY201" i="9"/>
  <c r="EZ201" i="9"/>
  <c r="FA201" i="9"/>
  <c r="FB201" i="9"/>
  <c r="FC201" i="9"/>
  <c r="FD201" i="9"/>
  <c r="FE201" i="9"/>
  <c r="FF201" i="9"/>
  <c r="FG201" i="9"/>
  <c r="FH201" i="9"/>
  <c r="FI201" i="9"/>
  <c r="FJ201" i="9"/>
  <c r="FK201" i="9"/>
  <c r="FL201" i="9"/>
  <c r="FM201" i="9"/>
  <c r="FN201" i="9"/>
  <c r="FO201" i="9"/>
  <c r="FP201" i="9"/>
  <c r="FQ201" i="9"/>
  <c r="FR201" i="9"/>
  <c r="FS201" i="9"/>
  <c r="FT201" i="9"/>
  <c r="FU201" i="9"/>
  <c r="FV201" i="9"/>
  <c r="FW201" i="9"/>
  <c r="FX201" i="9"/>
  <c r="FY201" i="9"/>
  <c r="FZ201" i="9"/>
  <c r="GA201" i="9"/>
  <c r="GB201" i="9"/>
  <c r="GC201" i="9"/>
  <c r="GD201" i="9"/>
  <c r="GE201" i="9"/>
  <c r="GF201" i="9"/>
  <c r="GG201" i="9"/>
  <c r="GH201" i="9"/>
  <c r="GI201" i="9"/>
  <c r="GJ201" i="9"/>
  <c r="GK201" i="9"/>
  <c r="GL201" i="9"/>
  <c r="GM201" i="9"/>
  <c r="GN201" i="9"/>
  <c r="GO201" i="9"/>
  <c r="GP201" i="9"/>
  <c r="GQ201" i="9"/>
  <c r="GR201" i="9"/>
  <c r="GS201" i="9"/>
  <c r="GT201" i="9"/>
  <c r="GU201" i="9"/>
  <c r="GV201" i="9"/>
  <c r="GW201" i="9"/>
  <c r="GX201" i="9"/>
  <c r="GY201" i="9"/>
  <c r="GZ201" i="9"/>
  <c r="HA201" i="9"/>
  <c r="HB201" i="9"/>
  <c r="HC201" i="9"/>
  <c r="HD201" i="9"/>
  <c r="HE201" i="9"/>
  <c r="HF201" i="9"/>
  <c r="HG201" i="9"/>
  <c r="HH201" i="9"/>
  <c r="HI201" i="9"/>
  <c r="HJ201" i="9"/>
  <c r="HK201" i="9"/>
  <c r="HL201" i="9"/>
  <c r="HM201" i="9"/>
  <c r="HN201" i="9"/>
  <c r="HO201" i="9"/>
  <c r="HP201" i="9"/>
  <c r="HQ201" i="9"/>
  <c r="HR201" i="9"/>
  <c r="HS201" i="9"/>
  <c r="HT201" i="9"/>
  <c r="HU201" i="9"/>
  <c r="HV201" i="9"/>
  <c r="HW201" i="9"/>
  <c r="HX201" i="9"/>
  <c r="HY201" i="9"/>
  <c r="HZ201" i="9"/>
  <c r="IA201" i="9"/>
  <c r="IB201" i="9"/>
  <c r="IC201" i="9"/>
  <c r="ID201" i="9"/>
  <c r="IE201" i="9"/>
  <c r="IF201" i="9"/>
  <c r="IG201" i="9"/>
  <c r="IH201" i="9"/>
  <c r="II201" i="9"/>
  <c r="IJ201" i="9"/>
  <c r="IK201" i="9"/>
  <c r="IL201" i="9"/>
  <c r="IM201" i="9"/>
  <c r="IN201" i="9"/>
  <c r="IO201" i="9"/>
  <c r="IP201" i="9"/>
  <c r="IQ201" i="9"/>
  <c r="IR201" i="9"/>
  <c r="IS201" i="9"/>
  <c r="IT201" i="9"/>
  <c r="IU201" i="9"/>
  <c r="IV201" i="9"/>
  <c r="A200" i="9"/>
  <c r="B200" i="9"/>
  <c r="C200" i="9"/>
  <c r="D200" i="9"/>
  <c r="E200" i="9"/>
  <c r="F200" i="9"/>
  <c r="G200" i="9"/>
  <c r="H200" i="9"/>
  <c r="I200" i="9"/>
  <c r="J200" i="9"/>
  <c r="K200" i="9"/>
  <c r="L200" i="9"/>
  <c r="M200" i="9"/>
  <c r="N200" i="9"/>
  <c r="O200" i="9"/>
  <c r="P200" i="9"/>
  <c r="Q200" i="9"/>
  <c r="R200" i="9"/>
  <c r="S200" i="9"/>
  <c r="T200" i="9"/>
  <c r="U200" i="9"/>
  <c r="V200" i="9"/>
  <c r="W200" i="9"/>
  <c r="X200" i="9"/>
  <c r="Y200" i="9"/>
  <c r="Z200" i="9"/>
  <c r="AA200" i="9"/>
  <c r="AB200" i="9"/>
  <c r="AC200" i="9"/>
  <c r="AD200" i="9"/>
  <c r="AE200" i="9"/>
  <c r="AF200" i="9"/>
  <c r="AG200" i="9"/>
  <c r="AH200" i="9"/>
  <c r="AI200" i="9"/>
  <c r="AJ200" i="9"/>
  <c r="AK200" i="9"/>
  <c r="AL200" i="9"/>
  <c r="AM200" i="9"/>
  <c r="AN200" i="9"/>
  <c r="AO200" i="9"/>
  <c r="AP200" i="9"/>
  <c r="AQ200" i="9"/>
  <c r="AR200" i="9"/>
  <c r="AS200" i="9"/>
  <c r="AT200" i="9"/>
  <c r="AU200" i="9"/>
  <c r="AV200" i="9"/>
  <c r="AW200" i="9"/>
  <c r="AX200" i="9"/>
  <c r="AY200" i="9"/>
  <c r="AZ200" i="9"/>
  <c r="BA200" i="9"/>
  <c r="BB200" i="9"/>
  <c r="BC200" i="9"/>
  <c r="BD200" i="9"/>
  <c r="BE200" i="9"/>
  <c r="BF200" i="9"/>
  <c r="BG200" i="9"/>
  <c r="BH200" i="9"/>
  <c r="BI200" i="9"/>
  <c r="BJ200" i="9"/>
  <c r="BK200" i="9"/>
  <c r="BL200" i="9"/>
  <c r="BM200" i="9"/>
  <c r="BN200" i="9"/>
  <c r="BO200" i="9"/>
  <c r="BP200" i="9"/>
  <c r="BQ200" i="9"/>
  <c r="BR200" i="9"/>
  <c r="BS200" i="9"/>
  <c r="BT200" i="9"/>
  <c r="BU200" i="9"/>
  <c r="BV200" i="9"/>
  <c r="BW200" i="9"/>
  <c r="BX200" i="9"/>
  <c r="BY200" i="9"/>
  <c r="BZ200" i="9"/>
  <c r="CA200" i="9"/>
  <c r="CB200" i="9"/>
  <c r="CC200" i="9"/>
  <c r="CD200" i="9"/>
  <c r="CE200" i="9"/>
  <c r="CF200" i="9"/>
  <c r="CG200" i="9"/>
  <c r="CH200" i="9"/>
  <c r="CI200" i="9"/>
  <c r="CJ200" i="9"/>
  <c r="CK200" i="9"/>
  <c r="CL200" i="9"/>
  <c r="CM200" i="9"/>
  <c r="CN200" i="9"/>
  <c r="CO200" i="9"/>
  <c r="CP200" i="9"/>
  <c r="CQ200" i="9"/>
  <c r="CR200" i="9"/>
  <c r="CS200" i="9"/>
  <c r="CT200" i="9"/>
  <c r="CU200" i="9"/>
  <c r="CV200" i="9"/>
  <c r="CW200" i="9"/>
  <c r="CX200" i="9"/>
  <c r="CY200" i="9"/>
  <c r="CZ200" i="9"/>
  <c r="DA200" i="9"/>
  <c r="DB200" i="9"/>
  <c r="DC200" i="9"/>
  <c r="DD200" i="9"/>
  <c r="DE200" i="9"/>
  <c r="DF200" i="9"/>
  <c r="DG200" i="9"/>
  <c r="DH200" i="9"/>
  <c r="DI200" i="9"/>
  <c r="DJ200" i="9"/>
  <c r="DK200" i="9"/>
  <c r="DL200" i="9"/>
  <c r="DM200" i="9"/>
  <c r="DN200" i="9"/>
  <c r="DO200" i="9"/>
  <c r="DP200" i="9"/>
  <c r="DQ200" i="9"/>
  <c r="DR200" i="9"/>
  <c r="DS200" i="9"/>
  <c r="DT200" i="9"/>
  <c r="DU200" i="9"/>
  <c r="DV200" i="9"/>
  <c r="DW200" i="9"/>
  <c r="DX200" i="9"/>
  <c r="DY200" i="9"/>
  <c r="DZ200" i="9"/>
  <c r="EA200" i="9"/>
  <c r="EB200" i="9"/>
  <c r="EC200" i="9"/>
  <c r="ED200" i="9"/>
  <c r="EE200" i="9"/>
  <c r="EF200" i="9"/>
  <c r="EG200" i="9"/>
  <c r="EH200" i="9"/>
  <c r="EI200" i="9"/>
  <c r="EJ200" i="9"/>
  <c r="EK200" i="9"/>
  <c r="EL200" i="9"/>
  <c r="EM200" i="9"/>
  <c r="EN200" i="9"/>
  <c r="EO200" i="9"/>
  <c r="EP200" i="9"/>
  <c r="EQ200" i="9"/>
  <c r="ER200" i="9"/>
  <c r="ES200" i="9"/>
  <c r="ET200" i="9"/>
  <c r="EU200" i="9"/>
  <c r="EV200" i="9"/>
  <c r="EW200" i="9"/>
  <c r="EX200" i="9"/>
  <c r="EY200" i="9"/>
  <c r="EZ200" i="9"/>
  <c r="FA200" i="9"/>
  <c r="FB200" i="9"/>
  <c r="FC200" i="9"/>
  <c r="FD200" i="9"/>
  <c r="FE200" i="9"/>
  <c r="FF200" i="9"/>
  <c r="FG200" i="9"/>
  <c r="FH200" i="9"/>
  <c r="FI200" i="9"/>
  <c r="FJ200" i="9"/>
  <c r="FK200" i="9"/>
  <c r="FL200" i="9"/>
  <c r="FM200" i="9"/>
  <c r="FN200" i="9"/>
  <c r="FO200" i="9"/>
  <c r="FP200" i="9"/>
  <c r="FQ200" i="9"/>
  <c r="FR200" i="9"/>
  <c r="FS200" i="9"/>
  <c r="FT200" i="9"/>
  <c r="FU200" i="9"/>
  <c r="FV200" i="9"/>
  <c r="FW200" i="9"/>
  <c r="FX200" i="9"/>
  <c r="FY200" i="9"/>
  <c r="FZ200" i="9"/>
  <c r="GA200" i="9"/>
  <c r="GB200" i="9"/>
  <c r="GC200" i="9"/>
  <c r="GD200" i="9"/>
  <c r="GE200" i="9"/>
  <c r="GF200" i="9"/>
  <c r="GG200" i="9"/>
  <c r="GH200" i="9"/>
  <c r="GI200" i="9"/>
  <c r="GJ200" i="9"/>
  <c r="GK200" i="9"/>
  <c r="GL200" i="9"/>
  <c r="GM200" i="9"/>
  <c r="GN200" i="9"/>
  <c r="GO200" i="9"/>
  <c r="GP200" i="9"/>
  <c r="GQ200" i="9"/>
  <c r="GR200" i="9"/>
  <c r="GS200" i="9"/>
  <c r="GT200" i="9"/>
  <c r="GU200" i="9"/>
  <c r="GV200" i="9"/>
  <c r="GW200" i="9"/>
  <c r="GX200" i="9"/>
  <c r="GY200" i="9"/>
  <c r="GZ200" i="9"/>
  <c r="HA200" i="9"/>
  <c r="HB200" i="9"/>
  <c r="HC200" i="9"/>
  <c r="HD200" i="9"/>
  <c r="HE200" i="9"/>
  <c r="HF200" i="9"/>
  <c r="HG200" i="9"/>
  <c r="HH200" i="9"/>
  <c r="HI200" i="9"/>
  <c r="HJ200" i="9"/>
  <c r="HK200" i="9"/>
  <c r="HL200" i="9"/>
  <c r="HM200" i="9"/>
  <c r="HN200" i="9"/>
  <c r="HO200" i="9"/>
  <c r="HP200" i="9"/>
  <c r="HQ200" i="9"/>
  <c r="HR200" i="9"/>
  <c r="HS200" i="9"/>
  <c r="HT200" i="9"/>
  <c r="HU200" i="9"/>
  <c r="HV200" i="9"/>
  <c r="HW200" i="9"/>
  <c r="HX200" i="9"/>
  <c r="HY200" i="9"/>
  <c r="HZ200" i="9"/>
  <c r="IA200" i="9"/>
  <c r="IB200" i="9"/>
  <c r="IC200" i="9"/>
  <c r="ID200" i="9"/>
  <c r="IE200" i="9"/>
  <c r="IF200" i="9"/>
  <c r="IG200" i="9"/>
  <c r="IH200" i="9"/>
  <c r="II200" i="9"/>
  <c r="IJ200" i="9"/>
  <c r="IK200" i="9"/>
  <c r="IL200" i="9"/>
  <c r="IM200" i="9"/>
  <c r="IN200" i="9"/>
  <c r="IO200" i="9"/>
  <c r="IP200" i="9"/>
  <c r="IQ200" i="9"/>
  <c r="IR200" i="9"/>
  <c r="IS200" i="9"/>
  <c r="IT200" i="9"/>
  <c r="IU200" i="9"/>
  <c r="IV200" i="9"/>
  <c r="A199" i="9"/>
  <c r="B199" i="9"/>
  <c r="C199" i="9"/>
  <c r="D199" i="9"/>
  <c r="E199" i="9"/>
  <c r="F199" i="9"/>
  <c r="G199" i="9"/>
  <c r="H199" i="9"/>
  <c r="I199" i="9"/>
  <c r="J199" i="9"/>
  <c r="K199" i="9"/>
  <c r="L199" i="9"/>
  <c r="M199" i="9"/>
  <c r="N199" i="9"/>
  <c r="O199" i="9"/>
  <c r="P199" i="9"/>
  <c r="Q199" i="9"/>
  <c r="R199" i="9"/>
  <c r="S199" i="9"/>
  <c r="T199" i="9"/>
  <c r="U199" i="9"/>
  <c r="V199" i="9"/>
  <c r="W199" i="9"/>
  <c r="X199" i="9"/>
  <c r="Y199" i="9"/>
  <c r="Z199" i="9"/>
  <c r="AA199" i="9"/>
  <c r="AB199" i="9"/>
  <c r="AC199" i="9"/>
  <c r="AD199" i="9"/>
  <c r="AE199" i="9"/>
  <c r="AF199" i="9"/>
  <c r="AG199" i="9"/>
  <c r="AH199" i="9"/>
  <c r="AI199" i="9"/>
  <c r="AJ199" i="9"/>
  <c r="AK199" i="9"/>
  <c r="AL199" i="9"/>
  <c r="AM199" i="9"/>
  <c r="AN199" i="9"/>
  <c r="AO199" i="9"/>
  <c r="AP199" i="9"/>
  <c r="AQ199" i="9"/>
  <c r="AR199" i="9"/>
  <c r="AS199" i="9"/>
  <c r="AT199" i="9"/>
  <c r="AU199" i="9"/>
  <c r="AV199" i="9"/>
  <c r="AW199" i="9"/>
  <c r="AX199" i="9"/>
  <c r="AY199" i="9"/>
  <c r="AZ199" i="9"/>
  <c r="BA199" i="9"/>
  <c r="BB199" i="9"/>
  <c r="BC199" i="9"/>
  <c r="BD199" i="9"/>
  <c r="BE199" i="9"/>
  <c r="BF199" i="9"/>
  <c r="BG199" i="9"/>
  <c r="BH199" i="9"/>
  <c r="BI199" i="9"/>
  <c r="BJ199" i="9"/>
  <c r="BK199" i="9"/>
  <c r="BL199" i="9"/>
  <c r="BM199" i="9"/>
  <c r="BN199" i="9"/>
  <c r="BO199" i="9"/>
  <c r="BP199" i="9"/>
  <c r="BQ199" i="9"/>
  <c r="BR199" i="9"/>
  <c r="BS199" i="9"/>
  <c r="BT199" i="9"/>
  <c r="BU199" i="9"/>
  <c r="BV199" i="9"/>
  <c r="BW199" i="9"/>
  <c r="BX199" i="9"/>
  <c r="BY199" i="9"/>
  <c r="BZ199" i="9"/>
  <c r="CA199" i="9"/>
  <c r="CB199" i="9"/>
  <c r="CC199" i="9"/>
  <c r="CD199" i="9"/>
  <c r="CE199" i="9"/>
  <c r="CF199" i="9"/>
  <c r="CG199" i="9"/>
  <c r="CH199" i="9"/>
  <c r="CI199" i="9"/>
  <c r="CJ199" i="9"/>
  <c r="CK199" i="9"/>
  <c r="CL199" i="9"/>
  <c r="CM199" i="9"/>
  <c r="CN199" i="9"/>
  <c r="CO199" i="9"/>
  <c r="CP199" i="9"/>
  <c r="CQ199" i="9"/>
  <c r="CR199" i="9"/>
  <c r="CS199" i="9"/>
  <c r="CT199" i="9"/>
  <c r="CU199" i="9"/>
  <c r="CV199" i="9"/>
  <c r="CW199" i="9"/>
  <c r="CX199" i="9"/>
  <c r="CY199" i="9"/>
  <c r="CZ199" i="9"/>
  <c r="DA199" i="9"/>
  <c r="DB199" i="9"/>
  <c r="DC199" i="9"/>
  <c r="DD199" i="9"/>
  <c r="DE199" i="9"/>
  <c r="DF199" i="9"/>
  <c r="DG199" i="9"/>
  <c r="DH199" i="9"/>
  <c r="DI199" i="9"/>
  <c r="DJ199" i="9"/>
  <c r="DK199" i="9"/>
  <c r="DL199" i="9"/>
  <c r="DM199" i="9"/>
  <c r="DN199" i="9"/>
  <c r="DO199" i="9"/>
  <c r="DP199" i="9"/>
  <c r="DQ199" i="9"/>
  <c r="DR199" i="9"/>
  <c r="DS199" i="9"/>
  <c r="DT199" i="9"/>
  <c r="DU199" i="9"/>
  <c r="DV199" i="9"/>
  <c r="DW199" i="9"/>
  <c r="DX199" i="9"/>
  <c r="DY199" i="9"/>
  <c r="DZ199" i="9"/>
  <c r="EA199" i="9"/>
  <c r="EB199" i="9"/>
  <c r="EC199" i="9"/>
  <c r="ED199" i="9"/>
  <c r="EE199" i="9"/>
  <c r="EF199" i="9"/>
  <c r="EG199" i="9"/>
  <c r="EH199" i="9"/>
  <c r="EI199" i="9"/>
  <c r="EJ199" i="9"/>
  <c r="EK199" i="9"/>
  <c r="EL199" i="9"/>
  <c r="EM199" i="9"/>
  <c r="EN199" i="9"/>
  <c r="EO199" i="9"/>
  <c r="EP199" i="9"/>
  <c r="EQ199" i="9"/>
  <c r="ER199" i="9"/>
  <c r="ES199" i="9"/>
  <c r="ET199" i="9"/>
  <c r="EU199" i="9"/>
  <c r="EV199" i="9"/>
  <c r="EW199" i="9"/>
  <c r="EX199" i="9"/>
  <c r="EY199" i="9"/>
  <c r="EZ199" i="9"/>
  <c r="FA199" i="9"/>
  <c r="FB199" i="9"/>
  <c r="FC199" i="9"/>
  <c r="FD199" i="9"/>
  <c r="FE199" i="9"/>
  <c r="FF199" i="9"/>
  <c r="FG199" i="9"/>
  <c r="FH199" i="9"/>
  <c r="FI199" i="9"/>
  <c r="FJ199" i="9"/>
  <c r="FK199" i="9"/>
  <c r="FL199" i="9"/>
  <c r="FM199" i="9"/>
  <c r="FN199" i="9"/>
  <c r="FO199" i="9"/>
  <c r="FP199" i="9"/>
  <c r="FQ199" i="9"/>
  <c r="FR199" i="9"/>
  <c r="FS199" i="9"/>
  <c r="FT199" i="9"/>
  <c r="FU199" i="9"/>
  <c r="FV199" i="9"/>
  <c r="FW199" i="9"/>
  <c r="FX199" i="9"/>
  <c r="FY199" i="9"/>
  <c r="FZ199" i="9"/>
  <c r="GA199" i="9"/>
  <c r="GB199" i="9"/>
  <c r="GC199" i="9"/>
  <c r="GD199" i="9"/>
  <c r="GE199" i="9"/>
  <c r="GF199" i="9"/>
  <c r="GG199" i="9"/>
  <c r="GH199" i="9"/>
  <c r="GI199" i="9"/>
  <c r="GJ199" i="9"/>
  <c r="GK199" i="9"/>
  <c r="GL199" i="9"/>
  <c r="GM199" i="9"/>
  <c r="GN199" i="9"/>
  <c r="GO199" i="9"/>
  <c r="GP199" i="9"/>
  <c r="GQ199" i="9"/>
  <c r="GR199" i="9"/>
  <c r="GS199" i="9"/>
  <c r="GT199" i="9"/>
  <c r="GU199" i="9"/>
  <c r="GV199" i="9"/>
  <c r="GW199" i="9"/>
  <c r="GX199" i="9"/>
  <c r="GY199" i="9"/>
  <c r="GZ199" i="9"/>
  <c r="HA199" i="9"/>
  <c r="HB199" i="9"/>
  <c r="HC199" i="9"/>
  <c r="HD199" i="9"/>
  <c r="HE199" i="9"/>
  <c r="HF199" i="9"/>
  <c r="HG199" i="9"/>
  <c r="HH199" i="9"/>
  <c r="HI199" i="9"/>
  <c r="HJ199" i="9"/>
  <c r="HK199" i="9"/>
  <c r="HL199" i="9"/>
  <c r="HM199" i="9"/>
  <c r="HN199" i="9"/>
  <c r="HO199" i="9"/>
  <c r="HP199" i="9"/>
  <c r="HQ199" i="9"/>
  <c r="HR199" i="9"/>
  <c r="HS199" i="9"/>
  <c r="HT199" i="9"/>
  <c r="HU199" i="9"/>
  <c r="HV199" i="9"/>
  <c r="HW199" i="9"/>
  <c r="HX199" i="9"/>
  <c r="HY199" i="9"/>
  <c r="HZ199" i="9"/>
  <c r="IA199" i="9"/>
  <c r="IB199" i="9"/>
  <c r="IC199" i="9"/>
  <c r="ID199" i="9"/>
  <c r="IE199" i="9"/>
  <c r="IF199" i="9"/>
  <c r="IG199" i="9"/>
  <c r="IH199" i="9"/>
  <c r="II199" i="9"/>
  <c r="IJ199" i="9"/>
  <c r="IK199" i="9"/>
  <c r="IL199" i="9"/>
  <c r="IM199" i="9"/>
  <c r="IN199" i="9"/>
  <c r="IO199" i="9"/>
  <c r="IP199" i="9"/>
  <c r="IQ199" i="9"/>
  <c r="IR199" i="9"/>
  <c r="IS199" i="9"/>
  <c r="IT199" i="9"/>
  <c r="IU199" i="9"/>
  <c r="IV199" i="9"/>
  <c r="A198" i="9"/>
  <c r="B198" i="9"/>
  <c r="C198" i="9"/>
  <c r="D198" i="9"/>
  <c r="E198" i="9"/>
  <c r="F198" i="9"/>
  <c r="G198" i="9"/>
  <c r="H198" i="9"/>
  <c r="I198" i="9"/>
  <c r="J198" i="9"/>
  <c r="K198" i="9"/>
  <c r="L198" i="9"/>
  <c r="M198" i="9"/>
  <c r="N198" i="9"/>
  <c r="O198" i="9"/>
  <c r="P198" i="9"/>
  <c r="Q198" i="9"/>
  <c r="R198" i="9"/>
  <c r="S198" i="9"/>
  <c r="T198" i="9"/>
  <c r="U198" i="9"/>
  <c r="V198" i="9"/>
  <c r="W198" i="9"/>
  <c r="X198" i="9"/>
  <c r="Y198" i="9"/>
  <c r="Z198" i="9"/>
  <c r="AA198" i="9"/>
  <c r="AB198" i="9"/>
  <c r="AC198" i="9"/>
  <c r="AD198" i="9"/>
  <c r="AE198" i="9"/>
  <c r="AF198" i="9"/>
  <c r="AG198" i="9"/>
  <c r="AH198" i="9"/>
  <c r="AI198" i="9"/>
  <c r="AJ198" i="9"/>
  <c r="AK198" i="9"/>
  <c r="AL198" i="9"/>
  <c r="AM198" i="9"/>
  <c r="AN198" i="9"/>
  <c r="AO198" i="9"/>
  <c r="AP198" i="9"/>
  <c r="AQ198" i="9"/>
  <c r="AR198" i="9"/>
  <c r="AS198" i="9"/>
  <c r="AT198" i="9"/>
  <c r="AU198" i="9"/>
  <c r="AV198" i="9"/>
  <c r="AW198" i="9"/>
  <c r="AX198" i="9"/>
  <c r="AY198" i="9"/>
  <c r="AZ198" i="9"/>
  <c r="BA198" i="9"/>
  <c r="BB198" i="9"/>
  <c r="BC198" i="9"/>
  <c r="BD198" i="9"/>
  <c r="BE198" i="9"/>
  <c r="BF198" i="9"/>
  <c r="BG198" i="9"/>
  <c r="BH198" i="9"/>
  <c r="BI198" i="9"/>
  <c r="BJ198" i="9"/>
  <c r="BK198" i="9"/>
  <c r="BL198" i="9"/>
  <c r="BM198" i="9"/>
  <c r="BN198" i="9"/>
  <c r="BO198" i="9"/>
  <c r="BP198" i="9"/>
  <c r="BQ198" i="9"/>
  <c r="BR198" i="9"/>
  <c r="BS198" i="9"/>
  <c r="BT198" i="9"/>
  <c r="BU198" i="9"/>
  <c r="BV198" i="9"/>
  <c r="BW198" i="9"/>
  <c r="BX198" i="9"/>
  <c r="BY198" i="9"/>
  <c r="BZ198" i="9"/>
  <c r="CA198" i="9"/>
  <c r="CB198" i="9"/>
  <c r="CC198" i="9"/>
  <c r="CD198" i="9"/>
  <c r="CE198" i="9"/>
  <c r="CF198" i="9"/>
  <c r="CG198" i="9"/>
  <c r="CH198" i="9"/>
  <c r="CI198" i="9"/>
  <c r="CJ198" i="9"/>
  <c r="CK198" i="9"/>
  <c r="CL198" i="9"/>
  <c r="CM198" i="9"/>
  <c r="CN198" i="9"/>
  <c r="CO198" i="9"/>
  <c r="CP198" i="9"/>
  <c r="CQ198" i="9"/>
  <c r="CR198" i="9"/>
  <c r="CS198" i="9"/>
  <c r="CT198" i="9"/>
  <c r="CU198" i="9"/>
  <c r="CV198" i="9"/>
  <c r="CW198" i="9"/>
  <c r="CX198" i="9"/>
  <c r="CY198" i="9"/>
  <c r="CZ198" i="9"/>
  <c r="DA198" i="9"/>
  <c r="DB198" i="9"/>
  <c r="DC198" i="9"/>
  <c r="DD198" i="9"/>
  <c r="DE198" i="9"/>
  <c r="DF198" i="9"/>
  <c r="DG198" i="9"/>
  <c r="DH198" i="9"/>
  <c r="DI198" i="9"/>
  <c r="DJ198" i="9"/>
  <c r="DK198" i="9"/>
  <c r="DL198" i="9"/>
  <c r="DM198" i="9"/>
  <c r="DN198" i="9"/>
  <c r="DO198" i="9"/>
  <c r="DP198" i="9"/>
  <c r="DQ198" i="9"/>
  <c r="DR198" i="9"/>
  <c r="DS198" i="9"/>
  <c r="DT198" i="9"/>
  <c r="DU198" i="9"/>
  <c r="DV198" i="9"/>
  <c r="DW198" i="9"/>
  <c r="DX198" i="9"/>
  <c r="DY198" i="9"/>
  <c r="DZ198" i="9"/>
  <c r="EA198" i="9"/>
  <c r="EB198" i="9"/>
  <c r="EC198" i="9"/>
  <c r="ED198" i="9"/>
  <c r="EE198" i="9"/>
  <c r="EF198" i="9"/>
  <c r="EG198" i="9"/>
  <c r="EH198" i="9"/>
  <c r="EI198" i="9"/>
  <c r="EJ198" i="9"/>
  <c r="EK198" i="9"/>
  <c r="EL198" i="9"/>
  <c r="EM198" i="9"/>
  <c r="EN198" i="9"/>
  <c r="EO198" i="9"/>
  <c r="EP198" i="9"/>
  <c r="EQ198" i="9"/>
  <c r="ER198" i="9"/>
  <c r="ES198" i="9"/>
  <c r="ET198" i="9"/>
  <c r="EU198" i="9"/>
  <c r="EV198" i="9"/>
  <c r="EW198" i="9"/>
  <c r="EX198" i="9"/>
  <c r="EY198" i="9"/>
  <c r="EZ198" i="9"/>
  <c r="FA198" i="9"/>
  <c r="FB198" i="9"/>
  <c r="FC198" i="9"/>
  <c r="FD198" i="9"/>
  <c r="FE198" i="9"/>
  <c r="FF198" i="9"/>
  <c r="FG198" i="9"/>
  <c r="FH198" i="9"/>
  <c r="FI198" i="9"/>
  <c r="FJ198" i="9"/>
  <c r="FK198" i="9"/>
  <c r="FL198" i="9"/>
  <c r="FM198" i="9"/>
  <c r="FN198" i="9"/>
  <c r="FO198" i="9"/>
  <c r="FP198" i="9"/>
  <c r="FQ198" i="9"/>
  <c r="FR198" i="9"/>
  <c r="FS198" i="9"/>
  <c r="FT198" i="9"/>
  <c r="FU198" i="9"/>
  <c r="FV198" i="9"/>
  <c r="FW198" i="9"/>
  <c r="FX198" i="9"/>
  <c r="FY198" i="9"/>
  <c r="FZ198" i="9"/>
  <c r="GA198" i="9"/>
  <c r="GB198" i="9"/>
  <c r="GC198" i="9"/>
  <c r="GD198" i="9"/>
  <c r="GE198" i="9"/>
  <c r="GF198" i="9"/>
  <c r="GG198" i="9"/>
  <c r="GH198" i="9"/>
  <c r="GI198" i="9"/>
  <c r="GJ198" i="9"/>
  <c r="GK198" i="9"/>
  <c r="GL198" i="9"/>
  <c r="GM198" i="9"/>
  <c r="GN198" i="9"/>
  <c r="GO198" i="9"/>
  <c r="GP198" i="9"/>
  <c r="GQ198" i="9"/>
  <c r="GR198" i="9"/>
  <c r="GS198" i="9"/>
  <c r="GT198" i="9"/>
  <c r="GU198" i="9"/>
  <c r="GV198" i="9"/>
  <c r="GW198" i="9"/>
  <c r="GX198" i="9"/>
  <c r="GY198" i="9"/>
  <c r="GZ198" i="9"/>
  <c r="HA198" i="9"/>
  <c r="HB198" i="9"/>
  <c r="HC198" i="9"/>
  <c r="HD198" i="9"/>
  <c r="HE198" i="9"/>
  <c r="HF198" i="9"/>
  <c r="HG198" i="9"/>
  <c r="HH198" i="9"/>
  <c r="HI198" i="9"/>
  <c r="HJ198" i="9"/>
  <c r="HK198" i="9"/>
  <c r="HL198" i="9"/>
  <c r="HM198" i="9"/>
  <c r="HN198" i="9"/>
  <c r="HO198" i="9"/>
  <c r="HP198" i="9"/>
  <c r="HQ198" i="9"/>
  <c r="HR198" i="9"/>
  <c r="HS198" i="9"/>
  <c r="HT198" i="9"/>
  <c r="HU198" i="9"/>
  <c r="HV198" i="9"/>
  <c r="HW198" i="9"/>
  <c r="HX198" i="9"/>
  <c r="HY198" i="9"/>
  <c r="HZ198" i="9"/>
  <c r="IA198" i="9"/>
  <c r="IB198" i="9"/>
  <c r="IC198" i="9"/>
  <c r="ID198" i="9"/>
  <c r="IE198" i="9"/>
  <c r="IF198" i="9"/>
  <c r="IG198" i="9"/>
  <c r="IH198" i="9"/>
  <c r="II198" i="9"/>
  <c r="IJ198" i="9"/>
  <c r="IK198" i="9"/>
  <c r="IL198" i="9"/>
  <c r="IM198" i="9"/>
  <c r="IN198" i="9"/>
  <c r="IO198" i="9"/>
  <c r="IP198" i="9"/>
  <c r="IQ198" i="9"/>
  <c r="IR198" i="9"/>
  <c r="IS198" i="9"/>
  <c r="IT198" i="9"/>
  <c r="IU198" i="9"/>
  <c r="IV198" i="9"/>
  <c r="A197" i="9"/>
  <c r="B197" i="9"/>
  <c r="C197" i="9"/>
  <c r="D197" i="9"/>
  <c r="E197" i="9"/>
  <c r="F197" i="9"/>
  <c r="G197" i="9"/>
  <c r="H197" i="9"/>
  <c r="I197" i="9"/>
  <c r="J197" i="9"/>
  <c r="K197" i="9"/>
  <c r="L197" i="9"/>
  <c r="M197" i="9"/>
  <c r="N197" i="9"/>
  <c r="O197" i="9"/>
  <c r="P197" i="9"/>
  <c r="Q197" i="9"/>
  <c r="R197" i="9"/>
  <c r="S197" i="9"/>
  <c r="T197" i="9"/>
  <c r="U197" i="9"/>
  <c r="V197" i="9"/>
  <c r="W197" i="9"/>
  <c r="X197" i="9"/>
  <c r="Y197" i="9"/>
  <c r="Z197" i="9"/>
  <c r="AA197" i="9"/>
  <c r="AB197" i="9"/>
  <c r="AC197" i="9"/>
  <c r="AD197" i="9"/>
  <c r="AE197" i="9"/>
  <c r="AF197" i="9"/>
  <c r="AG197" i="9"/>
  <c r="AH197" i="9"/>
  <c r="AI197" i="9"/>
  <c r="AJ197" i="9"/>
  <c r="AK197" i="9"/>
  <c r="AL197" i="9"/>
  <c r="AM197" i="9"/>
  <c r="AN197" i="9"/>
  <c r="AO197" i="9"/>
  <c r="AP197" i="9"/>
  <c r="AQ197" i="9"/>
  <c r="AR197" i="9"/>
  <c r="AS197" i="9"/>
  <c r="AT197" i="9"/>
  <c r="AU197" i="9"/>
  <c r="AV197" i="9"/>
  <c r="AW197" i="9"/>
  <c r="AX197" i="9"/>
  <c r="AY197" i="9"/>
  <c r="AZ197" i="9"/>
  <c r="BA197" i="9"/>
  <c r="BB197" i="9"/>
  <c r="BC197" i="9"/>
  <c r="BD197" i="9"/>
  <c r="BE197" i="9"/>
  <c r="BF197" i="9"/>
  <c r="BG197" i="9"/>
  <c r="BH197" i="9"/>
  <c r="BI197" i="9"/>
  <c r="BJ197" i="9"/>
  <c r="BK197" i="9"/>
  <c r="BL197" i="9"/>
  <c r="BM197" i="9"/>
  <c r="BN197" i="9"/>
  <c r="BO197" i="9"/>
  <c r="BP197" i="9"/>
  <c r="BQ197" i="9"/>
  <c r="BR197" i="9"/>
  <c r="BS197" i="9"/>
  <c r="BT197" i="9"/>
  <c r="BU197" i="9"/>
  <c r="BV197" i="9"/>
  <c r="BW197" i="9"/>
  <c r="BX197" i="9"/>
  <c r="BY197" i="9"/>
  <c r="BZ197" i="9"/>
  <c r="CA197" i="9"/>
  <c r="CB197" i="9"/>
  <c r="CC197" i="9"/>
  <c r="CD197" i="9"/>
  <c r="CE197" i="9"/>
  <c r="CF197" i="9"/>
  <c r="CG197" i="9"/>
  <c r="CH197" i="9"/>
  <c r="CI197" i="9"/>
  <c r="CJ197" i="9"/>
  <c r="CK197" i="9"/>
  <c r="CL197" i="9"/>
  <c r="CM197" i="9"/>
  <c r="CN197" i="9"/>
  <c r="CO197" i="9"/>
  <c r="CP197" i="9"/>
  <c r="CQ197" i="9"/>
  <c r="CR197" i="9"/>
  <c r="CS197" i="9"/>
  <c r="CT197" i="9"/>
  <c r="CU197" i="9"/>
  <c r="CV197" i="9"/>
  <c r="CW197" i="9"/>
  <c r="CX197" i="9"/>
  <c r="CY197" i="9"/>
  <c r="CZ197" i="9"/>
  <c r="DA197" i="9"/>
  <c r="DB197" i="9"/>
  <c r="DC197" i="9"/>
  <c r="DD197" i="9"/>
  <c r="DE197" i="9"/>
  <c r="DF197" i="9"/>
  <c r="DG197" i="9"/>
  <c r="DH197" i="9"/>
  <c r="DI197" i="9"/>
  <c r="DJ197" i="9"/>
  <c r="DK197" i="9"/>
  <c r="DL197" i="9"/>
  <c r="DM197" i="9"/>
  <c r="DN197" i="9"/>
  <c r="DO197" i="9"/>
  <c r="DP197" i="9"/>
  <c r="DQ197" i="9"/>
  <c r="DR197" i="9"/>
  <c r="DS197" i="9"/>
  <c r="DT197" i="9"/>
  <c r="DU197" i="9"/>
  <c r="DV197" i="9"/>
  <c r="DW197" i="9"/>
  <c r="DX197" i="9"/>
  <c r="DY197" i="9"/>
  <c r="DZ197" i="9"/>
  <c r="EA197" i="9"/>
  <c r="EB197" i="9"/>
  <c r="EC197" i="9"/>
  <c r="ED197" i="9"/>
  <c r="EE197" i="9"/>
  <c r="EF197" i="9"/>
  <c r="EG197" i="9"/>
  <c r="EH197" i="9"/>
  <c r="EI197" i="9"/>
  <c r="EJ197" i="9"/>
  <c r="EK197" i="9"/>
  <c r="EL197" i="9"/>
  <c r="EM197" i="9"/>
  <c r="EN197" i="9"/>
  <c r="EO197" i="9"/>
  <c r="EP197" i="9"/>
  <c r="EQ197" i="9"/>
  <c r="ER197" i="9"/>
  <c r="ES197" i="9"/>
  <c r="ET197" i="9"/>
  <c r="EU197" i="9"/>
  <c r="EV197" i="9"/>
  <c r="EW197" i="9"/>
  <c r="EX197" i="9"/>
  <c r="EY197" i="9"/>
  <c r="EZ197" i="9"/>
  <c r="FA197" i="9"/>
  <c r="FB197" i="9"/>
  <c r="FC197" i="9"/>
  <c r="FD197" i="9"/>
  <c r="FE197" i="9"/>
  <c r="FF197" i="9"/>
  <c r="FG197" i="9"/>
  <c r="FH197" i="9"/>
  <c r="FI197" i="9"/>
  <c r="FJ197" i="9"/>
  <c r="FK197" i="9"/>
  <c r="FL197" i="9"/>
  <c r="FM197" i="9"/>
  <c r="FN197" i="9"/>
  <c r="FO197" i="9"/>
  <c r="FP197" i="9"/>
  <c r="FQ197" i="9"/>
  <c r="FR197" i="9"/>
  <c r="FS197" i="9"/>
  <c r="FT197" i="9"/>
  <c r="FU197" i="9"/>
  <c r="FV197" i="9"/>
  <c r="FW197" i="9"/>
  <c r="FX197" i="9"/>
  <c r="FY197" i="9"/>
  <c r="FZ197" i="9"/>
  <c r="GA197" i="9"/>
  <c r="GB197" i="9"/>
  <c r="GC197" i="9"/>
  <c r="GD197" i="9"/>
  <c r="GE197" i="9"/>
  <c r="GF197" i="9"/>
  <c r="GG197" i="9"/>
  <c r="GH197" i="9"/>
  <c r="GI197" i="9"/>
  <c r="GJ197" i="9"/>
  <c r="GK197" i="9"/>
  <c r="GL197" i="9"/>
  <c r="GM197" i="9"/>
  <c r="GN197" i="9"/>
  <c r="GO197" i="9"/>
  <c r="GP197" i="9"/>
  <c r="GQ197" i="9"/>
  <c r="GR197" i="9"/>
  <c r="GS197" i="9"/>
  <c r="GT197" i="9"/>
  <c r="GU197" i="9"/>
  <c r="GV197" i="9"/>
  <c r="GW197" i="9"/>
  <c r="GX197" i="9"/>
  <c r="GY197" i="9"/>
  <c r="GZ197" i="9"/>
  <c r="HA197" i="9"/>
  <c r="HB197" i="9"/>
  <c r="HC197" i="9"/>
  <c r="HD197" i="9"/>
  <c r="HE197" i="9"/>
  <c r="HF197" i="9"/>
  <c r="HG197" i="9"/>
  <c r="HH197" i="9"/>
  <c r="HI197" i="9"/>
  <c r="HJ197" i="9"/>
  <c r="HK197" i="9"/>
  <c r="HL197" i="9"/>
  <c r="HM197" i="9"/>
  <c r="HN197" i="9"/>
  <c r="HO197" i="9"/>
  <c r="HP197" i="9"/>
  <c r="HQ197" i="9"/>
  <c r="HR197" i="9"/>
  <c r="HS197" i="9"/>
  <c r="HT197" i="9"/>
  <c r="HU197" i="9"/>
  <c r="HV197" i="9"/>
  <c r="HW197" i="9"/>
  <c r="HX197" i="9"/>
  <c r="HY197" i="9"/>
  <c r="HZ197" i="9"/>
  <c r="IA197" i="9"/>
  <c r="IB197" i="9"/>
  <c r="IC197" i="9"/>
  <c r="ID197" i="9"/>
  <c r="IE197" i="9"/>
  <c r="IF197" i="9"/>
  <c r="IG197" i="9"/>
  <c r="IH197" i="9"/>
  <c r="II197" i="9"/>
  <c r="IJ197" i="9"/>
  <c r="IK197" i="9"/>
  <c r="IL197" i="9"/>
  <c r="IM197" i="9"/>
  <c r="IN197" i="9"/>
  <c r="IO197" i="9"/>
  <c r="IP197" i="9"/>
  <c r="IQ197" i="9"/>
  <c r="IR197" i="9"/>
  <c r="IS197" i="9"/>
  <c r="IT197" i="9"/>
  <c r="IU197" i="9"/>
  <c r="IV197" i="9"/>
  <c r="A196" i="9"/>
  <c r="B196" i="9"/>
  <c r="C196" i="9"/>
  <c r="D196" i="9"/>
  <c r="E196" i="9"/>
  <c r="F196" i="9"/>
  <c r="G196" i="9"/>
  <c r="H196" i="9"/>
  <c r="I196" i="9"/>
  <c r="J196" i="9"/>
  <c r="K196" i="9"/>
  <c r="L196" i="9"/>
  <c r="M196" i="9"/>
  <c r="N196" i="9"/>
  <c r="O196" i="9"/>
  <c r="P196" i="9"/>
  <c r="Q196" i="9"/>
  <c r="R196" i="9"/>
  <c r="S196" i="9"/>
  <c r="T196" i="9"/>
  <c r="U196" i="9"/>
  <c r="V196" i="9"/>
  <c r="W196" i="9"/>
  <c r="X196" i="9"/>
  <c r="Y196" i="9"/>
  <c r="Z196" i="9"/>
  <c r="AA196" i="9"/>
  <c r="AB196" i="9"/>
  <c r="AC196" i="9"/>
  <c r="AD196" i="9"/>
  <c r="AE196" i="9"/>
  <c r="AF196" i="9"/>
  <c r="AG196" i="9"/>
  <c r="AH196" i="9"/>
  <c r="AI196" i="9"/>
  <c r="AJ196" i="9"/>
  <c r="AK196" i="9"/>
  <c r="AL196" i="9"/>
  <c r="AM196" i="9"/>
  <c r="AN196" i="9"/>
  <c r="AO196" i="9"/>
  <c r="AP196" i="9"/>
  <c r="AQ196" i="9"/>
  <c r="AR196" i="9"/>
  <c r="AS196" i="9"/>
  <c r="AT196" i="9"/>
  <c r="AU196" i="9"/>
  <c r="AV196" i="9"/>
  <c r="AW196" i="9"/>
  <c r="AX196" i="9"/>
  <c r="AY196" i="9"/>
  <c r="AZ196" i="9"/>
  <c r="BA196" i="9"/>
  <c r="BB196" i="9"/>
  <c r="BC196" i="9"/>
  <c r="BD196" i="9"/>
  <c r="BE196" i="9"/>
  <c r="BF196" i="9"/>
  <c r="BG196" i="9"/>
  <c r="BH196" i="9"/>
  <c r="BI196" i="9"/>
  <c r="BJ196" i="9"/>
  <c r="BK196" i="9"/>
  <c r="BL196" i="9"/>
  <c r="BM196" i="9"/>
  <c r="BN196" i="9"/>
  <c r="BO196" i="9"/>
  <c r="BP196" i="9"/>
  <c r="BQ196" i="9"/>
  <c r="BR196" i="9"/>
  <c r="BS196" i="9"/>
  <c r="BT196" i="9"/>
  <c r="BU196" i="9"/>
  <c r="BV196" i="9"/>
  <c r="BW196" i="9"/>
  <c r="BX196" i="9"/>
  <c r="BY196" i="9"/>
  <c r="BZ196" i="9"/>
  <c r="CA196" i="9"/>
  <c r="CB196" i="9"/>
  <c r="CC196" i="9"/>
  <c r="CD196" i="9"/>
  <c r="CE196" i="9"/>
  <c r="CF196" i="9"/>
  <c r="CG196" i="9"/>
  <c r="CH196" i="9"/>
  <c r="CI196" i="9"/>
  <c r="CJ196" i="9"/>
  <c r="CK196" i="9"/>
  <c r="CL196" i="9"/>
  <c r="CM196" i="9"/>
  <c r="CN196" i="9"/>
  <c r="CO196" i="9"/>
  <c r="CP196" i="9"/>
  <c r="CQ196" i="9"/>
  <c r="CR196" i="9"/>
  <c r="CS196" i="9"/>
  <c r="CT196" i="9"/>
  <c r="CU196" i="9"/>
  <c r="CV196" i="9"/>
  <c r="CW196" i="9"/>
  <c r="CX196" i="9"/>
  <c r="CY196" i="9"/>
  <c r="CZ196" i="9"/>
  <c r="DA196" i="9"/>
  <c r="DB196" i="9"/>
  <c r="DC196" i="9"/>
  <c r="DD196" i="9"/>
  <c r="DE196" i="9"/>
  <c r="DF196" i="9"/>
  <c r="DG196" i="9"/>
  <c r="DH196" i="9"/>
  <c r="DI196" i="9"/>
  <c r="DJ196" i="9"/>
  <c r="DK196" i="9"/>
  <c r="DL196" i="9"/>
  <c r="DM196" i="9"/>
  <c r="DN196" i="9"/>
  <c r="DO196" i="9"/>
  <c r="DP196" i="9"/>
  <c r="DQ196" i="9"/>
  <c r="DR196" i="9"/>
  <c r="DS196" i="9"/>
  <c r="DT196" i="9"/>
  <c r="DU196" i="9"/>
  <c r="DV196" i="9"/>
  <c r="DW196" i="9"/>
  <c r="DX196" i="9"/>
  <c r="DY196" i="9"/>
  <c r="DZ196" i="9"/>
  <c r="EA196" i="9"/>
  <c r="EB196" i="9"/>
  <c r="EC196" i="9"/>
  <c r="ED196" i="9"/>
  <c r="EE196" i="9"/>
  <c r="EF196" i="9"/>
  <c r="EG196" i="9"/>
  <c r="EH196" i="9"/>
  <c r="EI196" i="9"/>
  <c r="EJ196" i="9"/>
  <c r="EK196" i="9"/>
  <c r="EL196" i="9"/>
  <c r="EM196" i="9"/>
  <c r="EN196" i="9"/>
  <c r="EO196" i="9"/>
  <c r="EP196" i="9"/>
  <c r="EQ196" i="9"/>
  <c r="ER196" i="9"/>
  <c r="ES196" i="9"/>
  <c r="ET196" i="9"/>
  <c r="EU196" i="9"/>
  <c r="EV196" i="9"/>
  <c r="EW196" i="9"/>
  <c r="EX196" i="9"/>
  <c r="EY196" i="9"/>
  <c r="EZ196" i="9"/>
  <c r="FA196" i="9"/>
  <c r="FB196" i="9"/>
  <c r="FC196" i="9"/>
  <c r="FD196" i="9"/>
  <c r="FE196" i="9"/>
  <c r="FF196" i="9"/>
  <c r="FG196" i="9"/>
  <c r="FH196" i="9"/>
  <c r="FI196" i="9"/>
  <c r="FJ196" i="9"/>
  <c r="FK196" i="9"/>
  <c r="FL196" i="9"/>
  <c r="FM196" i="9"/>
  <c r="FN196" i="9"/>
  <c r="FO196" i="9"/>
  <c r="FP196" i="9"/>
  <c r="FQ196" i="9"/>
  <c r="FR196" i="9"/>
  <c r="FS196" i="9"/>
  <c r="FT196" i="9"/>
  <c r="FU196" i="9"/>
  <c r="FV196" i="9"/>
  <c r="FW196" i="9"/>
  <c r="FX196" i="9"/>
  <c r="FY196" i="9"/>
  <c r="FZ196" i="9"/>
  <c r="GA196" i="9"/>
  <c r="GB196" i="9"/>
  <c r="GC196" i="9"/>
  <c r="GD196" i="9"/>
  <c r="GE196" i="9"/>
  <c r="GF196" i="9"/>
  <c r="GG196" i="9"/>
  <c r="GH196" i="9"/>
  <c r="GI196" i="9"/>
  <c r="GJ196" i="9"/>
  <c r="GK196" i="9"/>
  <c r="GL196" i="9"/>
  <c r="GM196" i="9"/>
  <c r="GN196" i="9"/>
  <c r="GO196" i="9"/>
  <c r="GP196" i="9"/>
  <c r="GQ196" i="9"/>
  <c r="GR196" i="9"/>
  <c r="GS196" i="9"/>
  <c r="GT196" i="9"/>
  <c r="GU196" i="9"/>
  <c r="GV196" i="9"/>
  <c r="GW196" i="9"/>
  <c r="GX196" i="9"/>
  <c r="GY196" i="9"/>
  <c r="GZ196" i="9"/>
  <c r="HA196" i="9"/>
  <c r="HB196" i="9"/>
  <c r="HC196" i="9"/>
  <c r="HD196" i="9"/>
  <c r="HE196" i="9"/>
  <c r="HF196" i="9"/>
  <c r="HG196" i="9"/>
  <c r="HH196" i="9"/>
  <c r="HI196" i="9"/>
  <c r="HJ196" i="9"/>
  <c r="HK196" i="9"/>
  <c r="HL196" i="9"/>
  <c r="HM196" i="9"/>
  <c r="HN196" i="9"/>
  <c r="HO196" i="9"/>
  <c r="HP196" i="9"/>
  <c r="HQ196" i="9"/>
  <c r="HR196" i="9"/>
  <c r="HS196" i="9"/>
  <c r="HT196" i="9"/>
  <c r="HU196" i="9"/>
  <c r="HV196" i="9"/>
  <c r="HW196" i="9"/>
  <c r="HX196" i="9"/>
  <c r="HY196" i="9"/>
  <c r="HZ196" i="9"/>
  <c r="IA196" i="9"/>
  <c r="IB196" i="9"/>
  <c r="IC196" i="9"/>
  <c r="ID196" i="9"/>
  <c r="IE196" i="9"/>
  <c r="IF196" i="9"/>
  <c r="IG196" i="9"/>
  <c r="IH196" i="9"/>
  <c r="II196" i="9"/>
  <c r="IJ196" i="9"/>
  <c r="IK196" i="9"/>
  <c r="IL196" i="9"/>
  <c r="IM196" i="9"/>
  <c r="IN196" i="9"/>
  <c r="IO196" i="9"/>
  <c r="IP196" i="9"/>
  <c r="IQ196" i="9"/>
  <c r="IR196" i="9"/>
  <c r="IS196" i="9"/>
  <c r="IT196" i="9"/>
  <c r="IU196" i="9"/>
  <c r="IV196" i="9"/>
  <c r="A195" i="9"/>
  <c r="B195" i="9"/>
  <c r="C195" i="9"/>
  <c r="D195" i="9"/>
  <c r="E195" i="9"/>
  <c r="F195" i="9"/>
  <c r="G195" i="9"/>
  <c r="H195" i="9"/>
  <c r="I195" i="9"/>
  <c r="J195" i="9"/>
  <c r="K195" i="9"/>
  <c r="L195" i="9"/>
  <c r="M195" i="9"/>
  <c r="N195" i="9"/>
  <c r="O195" i="9"/>
  <c r="P195" i="9"/>
  <c r="Q195" i="9"/>
  <c r="R195" i="9"/>
  <c r="S195" i="9"/>
  <c r="T195" i="9"/>
  <c r="U195" i="9"/>
  <c r="V195" i="9"/>
  <c r="W195" i="9"/>
  <c r="X195" i="9"/>
  <c r="Y195" i="9"/>
  <c r="Z195" i="9"/>
  <c r="AA195" i="9"/>
  <c r="AB195" i="9"/>
  <c r="AC195" i="9"/>
  <c r="AD195" i="9"/>
  <c r="AE195" i="9"/>
  <c r="AF195" i="9"/>
  <c r="AG195" i="9"/>
  <c r="AH195" i="9"/>
  <c r="AI195" i="9"/>
  <c r="AJ195" i="9"/>
  <c r="AK195" i="9"/>
  <c r="AL195" i="9"/>
  <c r="AM195" i="9"/>
  <c r="AN195" i="9"/>
  <c r="AO195" i="9"/>
  <c r="AP195" i="9"/>
  <c r="AQ195" i="9"/>
  <c r="AR195" i="9"/>
  <c r="AS195" i="9"/>
  <c r="AT195" i="9"/>
  <c r="AU195" i="9"/>
  <c r="AV195" i="9"/>
  <c r="AW195" i="9"/>
  <c r="AX195" i="9"/>
  <c r="AY195" i="9"/>
  <c r="AZ195" i="9"/>
  <c r="BA195" i="9"/>
  <c r="BB195" i="9"/>
  <c r="BC195" i="9"/>
  <c r="BD195" i="9"/>
  <c r="BE195" i="9"/>
  <c r="BF195" i="9"/>
  <c r="BG195" i="9"/>
  <c r="BH195" i="9"/>
  <c r="BI195" i="9"/>
  <c r="BJ195" i="9"/>
  <c r="BK195" i="9"/>
  <c r="BL195" i="9"/>
  <c r="BM195" i="9"/>
  <c r="BN195" i="9"/>
  <c r="BO195" i="9"/>
  <c r="BP195" i="9"/>
  <c r="BQ195" i="9"/>
  <c r="BR195" i="9"/>
  <c r="BS195" i="9"/>
  <c r="BT195" i="9"/>
  <c r="BU195" i="9"/>
  <c r="BV195" i="9"/>
  <c r="BW195" i="9"/>
  <c r="BX195" i="9"/>
  <c r="BY195" i="9"/>
  <c r="BZ195" i="9"/>
  <c r="CA195" i="9"/>
  <c r="CB195" i="9"/>
  <c r="CC195" i="9"/>
  <c r="CD195" i="9"/>
  <c r="CE195" i="9"/>
  <c r="CF195" i="9"/>
  <c r="CG195" i="9"/>
  <c r="CH195" i="9"/>
  <c r="CI195" i="9"/>
  <c r="CJ195" i="9"/>
  <c r="CK195" i="9"/>
  <c r="CL195" i="9"/>
  <c r="CM195" i="9"/>
  <c r="CN195" i="9"/>
  <c r="CO195" i="9"/>
  <c r="CP195" i="9"/>
  <c r="CQ195" i="9"/>
  <c r="CR195" i="9"/>
  <c r="CS195" i="9"/>
  <c r="CT195" i="9"/>
  <c r="CU195" i="9"/>
  <c r="CV195" i="9"/>
  <c r="CW195" i="9"/>
  <c r="CX195" i="9"/>
  <c r="CY195" i="9"/>
  <c r="CZ195" i="9"/>
  <c r="DA195" i="9"/>
  <c r="DB195" i="9"/>
  <c r="DC195" i="9"/>
  <c r="DD195" i="9"/>
  <c r="DE195" i="9"/>
  <c r="DF195" i="9"/>
  <c r="DG195" i="9"/>
  <c r="DH195" i="9"/>
  <c r="DI195" i="9"/>
  <c r="DJ195" i="9"/>
  <c r="DK195" i="9"/>
  <c r="DL195" i="9"/>
  <c r="DM195" i="9"/>
  <c r="DN195" i="9"/>
  <c r="DO195" i="9"/>
  <c r="DP195" i="9"/>
  <c r="DQ195" i="9"/>
  <c r="DR195" i="9"/>
  <c r="DS195" i="9"/>
  <c r="DT195" i="9"/>
  <c r="DU195" i="9"/>
  <c r="DV195" i="9"/>
  <c r="DW195" i="9"/>
  <c r="DX195" i="9"/>
  <c r="DY195" i="9"/>
  <c r="DZ195" i="9"/>
  <c r="EA195" i="9"/>
  <c r="EB195" i="9"/>
  <c r="EC195" i="9"/>
  <c r="ED195" i="9"/>
  <c r="EE195" i="9"/>
  <c r="EF195" i="9"/>
  <c r="EG195" i="9"/>
  <c r="EH195" i="9"/>
  <c r="EI195" i="9"/>
  <c r="EJ195" i="9"/>
  <c r="EK195" i="9"/>
  <c r="EL195" i="9"/>
  <c r="EM195" i="9"/>
  <c r="EN195" i="9"/>
  <c r="EO195" i="9"/>
  <c r="EP195" i="9"/>
  <c r="EQ195" i="9"/>
  <c r="ER195" i="9"/>
  <c r="ES195" i="9"/>
  <c r="ET195" i="9"/>
  <c r="EU195" i="9"/>
  <c r="EV195" i="9"/>
  <c r="EW195" i="9"/>
  <c r="EX195" i="9"/>
  <c r="EY195" i="9"/>
  <c r="EZ195" i="9"/>
  <c r="FA195" i="9"/>
  <c r="FB195" i="9"/>
  <c r="FC195" i="9"/>
  <c r="FD195" i="9"/>
  <c r="FE195" i="9"/>
  <c r="FF195" i="9"/>
  <c r="FG195" i="9"/>
  <c r="FH195" i="9"/>
  <c r="FI195" i="9"/>
  <c r="FJ195" i="9"/>
  <c r="FK195" i="9"/>
  <c r="FL195" i="9"/>
  <c r="FM195" i="9"/>
  <c r="FN195" i="9"/>
  <c r="FO195" i="9"/>
  <c r="FP195" i="9"/>
  <c r="FQ195" i="9"/>
  <c r="FR195" i="9"/>
  <c r="FS195" i="9"/>
  <c r="FT195" i="9"/>
  <c r="FU195" i="9"/>
  <c r="FV195" i="9"/>
  <c r="FW195" i="9"/>
  <c r="FX195" i="9"/>
  <c r="FY195" i="9"/>
  <c r="FZ195" i="9"/>
  <c r="GA195" i="9"/>
  <c r="GB195" i="9"/>
  <c r="GC195" i="9"/>
  <c r="GD195" i="9"/>
  <c r="GE195" i="9"/>
  <c r="GF195" i="9"/>
  <c r="GG195" i="9"/>
  <c r="GH195" i="9"/>
  <c r="GI195" i="9"/>
  <c r="GJ195" i="9"/>
  <c r="GK195" i="9"/>
  <c r="GL195" i="9"/>
  <c r="GM195" i="9"/>
  <c r="GN195" i="9"/>
  <c r="GO195" i="9"/>
  <c r="GP195" i="9"/>
  <c r="GQ195" i="9"/>
  <c r="GR195" i="9"/>
  <c r="GS195" i="9"/>
  <c r="GT195" i="9"/>
  <c r="GU195" i="9"/>
  <c r="GV195" i="9"/>
  <c r="GW195" i="9"/>
  <c r="GX195" i="9"/>
  <c r="GY195" i="9"/>
  <c r="GZ195" i="9"/>
  <c r="HA195" i="9"/>
  <c r="HB195" i="9"/>
  <c r="HC195" i="9"/>
  <c r="HD195" i="9"/>
  <c r="HE195" i="9"/>
  <c r="HF195" i="9"/>
  <c r="HG195" i="9"/>
  <c r="HH195" i="9"/>
  <c r="HI195" i="9"/>
  <c r="HJ195" i="9"/>
  <c r="HK195" i="9"/>
  <c r="HL195" i="9"/>
  <c r="HM195" i="9"/>
  <c r="HN195" i="9"/>
  <c r="HO195" i="9"/>
  <c r="HP195" i="9"/>
  <c r="HQ195" i="9"/>
  <c r="HR195" i="9"/>
  <c r="HS195" i="9"/>
  <c r="HT195" i="9"/>
  <c r="HU195" i="9"/>
  <c r="HV195" i="9"/>
  <c r="HW195" i="9"/>
  <c r="HX195" i="9"/>
  <c r="HY195" i="9"/>
  <c r="HZ195" i="9"/>
  <c r="IA195" i="9"/>
  <c r="IB195" i="9"/>
  <c r="IC195" i="9"/>
  <c r="ID195" i="9"/>
  <c r="IE195" i="9"/>
  <c r="IF195" i="9"/>
  <c r="IG195" i="9"/>
  <c r="IH195" i="9"/>
  <c r="II195" i="9"/>
  <c r="IJ195" i="9"/>
  <c r="IK195" i="9"/>
  <c r="IL195" i="9"/>
  <c r="IM195" i="9"/>
  <c r="IN195" i="9"/>
  <c r="IO195" i="9"/>
  <c r="IP195" i="9"/>
  <c r="IQ195" i="9"/>
  <c r="IR195" i="9"/>
  <c r="IS195" i="9"/>
  <c r="IT195" i="9"/>
  <c r="IU195" i="9"/>
  <c r="IV195" i="9"/>
  <c r="A194" i="9"/>
  <c r="B194" i="9"/>
  <c r="C194" i="9"/>
  <c r="D194" i="9"/>
  <c r="E194" i="9"/>
  <c r="F194" i="9"/>
  <c r="G194" i="9"/>
  <c r="H194" i="9"/>
  <c r="I194" i="9"/>
  <c r="J194" i="9"/>
  <c r="K194" i="9"/>
  <c r="L194" i="9"/>
  <c r="M194" i="9"/>
  <c r="N194" i="9"/>
  <c r="O194" i="9"/>
  <c r="P194" i="9"/>
  <c r="Q194" i="9"/>
  <c r="R194" i="9"/>
  <c r="S194" i="9"/>
  <c r="T194" i="9"/>
  <c r="U194" i="9"/>
  <c r="V194" i="9"/>
  <c r="W194" i="9"/>
  <c r="X194" i="9"/>
  <c r="Y194" i="9"/>
  <c r="Z194" i="9"/>
  <c r="AA194" i="9"/>
  <c r="AB194" i="9"/>
  <c r="AC194" i="9"/>
  <c r="AD194" i="9"/>
  <c r="AE194" i="9"/>
  <c r="AF194" i="9"/>
  <c r="AG194" i="9"/>
  <c r="AH194" i="9"/>
  <c r="AI194" i="9"/>
  <c r="AJ194" i="9"/>
  <c r="AK194" i="9"/>
  <c r="AL194" i="9"/>
  <c r="AM194" i="9"/>
  <c r="AN194" i="9"/>
  <c r="AO194" i="9"/>
  <c r="AP194" i="9"/>
  <c r="AQ194" i="9"/>
  <c r="AR194" i="9"/>
  <c r="AS194" i="9"/>
  <c r="AT194" i="9"/>
  <c r="AU194" i="9"/>
  <c r="AV194" i="9"/>
  <c r="AW194" i="9"/>
  <c r="AX194" i="9"/>
  <c r="AY194" i="9"/>
  <c r="AZ194" i="9"/>
  <c r="BA194" i="9"/>
  <c r="BB194" i="9"/>
  <c r="BC194" i="9"/>
  <c r="BD194" i="9"/>
  <c r="BE194" i="9"/>
  <c r="BF194" i="9"/>
  <c r="BG194" i="9"/>
  <c r="BH194" i="9"/>
  <c r="BI194" i="9"/>
  <c r="BJ194" i="9"/>
  <c r="BK194" i="9"/>
  <c r="BL194" i="9"/>
  <c r="BM194" i="9"/>
  <c r="BN194" i="9"/>
  <c r="BO194" i="9"/>
  <c r="BP194" i="9"/>
  <c r="BQ194" i="9"/>
  <c r="BR194" i="9"/>
  <c r="BS194" i="9"/>
  <c r="BT194" i="9"/>
  <c r="BU194" i="9"/>
  <c r="BV194" i="9"/>
  <c r="BW194" i="9"/>
  <c r="BX194" i="9"/>
  <c r="BY194" i="9"/>
  <c r="BZ194" i="9"/>
  <c r="CA194" i="9"/>
  <c r="CB194" i="9"/>
  <c r="CC194" i="9"/>
  <c r="CD194" i="9"/>
  <c r="CE194" i="9"/>
  <c r="CF194" i="9"/>
  <c r="CG194" i="9"/>
  <c r="CH194" i="9"/>
  <c r="CI194" i="9"/>
  <c r="CJ194" i="9"/>
  <c r="CK194" i="9"/>
  <c r="CL194" i="9"/>
  <c r="CM194" i="9"/>
  <c r="CN194" i="9"/>
  <c r="CO194" i="9"/>
  <c r="CP194" i="9"/>
  <c r="CQ194" i="9"/>
  <c r="CR194" i="9"/>
  <c r="CS194" i="9"/>
  <c r="CT194" i="9"/>
  <c r="CU194" i="9"/>
  <c r="CV194" i="9"/>
  <c r="CW194" i="9"/>
  <c r="CX194" i="9"/>
  <c r="CY194" i="9"/>
  <c r="CZ194" i="9"/>
  <c r="DA194" i="9"/>
  <c r="DB194" i="9"/>
  <c r="DC194" i="9"/>
  <c r="DD194" i="9"/>
  <c r="DE194" i="9"/>
  <c r="DF194" i="9"/>
  <c r="DG194" i="9"/>
  <c r="DH194" i="9"/>
  <c r="DI194" i="9"/>
  <c r="DJ194" i="9"/>
  <c r="DK194" i="9"/>
  <c r="DL194" i="9"/>
  <c r="DM194" i="9"/>
  <c r="DN194" i="9"/>
  <c r="DO194" i="9"/>
  <c r="DP194" i="9"/>
  <c r="DQ194" i="9"/>
  <c r="DR194" i="9"/>
  <c r="DS194" i="9"/>
  <c r="DT194" i="9"/>
  <c r="DU194" i="9"/>
  <c r="DV194" i="9"/>
  <c r="DW194" i="9"/>
  <c r="DX194" i="9"/>
  <c r="DY194" i="9"/>
  <c r="DZ194" i="9"/>
  <c r="EA194" i="9"/>
  <c r="EB194" i="9"/>
  <c r="EC194" i="9"/>
  <c r="ED194" i="9"/>
  <c r="EE194" i="9"/>
  <c r="EF194" i="9"/>
  <c r="EG194" i="9"/>
  <c r="EH194" i="9"/>
  <c r="EI194" i="9"/>
  <c r="EJ194" i="9"/>
  <c r="EK194" i="9"/>
  <c r="EL194" i="9"/>
  <c r="EM194" i="9"/>
  <c r="EN194" i="9"/>
  <c r="EO194" i="9"/>
  <c r="EP194" i="9"/>
  <c r="EQ194" i="9"/>
  <c r="ER194" i="9"/>
  <c r="ES194" i="9"/>
  <c r="ET194" i="9"/>
  <c r="EU194" i="9"/>
  <c r="EV194" i="9"/>
  <c r="EW194" i="9"/>
  <c r="EX194" i="9"/>
  <c r="EY194" i="9"/>
  <c r="EZ194" i="9"/>
  <c r="FA194" i="9"/>
  <c r="FB194" i="9"/>
  <c r="FC194" i="9"/>
  <c r="FD194" i="9"/>
  <c r="FE194" i="9"/>
  <c r="FF194" i="9"/>
  <c r="FG194" i="9"/>
  <c r="FH194" i="9"/>
  <c r="FI194" i="9"/>
  <c r="FJ194" i="9"/>
  <c r="FK194" i="9"/>
  <c r="FL194" i="9"/>
  <c r="FM194" i="9"/>
  <c r="FN194" i="9"/>
  <c r="FO194" i="9"/>
  <c r="FP194" i="9"/>
  <c r="FQ194" i="9"/>
  <c r="FR194" i="9"/>
  <c r="FS194" i="9"/>
  <c r="FT194" i="9"/>
  <c r="FU194" i="9"/>
  <c r="FV194" i="9"/>
  <c r="FW194" i="9"/>
  <c r="FX194" i="9"/>
  <c r="FY194" i="9"/>
  <c r="FZ194" i="9"/>
  <c r="GA194" i="9"/>
  <c r="GB194" i="9"/>
  <c r="GC194" i="9"/>
  <c r="GD194" i="9"/>
  <c r="GE194" i="9"/>
  <c r="GF194" i="9"/>
  <c r="GG194" i="9"/>
  <c r="GH194" i="9"/>
  <c r="GI194" i="9"/>
  <c r="GJ194" i="9"/>
  <c r="GK194" i="9"/>
  <c r="GL194" i="9"/>
  <c r="GM194" i="9"/>
  <c r="GN194" i="9"/>
  <c r="GO194" i="9"/>
  <c r="GP194" i="9"/>
  <c r="GQ194" i="9"/>
  <c r="GR194" i="9"/>
  <c r="GS194" i="9"/>
  <c r="GT194" i="9"/>
  <c r="GU194" i="9"/>
  <c r="GV194" i="9"/>
  <c r="GW194" i="9"/>
  <c r="GX194" i="9"/>
  <c r="GY194" i="9"/>
  <c r="GZ194" i="9"/>
  <c r="HA194" i="9"/>
  <c r="HB194" i="9"/>
  <c r="HC194" i="9"/>
  <c r="HD194" i="9"/>
  <c r="HE194" i="9"/>
  <c r="HF194" i="9"/>
  <c r="HG194" i="9"/>
  <c r="HH194" i="9"/>
  <c r="HI194" i="9"/>
  <c r="HJ194" i="9"/>
  <c r="HK194" i="9"/>
  <c r="HL194" i="9"/>
  <c r="HM194" i="9"/>
  <c r="HN194" i="9"/>
  <c r="HO194" i="9"/>
  <c r="HP194" i="9"/>
  <c r="HQ194" i="9"/>
  <c r="HR194" i="9"/>
  <c r="HS194" i="9"/>
  <c r="HT194" i="9"/>
  <c r="HU194" i="9"/>
  <c r="HV194" i="9"/>
  <c r="HW194" i="9"/>
  <c r="HX194" i="9"/>
  <c r="HY194" i="9"/>
  <c r="HZ194" i="9"/>
  <c r="IA194" i="9"/>
  <c r="IB194" i="9"/>
  <c r="IC194" i="9"/>
  <c r="ID194" i="9"/>
  <c r="IE194" i="9"/>
  <c r="IF194" i="9"/>
  <c r="IG194" i="9"/>
  <c r="IH194" i="9"/>
  <c r="II194" i="9"/>
  <c r="IJ194" i="9"/>
  <c r="IK194" i="9"/>
  <c r="IL194" i="9"/>
  <c r="IM194" i="9"/>
  <c r="IN194" i="9"/>
  <c r="IO194" i="9"/>
  <c r="IP194" i="9"/>
  <c r="IQ194" i="9"/>
  <c r="IR194" i="9"/>
  <c r="IS194" i="9"/>
  <c r="IT194" i="9"/>
  <c r="IU194" i="9"/>
  <c r="IV194" i="9"/>
  <c r="A193" i="9"/>
  <c r="B193" i="9"/>
  <c r="C193" i="9"/>
  <c r="D193" i="9"/>
  <c r="E193" i="9"/>
  <c r="F193" i="9"/>
  <c r="G193" i="9"/>
  <c r="H193" i="9"/>
  <c r="I193" i="9"/>
  <c r="J193" i="9"/>
  <c r="K193" i="9"/>
  <c r="L193" i="9"/>
  <c r="M193" i="9"/>
  <c r="N193" i="9"/>
  <c r="O193" i="9"/>
  <c r="P193" i="9"/>
  <c r="Q193" i="9"/>
  <c r="R193" i="9"/>
  <c r="S193" i="9"/>
  <c r="T193" i="9"/>
  <c r="U193" i="9"/>
  <c r="V193" i="9"/>
  <c r="W193" i="9"/>
  <c r="X193" i="9"/>
  <c r="Y193" i="9"/>
  <c r="Z193" i="9"/>
  <c r="AA193" i="9"/>
  <c r="AB193" i="9"/>
  <c r="AC193" i="9"/>
  <c r="AD193" i="9"/>
  <c r="AE193" i="9"/>
  <c r="AF193" i="9"/>
  <c r="AG193" i="9"/>
  <c r="AH193" i="9"/>
  <c r="AI193" i="9"/>
  <c r="AJ193" i="9"/>
  <c r="AK193" i="9"/>
  <c r="AL193" i="9"/>
  <c r="AM193" i="9"/>
  <c r="AN193" i="9"/>
  <c r="AO193" i="9"/>
  <c r="AP193" i="9"/>
  <c r="AQ193" i="9"/>
  <c r="AR193" i="9"/>
  <c r="AS193" i="9"/>
  <c r="AT193" i="9"/>
  <c r="AU193" i="9"/>
  <c r="AV193" i="9"/>
  <c r="AW193" i="9"/>
  <c r="AX193" i="9"/>
  <c r="AY193" i="9"/>
  <c r="AZ193" i="9"/>
  <c r="BA193" i="9"/>
  <c r="BB193" i="9"/>
  <c r="BC193" i="9"/>
  <c r="BD193" i="9"/>
  <c r="BE193" i="9"/>
  <c r="BF193" i="9"/>
  <c r="BG193" i="9"/>
  <c r="BH193" i="9"/>
  <c r="BI193" i="9"/>
  <c r="BJ193" i="9"/>
  <c r="BK193" i="9"/>
  <c r="BL193" i="9"/>
  <c r="BM193" i="9"/>
  <c r="BN193" i="9"/>
  <c r="BO193" i="9"/>
  <c r="BP193" i="9"/>
  <c r="BQ193" i="9"/>
  <c r="BR193" i="9"/>
  <c r="BS193" i="9"/>
  <c r="BT193" i="9"/>
  <c r="BU193" i="9"/>
  <c r="BV193" i="9"/>
  <c r="BW193" i="9"/>
  <c r="BX193" i="9"/>
  <c r="BY193" i="9"/>
  <c r="BZ193" i="9"/>
  <c r="CA193" i="9"/>
  <c r="CB193" i="9"/>
  <c r="CC193" i="9"/>
  <c r="CD193" i="9"/>
  <c r="CE193" i="9"/>
  <c r="CF193" i="9"/>
  <c r="CG193" i="9"/>
  <c r="CH193" i="9"/>
  <c r="CI193" i="9"/>
  <c r="CJ193" i="9"/>
  <c r="CK193" i="9"/>
  <c r="CL193" i="9"/>
  <c r="CM193" i="9"/>
  <c r="CN193" i="9"/>
  <c r="CO193" i="9"/>
  <c r="CP193" i="9"/>
  <c r="CQ193" i="9"/>
  <c r="CR193" i="9"/>
  <c r="CS193" i="9"/>
  <c r="CT193" i="9"/>
  <c r="CU193" i="9"/>
  <c r="CV193" i="9"/>
  <c r="CW193" i="9"/>
  <c r="CX193" i="9"/>
  <c r="CY193" i="9"/>
  <c r="CZ193" i="9"/>
  <c r="DA193" i="9"/>
  <c r="DB193" i="9"/>
  <c r="DC193" i="9"/>
  <c r="DD193" i="9"/>
  <c r="DE193" i="9"/>
  <c r="DF193" i="9"/>
  <c r="DG193" i="9"/>
  <c r="DH193" i="9"/>
  <c r="DI193" i="9"/>
  <c r="DJ193" i="9"/>
  <c r="DK193" i="9"/>
  <c r="DL193" i="9"/>
  <c r="DM193" i="9"/>
  <c r="DN193" i="9"/>
  <c r="DO193" i="9"/>
  <c r="DP193" i="9"/>
  <c r="DQ193" i="9"/>
  <c r="DR193" i="9"/>
  <c r="DS193" i="9"/>
  <c r="DT193" i="9"/>
  <c r="DU193" i="9"/>
  <c r="DV193" i="9"/>
  <c r="DW193" i="9"/>
  <c r="DX193" i="9"/>
  <c r="DY193" i="9"/>
  <c r="DZ193" i="9"/>
  <c r="EA193" i="9"/>
  <c r="EB193" i="9"/>
  <c r="EC193" i="9"/>
  <c r="ED193" i="9"/>
  <c r="EE193" i="9"/>
  <c r="EF193" i="9"/>
  <c r="EG193" i="9"/>
  <c r="EH193" i="9"/>
  <c r="EI193" i="9"/>
  <c r="EJ193" i="9"/>
  <c r="EK193" i="9"/>
  <c r="EL193" i="9"/>
  <c r="EM193" i="9"/>
  <c r="EN193" i="9"/>
  <c r="EO193" i="9"/>
  <c r="EP193" i="9"/>
  <c r="EQ193" i="9"/>
  <c r="ER193" i="9"/>
  <c r="ES193" i="9"/>
  <c r="ET193" i="9"/>
  <c r="EU193" i="9"/>
  <c r="EV193" i="9"/>
  <c r="EW193" i="9"/>
  <c r="EX193" i="9"/>
  <c r="EY193" i="9"/>
  <c r="EZ193" i="9"/>
  <c r="FA193" i="9"/>
  <c r="FB193" i="9"/>
  <c r="FC193" i="9"/>
  <c r="FD193" i="9"/>
  <c r="FE193" i="9"/>
  <c r="FF193" i="9"/>
  <c r="FG193" i="9"/>
  <c r="FH193" i="9"/>
  <c r="FI193" i="9"/>
  <c r="FJ193" i="9"/>
  <c r="FK193" i="9"/>
  <c r="FL193" i="9"/>
  <c r="FM193" i="9"/>
  <c r="FN193" i="9"/>
  <c r="FO193" i="9"/>
  <c r="FP193" i="9"/>
  <c r="FQ193" i="9"/>
  <c r="FR193" i="9"/>
  <c r="FS193" i="9"/>
  <c r="FT193" i="9"/>
  <c r="FU193" i="9"/>
  <c r="FV193" i="9"/>
  <c r="FW193" i="9"/>
  <c r="FX193" i="9"/>
  <c r="FY193" i="9"/>
  <c r="FZ193" i="9"/>
  <c r="GA193" i="9"/>
  <c r="GB193" i="9"/>
  <c r="GC193" i="9"/>
  <c r="GD193" i="9"/>
  <c r="GE193" i="9"/>
  <c r="GF193" i="9"/>
  <c r="GG193" i="9"/>
  <c r="GH193" i="9"/>
  <c r="GI193" i="9"/>
  <c r="GJ193" i="9"/>
  <c r="GK193" i="9"/>
  <c r="GL193" i="9"/>
  <c r="GM193" i="9"/>
  <c r="GN193" i="9"/>
  <c r="GO193" i="9"/>
  <c r="GP193" i="9"/>
  <c r="GQ193" i="9"/>
  <c r="GR193" i="9"/>
  <c r="GS193" i="9"/>
  <c r="GT193" i="9"/>
  <c r="GU193" i="9"/>
  <c r="GV193" i="9"/>
  <c r="GW193" i="9"/>
  <c r="GX193" i="9"/>
  <c r="GY193" i="9"/>
  <c r="GZ193" i="9"/>
  <c r="HA193" i="9"/>
  <c r="HB193" i="9"/>
  <c r="HC193" i="9"/>
  <c r="HD193" i="9"/>
  <c r="HE193" i="9"/>
  <c r="HF193" i="9"/>
  <c r="HG193" i="9"/>
  <c r="HH193" i="9"/>
  <c r="HI193" i="9"/>
  <c r="HJ193" i="9"/>
  <c r="HK193" i="9"/>
  <c r="HL193" i="9"/>
  <c r="HM193" i="9"/>
  <c r="HN193" i="9"/>
  <c r="HO193" i="9"/>
  <c r="HP193" i="9"/>
  <c r="HQ193" i="9"/>
  <c r="HR193" i="9"/>
  <c r="HS193" i="9"/>
  <c r="HT193" i="9"/>
  <c r="HU193" i="9"/>
  <c r="HV193" i="9"/>
  <c r="HW193" i="9"/>
  <c r="HX193" i="9"/>
  <c r="HY193" i="9"/>
  <c r="HZ193" i="9"/>
  <c r="IA193" i="9"/>
  <c r="IB193" i="9"/>
  <c r="IC193" i="9"/>
  <c r="ID193" i="9"/>
  <c r="IE193" i="9"/>
  <c r="IF193" i="9"/>
  <c r="IG193" i="9"/>
  <c r="IH193" i="9"/>
  <c r="II193" i="9"/>
  <c r="IJ193" i="9"/>
  <c r="IK193" i="9"/>
  <c r="IL193" i="9"/>
  <c r="IM193" i="9"/>
  <c r="IN193" i="9"/>
  <c r="IO193" i="9"/>
  <c r="IP193" i="9"/>
  <c r="IQ193" i="9"/>
  <c r="IR193" i="9"/>
  <c r="IS193" i="9"/>
  <c r="IT193" i="9"/>
  <c r="IU193" i="9"/>
  <c r="IV193" i="9"/>
  <c r="A192" i="9"/>
  <c r="B192" i="9"/>
  <c r="C192" i="9"/>
  <c r="D192" i="9"/>
  <c r="E192" i="9"/>
  <c r="F192" i="9"/>
  <c r="G192" i="9"/>
  <c r="H192" i="9"/>
  <c r="I192" i="9"/>
  <c r="J192" i="9"/>
  <c r="K192" i="9"/>
  <c r="L192" i="9"/>
  <c r="M192" i="9"/>
  <c r="N192" i="9"/>
  <c r="O192" i="9"/>
  <c r="P192" i="9"/>
  <c r="Q192" i="9"/>
  <c r="R192" i="9"/>
  <c r="S192" i="9"/>
  <c r="T192" i="9"/>
  <c r="U192" i="9"/>
  <c r="V192" i="9"/>
  <c r="W192" i="9"/>
  <c r="X192" i="9"/>
  <c r="Y192" i="9"/>
  <c r="Z192" i="9"/>
  <c r="AA192" i="9"/>
  <c r="AB192" i="9"/>
  <c r="AC192" i="9"/>
  <c r="AD192" i="9"/>
  <c r="AE192" i="9"/>
  <c r="AF192" i="9"/>
  <c r="AG192" i="9"/>
  <c r="AH192" i="9"/>
  <c r="AI192" i="9"/>
  <c r="AJ192" i="9"/>
  <c r="AK192" i="9"/>
  <c r="AL192" i="9"/>
  <c r="AM192" i="9"/>
  <c r="AN192" i="9"/>
  <c r="AO192" i="9"/>
  <c r="AP192" i="9"/>
  <c r="AQ192" i="9"/>
  <c r="AR192" i="9"/>
  <c r="AS192" i="9"/>
  <c r="AT192" i="9"/>
  <c r="AU192" i="9"/>
  <c r="AV192" i="9"/>
  <c r="AW192" i="9"/>
  <c r="AX192" i="9"/>
  <c r="AY192" i="9"/>
  <c r="AZ192" i="9"/>
  <c r="BA192" i="9"/>
  <c r="BB192" i="9"/>
  <c r="BC192" i="9"/>
  <c r="BD192" i="9"/>
  <c r="BE192" i="9"/>
  <c r="BF192" i="9"/>
  <c r="BG192" i="9"/>
  <c r="BH192" i="9"/>
  <c r="BI192" i="9"/>
  <c r="BJ192" i="9"/>
  <c r="BK192" i="9"/>
  <c r="BL192" i="9"/>
  <c r="BM192" i="9"/>
  <c r="BN192" i="9"/>
  <c r="BO192" i="9"/>
  <c r="BP192" i="9"/>
  <c r="BQ192" i="9"/>
  <c r="BR192" i="9"/>
  <c r="BS192" i="9"/>
  <c r="BT192" i="9"/>
  <c r="BU192" i="9"/>
  <c r="BV192" i="9"/>
  <c r="BW192" i="9"/>
  <c r="BX192" i="9"/>
  <c r="BY192" i="9"/>
  <c r="BZ192" i="9"/>
  <c r="CA192" i="9"/>
  <c r="CB192" i="9"/>
  <c r="CC192" i="9"/>
  <c r="CD192" i="9"/>
  <c r="CE192" i="9"/>
  <c r="CF192" i="9"/>
  <c r="CG192" i="9"/>
  <c r="CH192" i="9"/>
  <c r="CI192" i="9"/>
  <c r="CJ192" i="9"/>
  <c r="CK192" i="9"/>
  <c r="CL192" i="9"/>
  <c r="CM192" i="9"/>
  <c r="CN192" i="9"/>
  <c r="CO192" i="9"/>
  <c r="CP192" i="9"/>
  <c r="CQ192" i="9"/>
  <c r="CR192" i="9"/>
  <c r="CS192" i="9"/>
  <c r="CT192" i="9"/>
  <c r="CU192" i="9"/>
  <c r="CV192" i="9"/>
  <c r="CW192" i="9"/>
  <c r="CX192" i="9"/>
  <c r="CY192" i="9"/>
  <c r="CZ192" i="9"/>
  <c r="DA192" i="9"/>
  <c r="DB192" i="9"/>
  <c r="DC192" i="9"/>
  <c r="DD192" i="9"/>
  <c r="DE192" i="9"/>
  <c r="DF192" i="9"/>
  <c r="DG192" i="9"/>
  <c r="DH192" i="9"/>
  <c r="DI192" i="9"/>
  <c r="DJ192" i="9"/>
  <c r="DK192" i="9"/>
  <c r="DL192" i="9"/>
  <c r="DM192" i="9"/>
  <c r="DN192" i="9"/>
  <c r="DO192" i="9"/>
  <c r="DP192" i="9"/>
  <c r="DQ192" i="9"/>
  <c r="DR192" i="9"/>
  <c r="DS192" i="9"/>
  <c r="DT192" i="9"/>
  <c r="DU192" i="9"/>
  <c r="DV192" i="9"/>
  <c r="DW192" i="9"/>
  <c r="DX192" i="9"/>
  <c r="DY192" i="9"/>
  <c r="DZ192" i="9"/>
  <c r="EA192" i="9"/>
  <c r="EB192" i="9"/>
  <c r="EC192" i="9"/>
  <c r="ED192" i="9"/>
  <c r="EE192" i="9"/>
  <c r="EF192" i="9"/>
  <c r="EG192" i="9"/>
  <c r="EH192" i="9"/>
  <c r="EI192" i="9"/>
  <c r="EJ192" i="9"/>
  <c r="EK192" i="9"/>
  <c r="EL192" i="9"/>
  <c r="EM192" i="9"/>
  <c r="EN192" i="9"/>
  <c r="EO192" i="9"/>
  <c r="EP192" i="9"/>
  <c r="EQ192" i="9"/>
  <c r="ER192" i="9"/>
  <c r="ES192" i="9"/>
  <c r="ET192" i="9"/>
  <c r="EU192" i="9"/>
  <c r="EV192" i="9"/>
  <c r="EW192" i="9"/>
  <c r="EX192" i="9"/>
  <c r="EY192" i="9"/>
  <c r="EZ192" i="9"/>
  <c r="FA192" i="9"/>
  <c r="FB192" i="9"/>
  <c r="FC192" i="9"/>
  <c r="FD192" i="9"/>
  <c r="FE192" i="9"/>
  <c r="FF192" i="9"/>
  <c r="FG192" i="9"/>
  <c r="FH192" i="9"/>
  <c r="FI192" i="9"/>
  <c r="FJ192" i="9"/>
  <c r="FK192" i="9"/>
  <c r="FL192" i="9"/>
  <c r="FM192" i="9"/>
  <c r="FN192" i="9"/>
  <c r="FO192" i="9"/>
  <c r="FP192" i="9"/>
  <c r="FQ192" i="9"/>
  <c r="FR192" i="9"/>
  <c r="FS192" i="9"/>
  <c r="FT192" i="9"/>
  <c r="FU192" i="9"/>
  <c r="FV192" i="9"/>
  <c r="FW192" i="9"/>
  <c r="FX192" i="9"/>
  <c r="FY192" i="9"/>
  <c r="FZ192" i="9"/>
  <c r="GA192" i="9"/>
  <c r="GB192" i="9"/>
  <c r="GC192" i="9"/>
  <c r="GD192" i="9"/>
  <c r="GE192" i="9"/>
  <c r="GF192" i="9"/>
  <c r="GG192" i="9"/>
  <c r="GH192" i="9"/>
  <c r="GI192" i="9"/>
  <c r="GJ192" i="9"/>
  <c r="GK192" i="9"/>
  <c r="GL192" i="9"/>
  <c r="GM192" i="9"/>
  <c r="GN192" i="9"/>
  <c r="GO192" i="9"/>
  <c r="GP192" i="9"/>
  <c r="GQ192" i="9"/>
  <c r="GR192" i="9"/>
  <c r="GS192" i="9"/>
  <c r="GT192" i="9"/>
  <c r="GU192" i="9"/>
  <c r="GV192" i="9"/>
  <c r="GW192" i="9"/>
  <c r="GX192" i="9"/>
  <c r="GY192" i="9"/>
  <c r="GZ192" i="9"/>
  <c r="HA192" i="9"/>
  <c r="HB192" i="9"/>
  <c r="HC192" i="9"/>
  <c r="HD192" i="9"/>
  <c r="HE192" i="9"/>
  <c r="HF192" i="9"/>
  <c r="HG192" i="9"/>
  <c r="HH192" i="9"/>
  <c r="HI192" i="9"/>
  <c r="HJ192" i="9"/>
  <c r="HK192" i="9"/>
  <c r="HL192" i="9"/>
  <c r="HM192" i="9"/>
  <c r="HN192" i="9"/>
  <c r="HO192" i="9"/>
  <c r="HP192" i="9"/>
  <c r="HQ192" i="9"/>
  <c r="HR192" i="9"/>
  <c r="HS192" i="9"/>
  <c r="HT192" i="9"/>
  <c r="HU192" i="9"/>
  <c r="HV192" i="9"/>
  <c r="HW192" i="9"/>
  <c r="HX192" i="9"/>
  <c r="HY192" i="9"/>
  <c r="HZ192" i="9"/>
  <c r="IA192" i="9"/>
  <c r="IB192" i="9"/>
  <c r="IC192" i="9"/>
  <c r="ID192" i="9"/>
  <c r="IE192" i="9"/>
  <c r="IF192" i="9"/>
  <c r="IG192" i="9"/>
  <c r="IH192" i="9"/>
  <c r="II192" i="9"/>
  <c r="IJ192" i="9"/>
  <c r="IK192" i="9"/>
  <c r="IL192" i="9"/>
  <c r="IM192" i="9"/>
  <c r="IN192" i="9"/>
  <c r="IO192" i="9"/>
  <c r="IP192" i="9"/>
  <c r="IQ192" i="9"/>
  <c r="IR192" i="9"/>
  <c r="IS192" i="9"/>
  <c r="IT192" i="9"/>
  <c r="IU192" i="9"/>
  <c r="IV192" i="9"/>
  <c r="A191" i="9"/>
  <c r="B191" i="9"/>
  <c r="C191" i="9"/>
  <c r="D191" i="9"/>
  <c r="E191" i="9"/>
  <c r="F191" i="9"/>
  <c r="G191" i="9"/>
  <c r="H191" i="9"/>
  <c r="I191" i="9"/>
  <c r="J191" i="9"/>
  <c r="K191" i="9"/>
  <c r="L191" i="9"/>
  <c r="M191" i="9"/>
  <c r="N191" i="9"/>
  <c r="O191" i="9"/>
  <c r="P191" i="9"/>
  <c r="Q191" i="9"/>
  <c r="R191" i="9"/>
  <c r="S191" i="9"/>
  <c r="T191" i="9"/>
  <c r="U191" i="9"/>
  <c r="V191" i="9"/>
  <c r="W191" i="9"/>
  <c r="X191" i="9"/>
  <c r="Y191" i="9"/>
  <c r="Z191" i="9"/>
  <c r="AA191" i="9"/>
  <c r="AB191" i="9"/>
  <c r="AC191" i="9"/>
  <c r="AD191" i="9"/>
  <c r="AE191" i="9"/>
  <c r="AF191" i="9"/>
  <c r="AG191" i="9"/>
  <c r="AH191" i="9"/>
  <c r="AI191" i="9"/>
  <c r="AJ191" i="9"/>
  <c r="AK191" i="9"/>
  <c r="AL191" i="9"/>
  <c r="AM191" i="9"/>
  <c r="AN191" i="9"/>
  <c r="AO191" i="9"/>
  <c r="AP191" i="9"/>
  <c r="AQ191" i="9"/>
  <c r="AR191" i="9"/>
  <c r="AS191" i="9"/>
  <c r="AT191" i="9"/>
  <c r="AU191" i="9"/>
  <c r="AV191" i="9"/>
  <c r="AW191" i="9"/>
  <c r="AX191" i="9"/>
  <c r="AY191" i="9"/>
  <c r="AZ191" i="9"/>
  <c r="BA191" i="9"/>
  <c r="BB191" i="9"/>
  <c r="BC191" i="9"/>
  <c r="BD191" i="9"/>
  <c r="BE191" i="9"/>
  <c r="BF191" i="9"/>
  <c r="BG191" i="9"/>
  <c r="BH191" i="9"/>
  <c r="BI191" i="9"/>
  <c r="BJ191" i="9"/>
  <c r="BK191" i="9"/>
  <c r="BL191" i="9"/>
  <c r="BM191" i="9"/>
  <c r="BN191" i="9"/>
  <c r="BO191" i="9"/>
  <c r="BP191" i="9"/>
  <c r="BQ191" i="9"/>
  <c r="BR191" i="9"/>
  <c r="BS191" i="9"/>
  <c r="BT191" i="9"/>
  <c r="BU191" i="9"/>
  <c r="BV191" i="9"/>
  <c r="BW191" i="9"/>
  <c r="BX191" i="9"/>
  <c r="BY191" i="9"/>
  <c r="BZ191" i="9"/>
  <c r="CA191" i="9"/>
  <c r="CB191" i="9"/>
  <c r="CC191" i="9"/>
  <c r="CD191" i="9"/>
  <c r="CE191" i="9"/>
  <c r="CF191" i="9"/>
  <c r="CG191" i="9"/>
  <c r="CH191" i="9"/>
  <c r="CI191" i="9"/>
  <c r="CJ191" i="9"/>
  <c r="CK191" i="9"/>
  <c r="CL191" i="9"/>
  <c r="CM191" i="9"/>
  <c r="CN191" i="9"/>
  <c r="CO191" i="9"/>
  <c r="CP191" i="9"/>
  <c r="CQ191" i="9"/>
  <c r="CR191" i="9"/>
  <c r="CS191" i="9"/>
  <c r="CT191" i="9"/>
  <c r="CU191" i="9"/>
  <c r="CV191" i="9"/>
  <c r="CW191" i="9"/>
  <c r="CX191" i="9"/>
  <c r="CY191" i="9"/>
  <c r="CZ191" i="9"/>
  <c r="DA191" i="9"/>
  <c r="DB191" i="9"/>
  <c r="DC191" i="9"/>
  <c r="DD191" i="9"/>
  <c r="DE191" i="9"/>
  <c r="DF191" i="9"/>
  <c r="DG191" i="9"/>
  <c r="DH191" i="9"/>
  <c r="DI191" i="9"/>
  <c r="DJ191" i="9"/>
  <c r="DK191" i="9"/>
  <c r="DL191" i="9"/>
  <c r="DM191" i="9"/>
  <c r="DN191" i="9"/>
  <c r="DO191" i="9"/>
  <c r="DP191" i="9"/>
  <c r="DQ191" i="9"/>
  <c r="DR191" i="9"/>
  <c r="DS191" i="9"/>
  <c r="DT191" i="9"/>
  <c r="DU191" i="9"/>
  <c r="DV191" i="9"/>
  <c r="DW191" i="9"/>
  <c r="DX191" i="9"/>
  <c r="DY191" i="9"/>
  <c r="DZ191" i="9"/>
  <c r="EA191" i="9"/>
  <c r="EB191" i="9"/>
  <c r="EC191" i="9"/>
  <c r="ED191" i="9"/>
  <c r="EE191" i="9"/>
  <c r="EF191" i="9"/>
  <c r="EG191" i="9"/>
  <c r="EH191" i="9"/>
  <c r="EI191" i="9"/>
  <c r="EJ191" i="9"/>
  <c r="EK191" i="9"/>
  <c r="EL191" i="9"/>
  <c r="EM191" i="9"/>
  <c r="EN191" i="9"/>
  <c r="EO191" i="9"/>
  <c r="EP191" i="9"/>
  <c r="EQ191" i="9"/>
  <c r="ER191" i="9"/>
  <c r="ES191" i="9"/>
  <c r="ET191" i="9"/>
  <c r="EU191" i="9"/>
  <c r="EV191" i="9"/>
  <c r="EW191" i="9"/>
  <c r="EX191" i="9"/>
  <c r="EY191" i="9"/>
  <c r="EZ191" i="9"/>
  <c r="FA191" i="9"/>
  <c r="FB191" i="9"/>
  <c r="FC191" i="9"/>
  <c r="FD191" i="9"/>
  <c r="FE191" i="9"/>
  <c r="FF191" i="9"/>
  <c r="FG191" i="9"/>
  <c r="FH191" i="9"/>
  <c r="FI191" i="9"/>
  <c r="FJ191" i="9"/>
  <c r="FK191" i="9"/>
  <c r="FL191" i="9"/>
  <c r="FM191" i="9"/>
  <c r="FN191" i="9"/>
  <c r="FO191" i="9"/>
  <c r="FP191" i="9"/>
  <c r="FQ191" i="9"/>
  <c r="FR191" i="9"/>
  <c r="FS191" i="9"/>
  <c r="FT191" i="9"/>
  <c r="FU191" i="9"/>
  <c r="FV191" i="9"/>
  <c r="FW191" i="9"/>
  <c r="FX191" i="9"/>
  <c r="FY191" i="9"/>
  <c r="FZ191" i="9"/>
  <c r="GA191" i="9"/>
  <c r="GB191" i="9"/>
  <c r="GC191" i="9"/>
  <c r="GD191" i="9"/>
  <c r="GE191" i="9"/>
  <c r="GF191" i="9"/>
  <c r="GG191" i="9"/>
  <c r="GH191" i="9"/>
  <c r="GI191" i="9"/>
  <c r="GJ191" i="9"/>
  <c r="GK191" i="9"/>
  <c r="GL191" i="9"/>
  <c r="GM191" i="9"/>
  <c r="GN191" i="9"/>
  <c r="GO191" i="9"/>
  <c r="GP191" i="9"/>
  <c r="GQ191" i="9"/>
  <c r="GR191" i="9"/>
  <c r="GS191" i="9"/>
  <c r="GT191" i="9"/>
  <c r="GU191" i="9"/>
  <c r="GV191" i="9"/>
  <c r="GW191" i="9"/>
  <c r="GX191" i="9"/>
  <c r="GY191" i="9"/>
  <c r="GZ191" i="9"/>
  <c r="HA191" i="9"/>
  <c r="HB191" i="9"/>
  <c r="HC191" i="9"/>
  <c r="HD191" i="9"/>
  <c r="HE191" i="9"/>
  <c r="HF191" i="9"/>
  <c r="HG191" i="9"/>
  <c r="HH191" i="9"/>
  <c r="HI191" i="9"/>
  <c r="HJ191" i="9"/>
  <c r="HK191" i="9"/>
  <c r="HL191" i="9"/>
  <c r="HM191" i="9"/>
  <c r="HN191" i="9"/>
  <c r="HO191" i="9"/>
  <c r="HP191" i="9"/>
  <c r="HQ191" i="9"/>
  <c r="HR191" i="9"/>
  <c r="HS191" i="9"/>
  <c r="HT191" i="9"/>
  <c r="HU191" i="9"/>
  <c r="HV191" i="9"/>
  <c r="HW191" i="9"/>
  <c r="HX191" i="9"/>
  <c r="HY191" i="9"/>
  <c r="HZ191" i="9"/>
  <c r="IA191" i="9"/>
  <c r="IB191" i="9"/>
  <c r="IC191" i="9"/>
  <c r="ID191" i="9"/>
  <c r="IE191" i="9"/>
  <c r="IF191" i="9"/>
  <c r="IG191" i="9"/>
  <c r="IH191" i="9"/>
  <c r="II191" i="9"/>
  <c r="IJ191" i="9"/>
  <c r="IK191" i="9"/>
  <c r="IL191" i="9"/>
  <c r="IM191" i="9"/>
  <c r="IN191" i="9"/>
  <c r="IO191" i="9"/>
  <c r="IP191" i="9"/>
  <c r="IQ191" i="9"/>
  <c r="IR191" i="9"/>
  <c r="IS191" i="9"/>
  <c r="IT191" i="9"/>
  <c r="IU191" i="9"/>
  <c r="IV191" i="9"/>
  <c r="A190" i="9"/>
  <c r="B190" i="9"/>
  <c r="C190" i="9"/>
  <c r="D190" i="9"/>
  <c r="E190" i="9"/>
  <c r="F190" i="9"/>
  <c r="G190" i="9"/>
  <c r="H190" i="9"/>
  <c r="I190" i="9"/>
  <c r="J190" i="9"/>
  <c r="K190" i="9"/>
  <c r="L190" i="9"/>
  <c r="M190" i="9"/>
  <c r="N190" i="9"/>
  <c r="O190" i="9"/>
  <c r="P190" i="9"/>
  <c r="Q190" i="9"/>
  <c r="R190" i="9"/>
  <c r="S190" i="9"/>
  <c r="T190" i="9"/>
  <c r="U190" i="9"/>
  <c r="V190" i="9"/>
  <c r="W190" i="9"/>
  <c r="X190" i="9"/>
  <c r="Y190" i="9"/>
  <c r="Z190" i="9"/>
  <c r="AA190" i="9"/>
  <c r="AB190" i="9"/>
  <c r="AC190" i="9"/>
  <c r="AD190" i="9"/>
  <c r="AE190" i="9"/>
  <c r="AF190" i="9"/>
  <c r="AG190" i="9"/>
  <c r="AH190" i="9"/>
  <c r="AI190" i="9"/>
  <c r="AJ190" i="9"/>
  <c r="AK190" i="9"/>
  <c r="AL190" i="9"/>
  <c r="AM190" i="9"/>
  <c r="AN190" i="9"/>
  <c r="AO190" i="9"/>
  <c r="AP190" i="9"/>
  <c r="AQ190" i="9"/>
  <c r="AR190" i="9"/>
  <c r="AS190" i="9"/>
  <c r="AT190" i="9"/>
  <c r="AU190" i="9"/>
  <c r="AV190" i="9"/>
  <c r="AW190" i="9"/>
  <c r="AX190" i="9"/>
  <c r="AY190" i="9"/>
  <c r="AZ190" i="9"/>
  <c r="BA190" i="9"/>
  <c r="BB190" i="9"/>
  <c r="BC190" i="9"/>
  <c r="BD190" i="9"/>
  <c r="BE190" i="9"/>
  <c r="BF190" i="9"/>
  <c r="BG190" i="9"/>
  <c r="BH190" i="9"/>
  <c r="BI190" i="9"/>
  <c r="BJ190" i="9"/>
  <c r="BK190" i="9"/>
  <c r="BL190" i="9"/>
  <c r="BM190" i="9"/>
  <c r="BN190" i="9"/>
  <c r="BO190" i="9"/>
  <c r="BP190" i="9"/>
  <c r="BQ190" i="9"/>
  <c r="BR190" i="9"/>
  <c r="BS190" i="9"/>
  <c r="BT190" i="9"/>
  <c r="BU190" i="9"/>
  <c r="BV190" i="9"/>
  <c r="BW190" i="9"/>
  <c r="BX190" i="9"/>
  <c r="BY190" i="9"/>
  <c r="BZ190" i="9"/>
  <c r="CA190" i="9"/>
  <c r="CB190" i="9"/>
  <c r="CC190" i="9"/>
  <c r="CD190" i="9"/>
  <c r="CE190" i="9"/>
  <c r="CF190" i="9"/>
  <c r="CG190" i="9"/>
  <c r="CH190" i="9"/>
  <c r="CI190" i="9"/>
  <c r="CJ190" i="9"/>
  <c r="CK190" i="9"/>
  <c r="CL190" i="9"/>
  <c r="CM190" i="9"/>
  <c r="CN190" i="9"/>
  <c r="CO190" i="9"/>
  <c r="CP190" i="9"/>
  <c r="CQ190" i="9"/>
  <c r="CR190" i="9"/>
  <c r="CS190" i="9"/>
  <c r="CT190" i="9"/>
  <c r="CU190" i="9"/>
  <c r="CV190" i="9"/>
  <c r="CW190" i="9"/>
  <c r="CX190" i="9"/>
  <c r="CY190" i="9"/>
  <c r="CZ190" i="9"/>
  <c r="DA190" i="9"/>
  <c r="DB190" i="9"/>
  <c r="DC190" i="9"/>
  <c r="DD190" i="9"/>
  <c r="DE190" i="9"/>
  <c r="DF190" i="9"/>
  <c r="DG190" i="9"/>
  <c r="DH190" i="9"/>
  <c r="DI190" i="9"/>
  <c r="DJ190" i="9"/>
  <c r="DK190" i="9"/>
  <c r="DL190" i="9"/>
  <c r="DM190" i="9"/>
  <c r="DN190" i="9"/>
  <c r="DO190" i="9"/>
  <c r="DP190" i="9"/>
  <c r="DQ190" i="9"/>
  <c r="DR190" i="9"/>
  <c r="DS190" i="9"/>
  <c r="DT190" i="9"/>
  <c r="DU190" i="9"/>
  <c r="DV190" i="9"/>
  <c r="DW190" i="9"/>
  <c r="DX190" i="9"/>
  <c r="DY190" i="9"/>
  <c r="DZ190" i="9"/>
  <c r="EA190" i="9"/>
  <c r="EB190" i="9"/>
  <c r="EC190" i="9"/>
  <c r="ED190" i="9"/>
  <c r="EE190" i="9"/>
  <c r="EF190" i="9"/>
  <c r="EG190" i="9"/>
  <c r="EH190" i="9"/>
  <c r="EI190" i="9"/>
  <c r="EJ190" i="9"/>
  <c r="EK190" i="9"/>
  <c r="EL190" i="9"/>
  <c r="EM190" i="9"/>
  <c r="EN190" i="9"/>
  <c r="EO190" i="9"/>
  <c r="EP190" i="9"/>
  <c r="EQ190" i="9"/>
  <c r="ER190" i="9"/>
  <c r="ES190" i="9"/>
  <c r="ET190" i="9"/>
  <c r="EU190" i="9"/>
  <c r="EV190" i="9"/>
  <c r="EW190" i="9"/>
  <c r="EX190" i="9"/>
  <c r="EY190" i="9"/>
  <c r="EZ190" i="9"/>
  <c r="FA190" i="9"/>
  <c r="FB190" i="9"/>
  <c r="FC190" i="9"/>
  <c r="FD190" i="9"/>
  <c r="FE190" i="9"/>
  <c r="FF190" i="9"/>
  <c r="FG190" i="9"/>
  <c r="FH190" i="9"/>
  <c r="FI190" i="9"/>
  <c r="FJ190" i="9"/>
  <c r="FK190" i="9"/>
  <c r="FL190" i="9"/>
  <c r="FM190" i="9"/>
  <c r="FN190" i="9"/>
  <c r="FO190" i="9"/>
  <c r="FP190" i="9"/>
  <c r="FQ190" i="9"/>
  <c r="FR190" i="9"/>
  <c r="FS190" i="9"/>
  <c r="FT190" i="9"/>
  <c r="FU190" i="9"/>
  <c r="FV190" i="9"/>
  <c r="FW190" i="9"/>
  <c r="FX190" i="9"/>
  <c r="FY190" i="9"/>
  <c r="FZ190" i="9"/>
  <c r="GA190" i="9"/>
  <c r="GB190" i="9"/>
  <c r="GC190" i="9"/>
  <c r="GD190" i="9"/>
  <c r="GE190" i="9"/>
  <c r="GF190" i="9"/>
  <c r="GG190" i="9"/>
  <c r="GH190" i="9"/>
  <c r="GI190" i="9"/>
  <c r="GJ190" i="9"/>
  <c r="GK190" i="9"/>
  <c r="GL190" i="9"/>
  <c r="GM190" i="9"/>
  <c r="GN190" i="9"/>
  <c r="GO190" i="9"/>
  <c r="GP190" i="9"/>
  <c r="GQ190" i="9"/>
  <c r="GR190" i="9"/>
  <c r="GS190" i="9"/>
  <c r="GT190" i="9"/>
  <c r="GU190" i="9"/>
  <c r="GV190" i="9"/>
  <c r="GW190" i="9"/>
  <c r="GX190" i="9"/>
  <c r="GY190" i="9"/>
  <c r="GZ190" i="9"/>
  <c r="HA190" i="9"/>
  <c r="HB190" i="9"/>
  <c r="HC190" i="9"/>
  <c r="HD190" i="9"/>
  <c r="HE190" i="9"/>
  <c r="HF190" i="9"/>
  <c r="HG190" i="9"/>
  <c r="HH190" i="9"/>
  <c r="HI190" i="9"/>
  <c r="HJ190" i="9"/>
  <c r="HK190" i="9"/>
  <c r="HL190" i="9"/>
  <c r="HM190" i="9"/>
  <c r="HN190" i="9"/>
  <c r="HO190" i="9"/>
  <c r="HP190" i="9"/>
  <c r="HQ190" i="9"/>
  <c r="HR190" i="9"/>
  <c r="HS190" i="9"/>
  <c r="HT190" i="9"/>
  <c r="HU190" i="9"/>
  <c r="HV190" i="9"/>
  <c r="HW190" i="9"/>
  <c r="HX190" i="9"/>
  <c r="HY190" i="9"/>
  <c r="HZ190" i="9"/>
  <c r="IA190" i="9"/>
  <c r="IB190" i="9"/>
  <c r="IC190" i="9"/>
  <c r="ID190" i="9"/>
  <c r="IE190" i="9"/>
  <c r="IF190" i="9"/>
  <c r="IG190" i="9"/>
  <c r="IH190" i="9"/>
  <c r="II190" i="9"/>
  <c r="IJ190" i="9"/>
  <c r="IK190" i="9"/>
  <c r="IL190" i="9"/>
  <c r="IM190" i="9"/>
  <c r="IN190" i="9"/>
  <c r="IO190" i="9"/>
  <c r="IP190" i="9"/>
  <c r="IQ190" i="9"/>
  <c r="IR190" i="9"/>
  <c r="IS190" i="9"/>
  <c r="IT190" i="9"/>
  <c r="IU190" i="9"/>
  <c r="IV190" i="9"/>
  <c r="A189" i="9"/>
  <c r="B189" i="9"/>
  <c r="C189" i="9"/>
  <c r="D189" i="9"/>
  <c r="E189" i="9"/>
  <c r="F189" i="9"/>
  <c r="G189" i="9"/>
  <c r="H189" i="9"/>
  <c r="I189" i="9"/>
  <c r="J189" i="9"/>
  <c r="K189" i="9"/>
  <c r="L189" i="9"/>
  <c r="M189" i="9"/>
  <c r="N189" i="9"/>
  <c r="O189" i="9"/>
  <c r="P189" i="9"/>
  <c r="Q189" i="9"/>
  <c r="R189" i="9"/>
  <c r="S189" i="9"/>
  <c r="T189" i="9"/>
  <c r="U189" i="9"/>
  <c r="V189" i="9"/>
  <c r="W189" i="9"/>
  <c r="X189" i="9"/>
  <c r="Y189" i="9"/>
  <c r="Z189" i="9"/>
  <c r="AA189" i="9"/>
  <c r="AB189" i="9"/>
  <c r="AC189" i="9"/>
  <c r="AD189" i="9"/>
  <c r="AE189" i="9"/>
  <c r="AF189" i="9"/>
  <c r="AG189" i="9"/>
  <c r="AH189" i="9"/>
  <c r="AI189" i="9"/>
  <c r="AJ189" i="9"/>
  <c r="AK189" i="9"/>
  <c r="AL189" i="9"/>
  <c r="AM189" i="9"/>
  <c r="AN189" i="9"/>
  <c r="AO189" i="9"/>
  <c r="AP189" i="9"/>
  <c r="AQ189" i="9"/>
  <c r="AR189" i="9"/>
  <c r="AS189" i="9"/>
  <c r="AT189" i="9"/>
  <c r="AU189" i="9"/>
  <c r="AV189" i="9"/>
  <c r="AW189" i="9"/>
  <c r="AX189" i="9"/>
  <c r="AY189" i="9"/>
  <c r="AZ189" i="9"/>
  <c r="BA189" i="9"/>
  <c r="BB189" i="9"/>
  <c r="BC189" i="9"/>
  <c r="BD189" i="9"/>
  <c r="BE189" i="9"/>
  <c r="BF189" i="9"/>
  <c r="BG189" i="9"/>
  <c r="BH189" i="9"/>
  <c r="BI189" i="9"/>
  <c r="BJ189" i="9"/>
  <c r="BK189" i="9"/>
  <c r="BL189" i="9"/>
  <c r="BM189" i="9"/>
  <c r="BN189" i="9"/>
  <c r="BO189" i="9"/>
  <c r="BP189" i="9"/>
  <c r="BQ189" i="9"/>
  <c r="BR189" i="9"/>
  <c r="BS189" i="9"/>
  <c r="BT189" i="9"/>
  <c r="BU189" i="9"/>
  <c r="BV189" i="9"/>
  <c r="BW189" i="9"/>
  <c r="BX189" i="9"/>
  <c r="BY189" i="9"/>
  <c r="BZ189" i="9"/>
  <c r="CA189" i="9"/>
  <c r="CB189" i="9"/>
  <c r="CC189" i="9"/>
  <c r="CD189" i="9"/>
  <c r="CE189" i="9"/>
  <c r="CF189" i="9"/>
  <c r="CG189" i="9"/>
  <c r="CH189" i="9"/>
  <c r="CI189" i="9"/>
  <c r="CJ189" i="9"/>
  <c r="CK189" i="9"/>
  <c r="CL189" i="9"/>
  <c r="CM189" i="9"/>
  <c r="CN189" i="9"/>
  <c r="CO189" i="9"/>
  <c r="CP189" i="9"/>
  <c r="CQ189" i="9"/>
  <c r="CR189" i="9"/>
  <c r="CS189" i="9"/>
  <c r="CT189" i="9"/>
  <c r="CU189" i="9"/>
  <c r="CV189" i="9"/>
  <c r="CW189" i="9"/>
  <c r="CX189" i="9"/>
  <c r="CY189" i="9"/>
  <c r="CZ189" i="9"/>
  <c r="DA189" i="9"/>
  <c r="DB189" i="9"/>
  <c r="DC189" i="9"/>
  <c r="DD189" i="9"/>
  <c r="DE189" i="9"/>
  <c r="DF189" i="9"/>
  <c r="DG189" i="9"/>
  <c r="DH189" i="9"/>
  <c r="DI189" i="9"/>
  <c r="DJ189" i="9"/>
  <c r="DK189" i="9"/>
  <c r="DL189" i="9"/>
  <c r="DM189" i="9"/>
  <c r="DN189" i="9"/>
  <c r="DO189" i="9"/>
  <c r="DP189" i="9"/>
  <c r="DQ189" i="9"/>
  <c r="DR189" i="9"/>
  <c r="DS189" i="9"/>
  <c r="DT189" i="9"/>
  <c r="DU189" i="9"/>
  <c r="DV189" i="9"/>
  <c r="DW189" i="9"/>
  <c r="DX189" i="9"/>
  <c r="DY189" i="9"/>
  <c r="DZ189" i="9"/>
  <c r="EA189" i="9"/>
  <c r="EB189" i="9"/>
  <c r="EC189" i="9"/>
  <c r="ED189" i="9"/>
  <c r="EE189" i="9"/>
  <c r="EF189" i="9"/>
  <c r="EG189" i="9"/>
  <c r="EH189" i="9"/>
  <c r="EI189" i="9"/>
  <c r="EJ189" i="9"/>
  <c r="EK189" i="9"/>
  <c r="EL189" i="9"/>
  <c r="EM189" i="9"/>
  <c r="EN189" i="9"/>
  <c r="EO189" i="9"/>
  <c r="EP189" i="9"/>
  <c r="EQ189" i="9"/>
  <c r="ER189" i="9"/>
  <c r="ES189" i="9"/>
  <c r="ET189" i="9"/>
  <c r="EU189" i="9"/>
  <c r="EV189" i="9"/>
  <c r="EW189" i="9"/>
  <c r="EX189" i="9"/>
  <c r="EY189" i="9"/>
  <c r="EZ189" i="9"/>
  <c r="FA189" i="9"/>
  <c r="FB189" i="9"/>
  <c r="FC189" i="9"/>
  <c r="FD189" i="9"/>
  <c r="FE189" i="9"/>
  <c r="FF189" i="9"/>
  <c r="FG189" i="9"/>
  <c r="FH189" i="9"/>
  <c r="FI189" i="9"/>
  <c r="FJ189" i="9"/>
  <c r="FK189" i="9"/>
  <c r="FL189" i="9"/>
  <c r="FM189" i="9"/>
  <c r="FN189" i="9"/>
  <c r="FO189" i="9"/>
  <c r="FP189" i="9"/>
  <c r="FQ189" i="9"/>
  <c r="FR189" i="9"/>
  <c r="FS189" i="9"/>
  <c r="FT189" i="9"/>
  <c r="FU189" i="9"/>
  <c r="FV189" i="9"/>
  <c r="FW189" i="9"/>
  <c r="FX189" i="9"/>
  <c r="FY189" i="9"/>
  <c r="FZ189" i="9"/>
  <c r="GA189" i="9"/>
  <c r="GB189" i="9"/>
  <c r="GC189" i="9"/>
  <c r="GD189" i="9"/>
  <c r="GE189" i="9"/>
  <c r="GF189" i="9"/>
  <c r="GG189" i="9"/>
  <c r="GH189" i="9"/>
  <c r="GI189" i="9"/>
  <c r="GJ189" i="9"/>
  <c r="GK189" i="9"/>
  <c r="GL189" i="9"/>
  <c r="GM189" i="9"/>
  <c r="GN189" i="9"/>
  <c r="GO189" i="9"/>
  <c r="GP189" i="9"/>
  <c r="GQ189" i="9"/>
  <c r="GR189" i="9"/>
  <c r="GS189" i="9"/>
  <c r="GT189" i="9"/>
  <c r="GU189" i="9"/>
  <c r="GV189" i="9"/>
  <c r="GW189" i="9"/>
  <c r="GX189" i="9"/>
  <c r="GY189" i="9"/>
  <c r="GZ189" i="9"/>
  <c r="HA189" i="9"/>
  <c r="HB189" i="9"/>
  <c r="HC189" i="9"/>
  <c r="HD189" i="9"/>
  <c r="HE189" i="9"/>
  <c r="HF189" i="9"/>
  <c r="HG189" i="9"/>
  <c r="HH189" i="9"/>
  <c r="HI189" i="9"/>
  <c r="HJ189" i="9"/>
  <c r="HK189" i="9"/>
  <c r="HL189" i="9"/>
  <c r="HM189" i="9"/>
  <c r="HN189" i="9"/>
  <c r="HO189" i="9"/>
  <c r="HP189" i="9"/>
  <c r="HQ189" i="9"/>
  <c r="HR189" i="9"/>
  <c r="HS189" i="9"/>
  <c r="HT189" i="9"/>
  <c r="HU189" i="9"/>
  <c r="HV189" i="9"/>
  <c r="HW189" i="9"/>
  <c r="HX189" i="9"/>
  <c r="HY189" i="9"/>
  <c r="HZ189" i="9"/>
  <c r="IA189" i="9"/>
  <c r="IB189" i="9"/>
  <c r="IC189" i="9"/>
  <c r="ID189" i="9"/>
  <c r="IE189" i="9"/>
  <c r="IF189" i="9"/>
  <c r="IG189" i="9"/>
  <c r="IH189" i="9"/>
  <c r="II189" i="9"/>
  <c r="IJ189" i="9"/>
  <c r="IK189" i="9"/>
  <c r="IL189" i="9"/>
  <c r="IM189" i="9"/>
  <c r="IN189" i="9"/>
  <c r="IO189" i="9"/>
  <c r="IP189" i="9"/>
  <c r="IQ189" i="9"/>
  <c r="IR189" i="9"/>
  <c r="IS189" i="9"/>
  <c r="IT189" i="9"/>
  <c r="IU189" i="9"/>
  <c r="IV189" i="9"/>
  <c r="A188" i="9"/>
  <c r="B188" i="9"/>
  <c r="C188" i="9"/>
  <c r="D188" i="9"/>
  <c r="E188" i="9"/>
  <c r="F188" i="9"/>
  <c r="G188" i="9"/>
  <c r="H188" i="9"/>
  <c r="I188" i="9"/>
  <c r="J188" i="9"/>
  <c r="K188" i="9"/>
  <c r="L188" i="9"/>
  <c r="M188" i="9"/>
  <c r="N188" i="9"/>
  <c r="O188" i="9"/>
  <c r="P188" i="9"/>
  <c r="Q188" i="9"/>
  <c r="R188" i="9"/>
  <c r="S188" i="9"/>
  <c r="T188" i="9"/>
  <c r="U188" i="9"/>
  <c r="V188" i="9"/>
  <c r="W188" i="9"/>
  <c r="X188" i="9"/>
  <c r="Y188" i="9"/>
  <c r="Z188" i="9"/>
  <c r="AA188" i="9"/>
  <c r="AB188" i="9"/>
  <c r="AC188" i="9"/>
  <c r="AD188" i="9"/>
  <c r="AE188" i="9"/>
  <c r="AF188" i="9"/>
  <c r="AG188" i="9"/>
  <c r="AH188" i="9"/>
  <c r="AI188" i="9"/>
  <c r="AJ188" i="9"/>
  <c r="AK188" i="9"/>
  <c r="AL188" i="9"/>
  <c r="AM188" i="9"/>
  <c r="AN188" i="9"/>
  <c r="AO188" i="9"/>
  <c r="AP188" i="9"/>
  <c r="AQ188" i="9"/>
  <c r="AR188" i="9"/>
  <c r="AS188" i="9"/>
  <c r="AT188" i="9"/>
  <c r="AU188" i="9"/>
  <c r="AV188" i="9"/>
  <c r="AW188" i="9"/>
  <c r="AX188" i="9"/>
  <c r="AY188" i="9"/>
  <c r="AZ188" i="9"/>
  <c r="BA188" i="9"/>
  <c r="BB188" i="9"/>
  <c r="BC188" i="9"/>
  <c r="BD188" i="9"/>
  <c r="BE188" i="9"/>
  <c r="BF188" i="9"/>
  <c r="BG188" i="9"/>
  <c r="BH188" i="9"/>
  <c r="BI188" i="9"/>
  <c r="BJ188" i="9"/>
  <c r="BK188" i="9"/>
  <c r="BL188" i="9"/>
  <c r="BM188" i="9"/>
  <c r="BN188" i="9"/>
  <c r="BO188" i="9"/>
  <c r="BP188" i="9"/>
  <c r="BQ188" i="9"/>
  <c r="BR188" i="9"/>
  <c r="BS188" i="9"/>
  <c r="BT188" i="9"/>
  <c r="BU188" i="9"/>
  <c r="BV188" i="9"/>
  <c r="BW188" i="9"/>
  <c r="BX188" i="9"/>
  <c r="BY188" i="9"/>
  <c r="BZ188" i="9"/>
  <c r="CA188" i="9"/>
  <c r="CB188" i="9"/>
  <c r="CC188" i="9"/>
  <c r="CD188" i="9"/>
  <c r="CE188" i="9"/>
  <c r="CF188" i="9"/>
  <c r="CG188" i="9"/>
  <c r="CH188" i="9"/>
  <c r="CI188" i="9"/>
  <c r="CJ188" i="9"/>
  <c r="CK188" i="9"/>
  <c r="CL188" i="9"/>
  <c r="CM188" i="9"/>
  <c r="CN188" i="9"/>
  <c r="CO188" i="9"/>
  <c r="CP188" i="9"/>
  <c r="CQ188" i="9"/>
  <c r="CR188" i="9"/>
  <c r="CS188" i="9"/>
  <c r="CT188" i="9"/>
  <c r="CU188" i="9"/>
  <c r="CV188" i="9"/>
  <c r="CW188" i="9"/>
  <c r="CX188" i="9"/>
  <c r="CY188" i="9"/>
  <c r="CZ188" i="9"/>
  <c r="DA188" i="9"/>
  <c r="DB188" i="9"/>
  <c r="DC188" i="9"/>
  <c r="DD188" i="9"/>
  <c r="DE188" i="9"/>
  <c r="DF188" i="9"/>
  <c r="DG188" i="9"/>
  <c r="DH188" i="9"/>
  <c r="DI188" i="9"/>
  <c r="DJ188" i="9"/>
  <c r="DK188" i="9"/>
  <c r="DL188" i="9"/>
  <c r="DM188" i="9"/>
  <c r="DN188" i="9"/>
  <c r="DO188" i="9"/>
  <c r="DP188" i="9"/>
  <c r="DQ188" i="9"/>
  <c r="DR188" i="9"/>
  <c r="DS188" i="9"/>
  <c r="DT188" i="9"/>
  <c r="DU188" i="9"/>
  <c r="DV188" i="9"/>
  <c r="DW188" i="9"/>
  <c r="DX188" i="9"/>
  <c r="DY188" i="9"/>
  <c r="DZ188" i="9"/>
  <c r="EA188" i="9"/>
  <c r="EB188" i="9"/>
  <c r="EC188" i="9"/>
  <c r="ED188" i="9"/>
  <c r="EE188" i="9"/>
  <c r="EF188" i="9"/>
  <c r="EG188" i="9"/>
  <c r="EH188" i="9"/>
  <c r="EI188" i="9"/>
  <c r="EJ188" i="9"/>
  <c r="EK188" i="9"/>
  <c r="EL188" i="9"/>
  <c r="EM188" i="9"/>
  <c r="EN188" i="9"/>
  <c r="EO188" i="9"/>
  <c r="EP188" i="9"/>
  <c r="EQ188" i="9"/>
  <c r="ER188" i="9"/>
  <c r="ES188" i="9"/>
  <c r="ET188" i="9"/>
  <c r="EU188" i="9"/>
  <c r="EV188" i="9"/>
  <c r="EW188" i="9"/>
  <c r="EX188" i="9"/>
  <c r="EY188" i="9"/>
  <c r="EZ188" i="9"/>
  <c r="FA188" i="9"/>
  <c r="FB188" i="9"/>
  <c r="FC188" i="9"/>
  <c r="FD188" i="9"/>
  <c r="FE188" i="9"/>
  <c r="FF188" i="9"/>
  <c r="FG188" i="9"/>
  <c r="FH188" i="9"/>
  <c r="FI188" i="9"/>
  <c r="FJ188" i="9"/>
  <c r="FK188" i="9"/>
  <c r="FL188" i="9"/>
  <c r="FM188" i="9"/>
  <c r="FN188" i="9"/>
  <c r="FO188" i="9"/>
  <c r="FP188" i="9"/>
  <c r="FQ188" i="9"/>
  <c r="FR188" i="9"/>
  <c r="FS188" i="9"/>
  <c r="FT188" i="9"/>
  <c r="FU188" i="9"/>
  <c r="FV188" i="9"/>
  <c r="FW188" i="9"/>
  <c r="FX188" i="9"/>
  <c r="FY188" i="9"/>
  <c r="FZ188" i="9"/>
  <c r="GA188" i="9"/>
  <c r="GB188" i="9"/>
  <c r="GC188" i="9"/>
  <c r="GD188" i="9"/>
  <c r="GE188" i="9"/>
  <c r="GF188" i="9"/>
  <c r="GG188" i="9"/>
  <c r="GH188" i="9"/>
  <c r="GI188" i="9"/>
  <c r="GJ188" i="9"/>
  <c r="GK188" i="9"/>
  <c r="GL188" i="9"/>
  <c r="GM188" i="9"/>
  <c r="GN188" i="9"/>
  <c r="GO188" i="9"/>
  <c r="GP188" i="9"/>
  <c r="GQ188" i="9"/>
  <c r="GR188" i="9"/>
  <c r="GS188" i="9"/>
  <c r="GT188" i="9"/>
  <c r="GU188" i="9"/>
  <c r="GV188" i="9"/>
  <c r="GW188" i="9"/>
  <c r="GX188" i="9"/>
  <c r="GY188" i="9"/>
  <c r="GZ188" i="9"/>
  <c r="HA188" i="9"/>
  <c r="HB188" i="9"/>
  <c r="HC188" i="9"/>
  <c r="HD188" i="9"/>
  <c r="HE188" i="9"/>
  <c r="HF188" i="9"/>
  <c r="HG188" i="9"/>
  <c r="HH188" i="9"/>
  <c r="HI188" i="9"/>
  <c r="HJ188" i="9"/>
  <c r="HK188" i="9"/>
  <c r="HL188" i="9"/>
  <c r="HM188" i="9"/>
  <c r="HN188" i="9"/>
  <c r="HO188" i="9"/>
  <c r="HP188" i="9"/>
  <c r="HQ188" i="9"/>
  <c r="HR188" i="9"/>
  <c r="HS188" i="9"/>
  <c r="HT188" i="9"/>
  <c r="HU188" i="9"/>
  <c r="HV188" i="9"/>
  <c r="HW188" i="9"/>
  <c r="HX188" i="9"/>
  <c r="HY188" i="9"/>
  <c r="HZ188" i="9"/>
  <c r="IA188" i="9"/>
  <c r="IB188" i="9"/>
  <c r="IC188" i="9"/>
  <c r="ID188" i="9"/>
  <c r="IE188" i="9"/>
  <c r="IF188" i="9"/>
  <c r="IG188" i="9"/>
  <c r="IH188" i="9"/>
  <c r="II188" i="9"/>
  <c r="IJ188" i="9"/>
  <c r="IK188" i="9"/>
  <c r="IL188" i="9"/>
  <c r="IM188" i="9"/>
  <c r="IN188" i="9"/>
  <c r="IO188" i="9"/>
  <c r="IP188" i="9"/>
  <c r="IQ188" i="9"/>
  <c r="IR188" i="9"/>
  <c r="IS188" i="9"/>
  <c r="IT188" i="9"/>
  <c r="IU188" i="9"/>
  <c r="IV188" i="9"/>
  <c r="A187" i="9"/>
  <c r="B187" i="9"/>
  <c r="C187" i="9"/>
  <c r="D187" i="9"/>
  <c r="E187" i="9"/>
  <c r="F187" i="9"/>
  <c r="G187" i="9"/>
  <c r="H187" i="9"/>
  <c r="I187" i="9"/>
  <c r="J187" i="9"/>
  <c r="K187" i="9"/>
  <c r="L187" i="9"/>
  <c r="M187" i="9"/>
  <c r="N187" i="9"/>
  <c r="O187" i="9"/>
  <c r="P187" i="9"/>
  <c r="Q187" i="9"/>
  <c r="R187" i="9"/>
  <c r="S187" i="9"/>
  <c r="T187" i="9"/>
  <c r="U187" i="9"/>
  <c r="V187" i="9"/>
  <c r="W187" i="9"/>
  <c r="X187" i="9"/>
  <c r="Y187" i="9"/>
  <c r="Z187" i="9"/>
  <c r="AA187" i="9"/>
  <c r="AB187" i="9"/>
  <c r="AC187" i="9"/>
  <c r="AD187" i="9"/>
  <c r="AE187" i="9"/>
  <c r="AF187" i="9"/>
  <c r="AG187" i="9"/>
  <c r="AH187" i="9"/>
  <c r="AI187" i="9"/>
  <c r="AJ187" i="9"/>
  <c r="AK187" i="9"/>
  <c r="AL187" i="9"/>
  <c r="AM187" i="9"/>
  <c r="AN187" i="9"/>
  <c r="AO187" i="9"/>
  <c r="AP187" i="9"/>
  <c r="AQ187" i="9"/>
  <c r="AR187" i="9"/>
  <c r="AS187" i="9"/>
  <c r="AT187" i="9"/>
  <c r="AU187" i="9"/>
  <c r="AV187" i="9"/>
  <c r="AW187" i="9"/>
  <c r="AX187" i="9"/>
  <c r="AY187" i="9"/>
  <c r="AZ187" i="9"/>
  <c r="BA187" i="9"/>
  <c r="BB187" i="9"/>
  <c r="BC187" i="9"/>
  <c r="BD187" i="9"/>
  <c r="BE187" i="9"/>
  <c r="BF187" i="9"/>
  <c r="BG187" i="9"/>
  <c r="BH187" i="9"/>
  <c r="BI187" i="9"/>
  <c r="BJ187" i="9"/>
  <c r="BK187" i="9"/>
  <c r="BL187" i="9"/>
  <c r="BM187" i="9"/>
  <c r="BN187" i="9"/>
  <c r="BO187" i="9"/>
  <c r="BP187" i="9"/>
  <c r="BQ187" i="9"/>
  <c r="BR187" i="9"/>
  <c r="BS187" i="9"/>
  <c r="BT187" i="9"/>
  <c r="BU187" i="9"/>
  <c r="BV187" i="9"/>
  <c r="BW187" i="9"/>
  <c r="BX187" i="9"/>
  <c r="BY187" i="9"/>
  <c r="BZ187" i="9"/>
  <c r="CA187" i="9"/>
  <c r="CB187" i="9"/>
  <c r="CC187" i="9"/>
  <c r="CD187" i="9"/>
  <c r="CE187" i="9"/>
  <c r="CF187" i="9"/>
  <c r="CG187" i="9"/>
  <c r="CH187" i="9"/>
  <c r="CI187" i="9"/>
  <c r="CJ187" i="9"/>
  <c r="CK187" i="9"/>
  <c r="CL187" i="9"/>
  <c r="CM187" i="9"/>
  <c r="CN187" i="9"/>
  <c r="CO187" i="9"/>
  <c r="CP187" i="9"/>
  <c r="CQ187" i="9"/>
  <c r="CR187" i="9"/>
  <c r="CS187" i="9"/>
  <c r="CT187" i="9"/>
  <c r="CU187" i="9"/>
  <c r="CV187" i="9"/>
  <c r="CW187" i="9"/>
  <c r="CX187" i="9"/>
  <c r="CY187" i="9"/>
  <c r="CZ187" i="9"/>
  <c r="DA187" i="9"/>
  <c r="DB187" i="9"/>
  <c r="DC187" i="9"/>
  <c r="DD187" i="9"/>
  <c r="DE187" i="9"/>
  <c r="DF187" i="9"/>
  <c r="DG187" i="9"/>
  <c r="DH187" i="9"/>
  <c r="DI187" i="9"/>
  <c r="DJ187" i="9"/>
  <c r="DK187" i="9"/>
  <c r="DL187" i="9"/>
  <c r="DM187" i="9"/>
  <c r="DN187" i="9"/>
  <c r="DO187" i="9"/>
  <c r="DP187" i="9"/>
  <c r="DQ187" i="9"/>
  <c r="DR187" i="9"/>
  <c r="DS187" i="9"/>
  <c r="DT187" i="9"/>
  <c r="DU187" i="9"/>
  <c r="DV187" i="9"/>
  <c r="DW187" i="9"/>
  <c r="DX187" i="9"/>
  <c r="DY187" i="9"/>
  <c r="DZ187" i="9"/>
  <c r="EA187" i="9"/>
  <c r="EB187" i="9"/>
  <c r="EC187" i="9"/>
  <c r="ED187" i="9"/>
  <c r="EE187" i="9"/>
  <c r="EF187" i="9"/>
  <c r="EG187" i="9"/>
  <c r="EH187" i="9"/>
  <c r="EI187" i="9"/>
  <c r="EJ187" i="9"/>
  <c r="EK187" i="9"/>
  <c r="EL187" i="9"/>
  <c r="EM187" i="9"/>
  <c r="EN187" i="9"/>
  <c r="EO187" i="9"/>
  <c r="EP187" i="9"/>
  <c r="EQ187" i="9"/>
  <c r="ER187" i="9"/>
  <c r="ES187" i="9"/>
  <c r="ET187" i="9"/>
  <c r="EU187" i="9"/>
  <c r="EV187" i="9"/>
  <c r="EW187" i="9"/>
  <c r="EX187" i="9"/>
  <c r="EY187" i="9"/>
  <c r="EZ187" i="9"/>
  <c r="FA187" i="9"/>
  <c r="FB187" i="9"/>
  <c r="FC187" i="9"/>
  <c r="FD187" i="9"/>
  <c r="FE187" i="9"/>
  <c r="FF187" i="9"/>
  <c r="FG187" i="9"/>
  <c r="FH187" i="9"/>
  <c r="FI187" i="9"/>
  <c r="FJ187" i="9"/>
  <c r="FK187" i="9"/>
  <c r="FL187" i="9"/>
  <c r="FM187" i="9"/>
  <c r="FN187" i="9"/>
  <c r="FO187" i="9"/>
  <c r="FP187" i="9"/>
  <c r="FQ187" i="9"/>
  <c r="FR187" i="9"/>
  <c r="FS187" i="9"/>
  <c r="FT187" i="9"/>
  <c r="FU187" i="9"/>
  <c r="FV187" i="9"/>
  <c r="FW187" i="9"/>
  <c r="FX187" i="9"/>
  <c r="FY187" i="9"/>
  <c r="FZ187" i="9"/>
  <c r="GA187" i="9"/>
  <c r="GB187" i="9"/>
  <c r="GC187" i="9"/>
  <c r="GD187" i="9"/>
  <c r="GE187" i="9"/>
  <c r="GF187" i="9"/>
  <c r="GG187" i="9"/>
  <c r="GH187" i="9"/>
  <c r="GI187" i="9"/>
  <c r="GJ187" i="9"/>
  <c r="GK187" i="9"/>
  <c r="GL187" i="9"/>
  <c r="GM187" i="9"/>
  <c r="GN187" i="9"/>
  <c r="GO187" i="9"/>
  <c r="GP187" i="9"/>
  <c r="GQ187" i="9"/>
  <c r="GR187" i="9"/>
  <c r="GS187" i="9"/>
  <c r="GT187" i="9"/>
  <c r="GU187" i="9"/>
  <c r="GV187" i="9"/>
  <c r="GW187" i="9"/>
  <c r="GX187" i="9"/>
  <c r="GY187" i="9"/>
  <c r="GZ187" i="9"/>
  <c r="HA187" i="9"/>
  <c r="HB187" i="9"/>
  <c r="HC187" i="9"/>
  <c r="HD187" i="9"/>
  <c r="HE187" i="9"/>
  <c r="HF187" i="9"/>
  <c r="HG187" i="9"/>
  <c r="HH187" i="9"/>
  <c r="HI187" i="9"/>
  <c r="HJ187" i="9"/>
  <c r="HK187" i="9"/>
  <c r="HL187" i="9"/>
  <c r="HM187" i="9"/>
  <c r="HN187" i="9"/>
  <c r="HO187" i="9"/>
  <c r="HP187" i="9"/>
  <c r="HQ187" i="9"/>
  <c r="HR187" i="9"/>
  <c r="HS187" i="9"/>
  <c r="HT187" i="9"/>
  <c r="HU187" i="9"/>
  <c r="HV187" i="9"/>
  <c r="HW187" i="9"/>
  <c r="HX187" i="9"/>
  <c r="HY187" i="9"/>
  <c r="HZ187" i="9"/>
  <c r="IA187" i="9"/>
  <c r="IB187" i="9"/>
  <c r="IC187" i="9"/>
  <c r="ID187" i="9"/>
  <c r="IE187" i="9"/>
  <c r="IF187" i="9"/>
  <c r="IG187" i="9"/>
  <c r="IH187" i="9"/>
  <c r="II187" i="9"/>
  <c r="IJ187" i="9"/>
  <c r="IK187" i="9"/>
  <c r="IL187" i="9"/>
  <c r="IM187" i="9"/>
  <c r="IN187" i="9"/>
  <c r="IO187" i="9"/>
  <c r="IP187" i="9"/>
  <c r="IQ187" i="9"/>
  <c r="IR187" i="9"/>
  <c r="IS187" i="9"/>
  <c r="IT187" i="9"/>
  <c r="IU187" i="9"/>
  <c r="IV187" i="9"/>
  <c r="A186" i="9"/>
  <c r="B186" i="9"/>
  <c r="C186" i="9"/>
  <c r="D186" i="9"/>
  <c r="E186" i="9"/>
  <c r="F186" i="9"/>
  <c r="G186" i="9"/>
  <c r="H186" i="9"/>
  <c r="I186" i="9"/>
  <c r="J186" i="9"/>
  <c r="K186" i="9"/>
  <c r="L186" i="9"/>
  <c r="M186" i="9"/>
  <c r="N186" i="9"/>
  <c r="O186" i="9"/>
  <c r="P186" i="9"/>
  <c r="Q186" i="9"/>
  <c r="R186" i="9"/>
  <c r="S186" i="9"/>
  <c r="T186" i="9"/>
  <c r="U186" i="9"/>
  <c r="V186" i="9"/>
  <c r="W186" i="9"/>
  <c r="X186" i="9"/>
  <c r="Y186" i="9"/>
  <c r="AA186" i="9"/>
  <c r="AB186" i="9"/>
  <c r="AC186" i="9"/>
  <c r="AD186" i="9"/>
  <c r="AE186" i="9"/>
  <c r="AF186" i="9"/>
  <c r="AG186" i="9"/>
  <c r="AH186" i="9"/>
  <c r="AI186" i="9"/>
  <c r="AJ186" i="9"/>
  <c r="AK186" i="9"/>
  <c r="AL186" i="9"/>
  <c r="AM186" i="9"/>
  <c r="AN186" i="9"/>
  <c r="AO186" i="9"/>
  <c r="AP186" i="9"/>
  <c r="AQ186" i="9"/>
  <c r="AR186" i="9"/>
  <c r="AS186" i="9"/>
  <c r="AT186" i="9"/>
  <c r="AU186" i="9"/>
  <c r="AV186" i="9"/>
  <c r="AW186" i="9"/>
  <c r="AX186" i="9"/>
  <c r="AY186" i="9"/>
  <c r="AZ186" i="9"/>
  <c r="BA186" i="9"/>
  <c r="BB186" i="9"/>
  <c r="BC186" i="9"/>
  <c r="BD186" i="9"/>
  <c r="BE186" i="9"/>
  <c r="BF186" i="9"/>
  <c r="BG186" i="9"/>
  <c r="BH186" i="9"/>
  <c r="BI186" i="9"/>
  <c r="BJ186" i="9"/>
  <c r="BK186" i="9"/>
  <c r="BL186" i="9"/>
  <c r="BM186" i="9"/>
  <c r="BN186" i="9"/>
  <c r="BO186" i="9"/>
  <c r="BP186" i="9"/>
  <c r="BQ186" i="9"/>
  <c r="BR186" i="9"/>
  <c r="BS186" i="9"/>
  <c r="BT186" i="9"/>
  <c r="BU186" i="9"/>
  <c r="BV186" i="9"/>
  <c r="BW186" i="9"/>
  <c r="BX186" i="9"/>
  <c r="BY186" i="9"/>
  <c r="BZ186" i="9"/>
  <c r="CA186" i="9"/>
  <c r="CB186" i="9"/>
  <c r="CC186" i="9"/>
  <c r="CD186" i="9"/>
  <c r="CE186" i="9"/>
  <c r="CF186" i="9"/>
  <c r="CG186" i="9"/>
  <c r="CH186" i="9"/>
  <c r="CI186" i="9"/>
  <c r="CJ186" i="9"/>
  <c r="CK186" i="9"/>
  <c r="CL186" i="9"/>
  <c r="CM186" i="9"/>
  <c r="CN186" i="9"/>
  <c r="CO186" i="9"/>
  <c r="CP186" i="9"/>
  <c r="CQ186" i="9"/>
  <c r="CR186" i="9"/>
  <c r="CS186" i="9"/>
  <c r="CT186" i="9"/>
  <c r="CU186" i="9"/>
  <c r="CV186" i="9"/>
  <c r="CW186" i="9"/>
  <c r="CX186" i="9"/>
  <c r="CY186" i="9"/>
  <c r="CZ186" i="9"/>
  <c r="DA186" i="9"/>
  <c r="DB186" i="9"/>
  <c r="DC186" i="9"/>
  <c r="DD186" i="9"/>
  <c r="DE186" i="9"/>
  <c r="DF186" i="9"/>
  <c r="DG186" i="9"/>
  <c r="DH186" i="9"/>
  <c r="DI186" i="9"/>
  <c r="DJ186" i="9"/>
  <c r="DK186" i="9"/>
  <c r="DL186" i="9"/>
  <c r="DM186" i="9"/>
  <c r="DN186" i="9"/>
  <c r="DO186" i="9"/>
  <c r="DP186" i="9"/>
  <c r="DQ186" i="9"/>
  <c r="DR186" i="9"/>
  <c r="DS186" i="9"/>
  <c r="DT186" i="9"/>
  <c r="DU186" i="9"/>
  <c r="DV186" i="9"/>
  <c r="DW186" i="9"/>
  <c r="DX186" i="9"/>
  <c r="DY186" i="9"/>
  <c r="DZ186" i="9"/>
  <c r="EA186" i="9"/>
  <c r="EB186" i="9"/>
  <c r="EC186" i="9"/>
  <c r="ED186" i="9"/>
  <c r="EE186" i="9"/>
  <c r="EF186" i="9"/>
  <c r="EG186" i="9"/>
  <c r="EH186" i="9"/>
  <c r="EI186" i="9"/>
  <c r="EJ186" i="9"/>
  <c r="EK186" i="9"/>
  <c r="EL186" i="9"/>
  <c r="EM186" i="9"/>
  <c r="EN186" i="9"/>
  <c r="EO186" i="9"/>
  <c r="EP186" i="9"/>
  <c r="EQ186" i="9"/>
  <c r="ER186" i="9"/>
  <c r="ES186" i="9"/>
  <c r="ET186" i="9"/>
  <c r="EU186" i="9"/>
  <c r="EV186" i="9"/>
  <c r="EW186" i="9"/>
  <c r="EX186" i="9"/>
  <c r="EY186" i="9"/>
  <c r="EZ186" i="9"/>
  <c r="FA186" i="9"/>
  <c r="FB186" i="9"/>
  <c r="FC186" i="9"/>
  <c r="FD186" i="9"/>
  <c r="FE186" i="9"/>
  <c r="FF186" i="9"/>
  <c r="FG186" i="9"/>
  <c r="FH186" i="9"/>
  <c r="FI186" i="9"/>
  <c r="FJ186" i="9"/>
  <c r="FK186" i="9"/>
  <c r="FL186" i="9"/>
  <c r="FM186" i="9"/>
  <c r="FN186" i="9"/>
  <c r="FO186" i="9"/>
  <c r="FP186" i="9"/>
  <c r="FQ186" i="9"/>
  <c r="FR186" i="9"/>
  <c r="FS186" i="9"/>
  <c r="FT186" i="9"/>
  <c r="FU186" i="9"/>
  <c r="FV186" i="9"/>
  <c r="FW186" i="9"/>
  <c r="FX186" i="9"/>
  <c r="FY186" i="9"/>
  <c r="FZ186" i="9"/>
  <c r="GA186" i="9"/>
  <c r="GB186" i="9"/>
  <c r="GC186" i="9"/>
  <c r="GD186" i="9"/>
  <c r="GE186" i="9"/>
  <c r="GF186" i="9"/>
  <c r="GG186" i="9"/>
  <c r="GH186" i="9"/>
  <c r="GI186" i="9"/>
  <c r="GJ186" i="9"/>
  <c r="GK186" i="9"/>
  <c r="GL186" i="9"/>
  <c r="GM186" i="9"/>
  <c r="GN186" i="9"/>
  <c r="GO186" i="9"/>
  <c r="GP186" i="9"/>
  <c r="GQ186" i="9"/>
  <c r="GR186" i="9"/>
  <c r="GS186" i="9"/>
  <c r="GT186" i="9"/>
  <c r="GU186" i="9"/>
  <c r="GV186" i="9"/>
  <c r="GW186" i="9"/>
  <c r="GX186" i="9"/>
  <c r="GY186" i="9"/>
  <c r="GZ186" i="9"/>
  <c r="HA186" i="9"/>
  <c r="HB186" i="9"/>
  <c r="HC186" i="9"/>
  <c r="HD186" i="9"/>
  <c r="HE186" i="9"/>
  <c r="HF186" i="9"/>
  <c r="HG186" i="9"/>
  <c r="HH186" i="9"/>
  <c r="HI186" i="9"/>
  <c r="HJ186" i="9"/>
  <c r="HK186" i="9"/>
  <c r="HL186" i="9"/>
  <c r="HM186" i="9"/>
  <c r="HN186" i="9"/>
  <c r="HO186" i="9"/>
  <c r="HP186" i="9"/>
  <c r="HQ186" i="9"/>
  <c r="HR186" i="9"/>
  <c r="HS186" i="9"/>
  <c r="HT186" i="9"/>
  <c r="HU186" i="9"/>
  <c r="HV186" i="9"/>
  <c r="HW186" i="9"/>
  <c r="HX186" i="9"/>
  <c r="HY186" i="9"/>
  <c r="HZ186" i="9"/>
  <c r="IA186" i="9"/>
  <c r="IB186" i="9"/>
  <c r="IC186" i="9"/>
  <c r="ID186" i="9"/>
  <c r="IE186" i="9"/>
  <c r="IF186" i="9"/>
  <c r="IG186" i="9"/>
  <c r="IH186" i="9"/>
  <c r="II186" i="9"/>
  <c r="IJ186" i="9"/>
  <c r="IK186" i="9"/>
  <c r="IL186" i="9"/>
  <c r="IM186" i="9"/>
  <c r="IN186" i="9"/>
  <c r="IO186" i="9"/>
  <c r="IP186" i="9"/>
  <c r="IQ186" i="9"/>
  <c r="IR186" i="9"/>
  <c r="IS186" i="9"/>
  <c r="IT186" i="9"/>
  <c r="IU186" i="9"/>
  <c r="IV186" i="9"/>
  <c r="A185" i="9"/>
  <c r="B185" i="9"/>
  <c r="C185" i="9"/>
  <c r="D185" i="9"/>
  <c r="E185" i="9"/>
  <c r="G185" i="9"/>
  <c r="H185" i="9"/>
  <c r="I185" i="9"/>
  <c r="J185" i="9"/>
  <c r="K185" i="9"/>
  <c r="L185" i="9"/>
  <c r="M185" i="9"/>
  <c r="N185" i="9"/>
  <c r="O185" i="9"/>
  <c r="P185" i="9"/>
  <c r="Q185" i="9"/>
  <c r="R185" i="9"/>
  <c r="S185" i="9"/>
  <c r="T185" i="9"/>
  <c r="U185" i="9"/>
  <c r="V185" i="9"/>
  <c r="W185" i="9"/>
  <c r="X185" i="9"/>
  <c r="Y185" i="9"/>
  <c r="Z185" i="9"/>
  <c r="AA185" i="9"/>
  <c r="AB185" i="9"/>
  <c r="AC185" i="9"/>
  <c r="AD185" i="9"/>
  <c r="AE185" i="9"/>
  <c r="AF185" i="9"/>
  <c r="AG185" i="9"/>
  <c r="AH185" i="9"/>
  <c r="AI185" i="9"/>
  <c r="AJ185" i="9"/>
  <c r="AK185" i="9"/>
  <c r="AL185" i="9"/>
  <c r="AM185" i="9"/>
  <c r="AN185" i="9"/>
  <c r="AO185" i="9"/>
  <c r="AP185" i="9"/>
  <c r="AQ185" i="9"/>
  <c r="AR185" i="9"/>
  <c r="AS185" i="9"/>
  <c r="AT185" i="9"/>
  <c r="AU185" i="9"/>
  <c r="AV185" i="9"/>
  <c r="AW185" i="9"/>
  <c r="AX185" i="9"/>
  <c r="AY185" i="9"/>
  <c r="AZ185" i="9"/>
  <c r="BA185" i="9"/>
  <c r="BB185" i="9"/>
  <c r="BC185" i="9"/>
  <c r="BD185" i="9"/>
  <c r="BE185" i="9"/>
  <c r="BF185" i="9"/>
  <c r="BG185" i="9"/>
  <c r="BH185" i="9"/>
  <c r="BI185" i="9"/>
  <c r="BJ185" i="9"/>
  <c r="BK185" i="9"/>
  <c r="BL185" i="9"/>
  <c r="BM185" i="9"/>
  <c r="BN185" i="9"/>
  <c r="BO185" i="9"/>
  <c r="BP185" i="9"/>
  <c r="BQ185" i="9"/>
  <c r="BR185" i="9"/>
  <c r="BS185" i="9"/>
  <c r="BT185" i="9"/>
  <c r="BU185" i="9"/>
  <c r="BV185" i="9"/>
  <c r="BX185" i="9"/>
  <c r="BY185" i="9"/>
  <c r="BZ185" i="9"/>
  <c r="CA185" i="9"/>
  <c r="CB185" i="9"/>
  <c r="CC185" i="9"/>
  <c r="CD185" i="9"/>
  <c r="CE185" i="9"/>
  <c r="CF185" i="9"/>
  <c r="CG185" i="9"/>
  <c r="CH185" i="9"/>
  <c r="CI185" i="9"/>
  <c r="CJ185" i="9"/>
  <c r="CK185" i="9"/>
  <c r="CL185" i="9"/>
  <c r="CM185" i="9"/>
  <c r="CN185" i="9"/>
  <c r="CO185" i="9"/>
  <c r="CP185" i="9"/>
  <c r="CQ185" i="9"/>
  <c r="CR185" i="9"/>
  <c r="CS185" i="9"/>
  <c r="CT185" i="9"/>
  <c r="CU185" i="9"/>
  <c r="CV185" i="9"/>
  <c r="CW185" i="9"/>
  <c r="CX185" i="9"/>
  <c r="CY185" i="9"/>
  <c r="CZ185" i="9"/>
  <c r="DA185" i="9"/>
  <c r="DB185" i="9"/>
  <c r="DC185" i="9"/>
  <c r="DD185" i="9"/>
  <c r="DE185" i="9"/>
  <c r="DF185" i="9"/>
  <c r="DG185" i="9"/>
  <c r="DH185" i="9"/>
  <c r="DI185" i="9"/>
  <c r="DJ185" i="9"/>
  <c r="DK185" i="9"/>
  <c r="DL185" i="9"/>
  <c r="DM185" i="9"/>
  <c r="DN185" i="9"/>
  <c r="DO185" i="9"/>
  <c r="DP185" i="9"/>
  <c r="DQ185" i="9"/>
  <c r="DR185" i="9"/>
  <c r="DS185" i="9"/>
  <c r="DT185" i="9"/>
  <c r="DU185" i="9"/>
  <c r="DV185" i="9"/>
  <c r="DW185" i="9"/>
  <c r="DX185" i="9"/>
  <c r="DY185" i="9"/>
  <c r="DZ185" i="9"/>
  <c r="EA185" i="9"/>
  <c r="EB185" i="9"/>
  <c r="EC185" i="9"/>
  <c r="ED185" i="9"/>
  <c r="EE185" i="9"/>
  <c r="EF185" i="9"/>
  <c r="EG185" i="9"/>
  <c r="EH185" i="9"/>
  <c r="EI185" i="9"/>
  <c r="EJ185" i="9"/>
  <c r="EK185" i="9"/>
  <c r="EL185" i="9"/>
  <c r="EM185" i="9"/>
  <c r="EN185" i="9"/>
  <c r="EO185" i="9"/>
  <c r="EP185" i="9"/>
  <c r="EQ185" i="9"/>
  <c r="ER185" i="9"/>
  <c r="ES185" i="9"/>
  <c r="ET185" i="9"/>
  <c r="EU185" i="9"/>
  <c r="EV185" i="9"/>
  <c r="EW185" i="9"/>
  <c r="EX185" i="9"/>
  <c r="EY185" i="9"/>
  <c r="EZ185" i="9"/>
  <c r="FA185" i="9"/>
  <c r="FB185" i="9"/>
  <c r="FC185" i="9"/>
  <c r="FD185" i="9"/>
  <c r="FE185" i="9"/>
  <c r="FF185" i="9"/>
  <c r="FG185" i="9"/>
  <c r="FH185" i="9"/>
  <c r="FI185" i="9"/>
  <c r="FJ185" i="9"/>
  <c r="FK185" i="9"/>
  <c r="FL185" i="9"/>
  <c r="FM185" i="9"/>
  <c r="FN185" i="9"/>
  <c r="FO185" i="9"/>
  <c r="FP185" i="9"/>
  <c r="FQ185" i="9"/>
  <c r="FR185" i="9"/>
  <c r="FS185" i="9"/>
  <c r="FT185" i="9"/>
  <c r="FU185" i="9"/>
  <c r="FV185" i="9"/>
  <c r="FW185" i="9"/>
  <c r="FX185" i="9"/>
  <c r="FY185" i="9"/>
  <c r="FZ185" i="9"/>
  <c r="GA185" i="9"/>
  <c r="GB185" i="9"/>
  <c r="GC185" i="9"/>
  <c r="GD185" i="9"/>
  <c r="GE185" i="9"/>
  <c r="GF185" i="9"/>
  <c r="GG185" i="9"/>
  <c r="GH185" i="9"/>
  <c r="GI185" i="9"/>
  <c r="GJ185" i="9"/>
  <c r="GK185" i="9"/>
  <c r="GL185" i="9"/>
  <c r="GM185" i="9"/>
  <c r="GN185" i="9"/>
  <c r="GO185" i="9"/>
  <c r="GP185" i="9"/>
  <c r="GQ185" i="9"/>
  <c r="GR185" i="9"/>
  <c r="GS185" i="9"/>
  <c r="GT185" i="9"/>
  <c r="GU185" i="9"/>
  <c r="GV185" i="9"/>
  <c r="GW185" i="9"/>
  <c r="GX185" i="9"/>
  <c r="GY185" i="9"/>
  <c r="GZ185" i="9"/>
  <c r="HA185" i="9"/>
  <c r="HB185" i="9"/>
  <c r="HC185" i="9"/>
  <c r="HD185" i="9"/>
  <c r="HE185" i="9"/>
  <c r="HF185" i="9"/>
  <c r="HG185" i="9"/>
  <c r="HH185" i="9"/>
  <c r="HI185" i="9"/>
  <c r="HJ185" i="9"/>
  <c r="HK185" i="9"/>
  <c r="HL185" i="9"/>
  <c r="HM185" i="9"/>
  <c r="HN185" i="9"/>
  <c r="HO185" i="9"/>
  <c r="HP185" i="9"/>
  <c r="HQ185" i="9"/>
  <c r="HR185" i="9"/>
  <c r="HS185" i="9"/>
  <c r="HT185" i="9"/>
  <c r="HU185" i="9"/>
  <c r="HV185" i="9"/>
  <c r="HW185" i="9"/>
  <c r="HX185" i="9"/>
  <c r="HY185" i="9"/>
  <c r="HZ185" i="9"/>
  <c r="IA185" i="9"/>
  <c r="IB185" i="9"/>
  <c r="IC185" i="9"/>
  <c r="ID185" i="9"/>
  <c r="IE185" i="9"/>
  <c r="IF185" i="9"/>
  <c r="IG185" i="9"/>
  <c r="IH185" i="9"/>
  <c r="II185" i="9"/>
  <c r="IJ185" i="9"/>
  <c r="IK185" i="9"/>
  <c r="IL185" i="9"/>
  <c r="IM185" i="9"/>
  <c r="IN185" i="9"/>
  <c r="IO185" i="9"/>
  <c r="IP185" i="9"/>
  <c r="IQ185" i="9"/>
  <c r="IR185" i="9"/>
  <c r="IS185" i="9"/>
  <c r="IT185" i="9"/>
  <c r="IU185" i="9"/>
  <c r="IV185" i="9"/>
  <c r="A184" i="9"/>
  <c r="B184" i="9"/>
  <c r="C184" i="9"/>
  <c r="D184" i="9"/>
  <c r="E184" i="9"/>
  <c r="F184" i="9"/>
  <c r="G184" i="9"/>
  <c r="H184" i="9"/>
  <c r="I184" i="9"/>
  <c r="J184" i="9"/>
  <c r="K184" i="9"/>
  <c r="L184" i="9"/>
  <c r="M184" i="9"/>
  <c r="N184" i="9"/>
  <c r="O184" i="9"/>
  <c r="P184" i="9"/>
  <c r="Q184" i="9"/>
  <c r="R184" i="9"/>
  <c r="S184" i="9"/>
  <c r="T184" i="9"/>
  <c r="U184" i="9"/>
  <c r="V184" i="9"/>
  <c r="W184" i="9"/>
  <c r="X184" i="9"/>
  <c r="Y184" i="9"/>
  <c r="Z184" i="9"/>
  <c r="AA184" i="9"/>
  <c r="AB184" i="9"/>
  <c r="AC184" i="9"/>
  <c r="AD184" i="9"/>
  <c r="AE184" i="9"/>
  <c r="AF184" i="9"/>
  <c r="AG184" i="9"/>
  <c r="AH184" i="9"/>
  <c r="AI184" i="9"/>
  <c r="AJ184" i="9"/>
  <c r="AK184" i="9"/>
  <c r="AL184" i="9"/>
  <c r="AM184" i="9"/>
  <c r="AN184" i="9"/>
  <c r="AO184" i="9"/>
  <c r="AP184" i="9"/>
  <c r="AQ184" i="9"/>
  <c r="AR184" i="9"/>
  <c r="AS184" i="9"/>
  <c r="AT184" i="9"/>
  <c r="AU184" i="9"/>
  <c r="AV184" i="9"/>
  <c r="AW184" i="9"/>
  <c r="AX184" i="9"/>
  <c r="AY184" i="9"/>
  <c r="AZ184" i="9"/>
  <c r="BA184" i="9"/>
  <c r="BB184" i="9"/>
  <c r="BC184" i="9"/>
  <c r="BD184" i="9"/>
  <c r="BE184" i="9"/>
  <c r="BF184" i="9"/>
  <c r="BG184" i="9"/>
  <c r="BH184" i="9"/>
  <c r="BI184" i="9"/>
  <c r="BJ184" i="9"/>
  <c r="BK184" i="9"/>
  <c r="BL184" i="9"/>
  <c r="BM184" i="9"/>
  <c r="BN184" i="9"/>
  <c r="BO184" i="9"/>
  <c r="BP184" i="9"/>
  <c r="BQ184" i="9"/>
  <c r="BR184" i="9"/>
  <c r="BS184" i="9"/>
  <c r="BT184" i="9"/>
  <c r="BU184" i="9"/>
  <c r="BV184" i="9"/>
  <c r="BW184" i="9"/>
  <c r="BX184" i="9"/>
  <c r="BY184" i="9"/>
  <c r="BZ184" i="9"/>
  <c r="CA184" i="9"/>
  <c r="CB184" i="9"/>
  <c r="CC184" i="9"/>
  <c r="CD184" i="9"/>
  <c r="CE184" i="9"/>
  <c r="CF184" i="9"/>
  <c r="CG184" i="9"/>
  <c r="CH184" i="9"/>
  <c r="CI184" i="9"/>
  <c r="CJ184" i="9"/>
  <c r="CK184" i="9"/>
  <c r="CL184" i="9"/>
  <c r="CM184" i="9"/>
  <c r="CN184" i="9"/>
  <c r="CO184" i="9"/>
  <c r="CP184" i="9"/>
  <c r="CQ184" i="9"/>
  <c r="CR184" i="9"/>
  <c r="CS184" i="9"/>
  <c r="CT184" i="9"/>
  <c r="CU184" i="9"/>
  <c r="CV184" i="9"/>
  <c r="CW184" i="9"/>
  <c r="CX184" i="9"/>
  <c r="CY184" i="9"/>
  <c r="CZ184" i="9"/>
  <c r="DA184" i="9"/>
  <c r="DB184" i="9"/>
  <c r="DC184" i="9"/>
  <c r="DD184" i="9"/>
  <c r="DE184" i="9"/>
  <c r="DF184" i="9"/>
  <c r="DG184" i="9"/>
  <c r="DH184" i="9"/>
  <c r="DI184" i="9"/>
  <c r="DJ184" i="9"/>
  <c r="DK184" i="9"/>
  <c r="DL184" i="9"/>
  <c r="DM184" i="9"/>
  <c r="DN184" i="9"/>
  <c r="DO184" i="9"/>
  <c r="DP184" i="9"/>
  <c r="DQ184" i="9"/>
  <c r="DR184" i="9"/>
  <c r="DS184" i="9"/>
  <c r="DT184" i="9"/>
  <c r="DU184" i="9"/>
  <c r="DV184" i="9"/>
  <c r="DW184" i="9"/>
  <c r="DX184" i="9"/>
  <c r="DY184" i="9"/>
  <c r="DZ184" i="9"/>
  <c r="EA184" i="9"/>
  <c r="EB184" i="9"/>
  <c r="EC184" i="9"/>
  <c r="ED184" i="9"/>
  <c r="EE184" i="9"/>
  <c r="EF184" i="9"/>
  <c r="EG184" i="9"/>
  <c r="EH184" i="9"/>
  <c r="EI184" i="9"/>
  <c r="EJ184" i="9"/>
  <c r="EK184" i="9"/>
  <c r="EL184" i="9"/>
  <c r="EM184" i="9"/>
  <c r="EN184" i="9"/>
  <c r="EO184" i="9"/>
  <c r="EP184" i="9"/>
  <c r="EQ184" i="9"/>
  <c r="ER184" i="9"/>
  <c r="ES184" i="9"/>
  <c r="ET184" i="9"/>
  <c r="EU184" i="9"/>
  <c r="EV184" i="9"/>
  <c r="EW184" i="9"/>
  <c r="EX184" i="9"/>
  <c r="EY184" i="9"/>
  <c r="EZ184" i="9"/>
  <c r="FA184" i="9"/>
  <c r="FB184" i="9"/>
  <c r="FC184" i="9"/>
  <c r="FD184" i="9"/>
  <c r="FE184" i="9"/>
  <c r="FF184" i="9"/>
  <c r="FG184" i="9"/>
  <c r="FH184" i="9"/>
  <c r="FI184" i="9"/>
  <c r="FJ184" i="9"/>
  <c r="FK184" i="9"/>
  <c r="FL184" i="9"/>
  <c r="FM184" i="9"/>
  <c r="FN184" i="9"/>
  <c r="FO184" i="9"/>
  <c r="FP184" i="9"/>
  <c r="FQ184" i="9"/>
  <c r="FR184" i="9"/>
  <c r="FS184" i="9"/>
  <c r="FT184" i="9"/>
  <c r="FU184" i="9"/>
  <c r="FV184" i="9"/>
  <c r="FW184" i="9"/>
  <c r="FX184" i="9"/>
  <c r="FY184" i="9"/>
  <c r="FZ184" i="9"/>
  <c r="GA184" i="9"/>
  <c r="GB184" i="9"/>
  <c r="GC184" i="9"/>
  <c r="GD184" i="9"/>
  <c r="GE184" i="9"/>
  <c r="GF184" i="9"/>
  <c r="GG184" i="9"/>
  <c r="GH184" i="9"/>
  <c r="GI184" i="9"/>
  <c r="GJ184" i="9"/>
  <c r="GK184" i="9"/>
  <c r="GL184" i="9"/>
  <c r="GM184" i="9"/>
  <c r="GN184" i="9"/>
  <c r="GO184" i="9"/>
  <c r="GP184" i="9"/>
  <c r="GQ184" i="9"/>
  <c r="GR184" i="9"/>
  <c r="GS184" i="9"/>
  <c r="GT184" i="9"/>
  <c r="GU184" i="9"/>
  <c r="GV184" i="9"/>
  <c r="GW184" i="9"/>
  <c r="GX184" i="9"/>
  <c r="GY184" i="9"/>
  <c r="GZ184" i="9"/>
  <c r="HA184" i="9"/>
  <c r="HB184" i="9"/>
  <c r="HC184" i="9"/>
  <c r="HD184" i="9"/>
  <c r="HE184" i="9"/>
  <c r="HF184" i="9"/>
  <c r="HG184" i="9"/>
  <c r="HH184" i="9"/>
  <c r="HI184" i="9"/>
  <c r="HJ184" i="9"/>
  <c r="HK184" i="9"/>
  <c r="HL184" i="9"/>
  <c r="HM184" i="9"/>
  <c r="HN184" i="9"/>
  <c r="HO184" i="9"/>
  <c r="HP184" i="9"/>
  <c r="HQ184" i="9"/>
  <c r="HR184" i="9"/>
  <c r="HS184" i="9"/>
  <c r="HT184" i="9"/>
  <c r="HU184" i="9"/>
  <c r="HV184" i="9"/>
  <c r="HW184" i="9"/>
  <c r="HX184" i="9"/>
  <c r="HY184" i="9"/>
  <c r="HZ184" i="9"/>
  <c r="IA184" i="9"/>
  <c r="IB184" i="9"/>
  <c r="IC184" i="9"/>
  <c r="ID184" i="9"/>
  <c r="IE184" i="9"/>
  <c r="IF184" i="9"/>
  <c r="IG184" i="9"/>
  <c r="IH184" i="9"/>
  <c r="II184" i="9"/>
  <c r="IJ184" i="9"/>
  <c r="IK184" i="9"/>
  <c r="IL184" i="9"/>
  <c r="IM184" i="9"/>
  <c r="IN184" i="9"/>
  <c r="IO184" i="9"/>
  <c r="IP184" i="9"/>
  <c r="IQ184" i="9"/>
  <c r="IR184" i="9"/>
  <c r="IS184" i="9"/>
  <c r="IT184" i="9"/>
  <c r="IU184" i="9"/>
  <c r="IV184" i="9"/>
  <c r="A183" i="9"/>
  <c r="B183" i="9"/>
  <c r="C183" i="9"/>
  <c r="D183" i="9"/>
  <c r="E183" i="9"/>
  <c r="F183" i="9"/>
  <c r="G183" i="9"/>
  <c r="H183" i="9"/>
  <c r="I183" i="9"/>
  <c r="J183" i="9"/>
  <c r="K183" i="9"/>
  <c r="L183" i="9"/>
  <c r="M183" i="9"/>
  <c r="N183" i="9"/>
  <c r="O183" i="9"/>
  <c r="P183" i="9"/>
  <c r="Q183" i="9"/>
  <c r="R183" i="9"/>
  <c r="S183" i="9"/>
  <c r="T183" i="9"/>
  <c r="U183" i="9"/>
  <c r="V183" i="9"/>
  <c r="W183" i="9"/>
  <c r="X183" i="9"/>
  <c r="Y183" i="9"/>
  <c r="Z183" i="9"/>
  <c r="AA183" i="9"/>
  <c r="AB183" i="9"/>
  <c r="AC183" i="9"/>
  <c r="AD183" i="9"/>
  <c r="AE183" i="9"/>
  <c r="AF183" i="9"/>
  <c r="AG183" i="9"/>
  <c r="AH183" i="9"/>
  <c r="AJ183" i="9"/>
  <c r="AK183" i="9"/>
  <c r="AL183" i="9"/>
  <c r="AM183" i="9"/>
  <c r="AN183" i="9"/>
  <c r="AO183" i="9"/>
  <c r="AP183" i="9"/>
  <c r="AQ183" i="9"/>
  <c r="AR183" i="9"/>
  <c r="AS183" i="9"/>
  <c r="AT183" i="9"/>
  <c r="AU183" i="9"/>
  <c r="AV183" i="9"/>
  <c r="AW183" i="9"/>
  <c r="AX183" i="9"/>
  <c r="AY183" i="9"/>
  <c r="AZ183" i="9"/>
  <c r="BA183" i="9"/>
  <c r="BB183" i="9"/>
  <c r="BC183" i="9"/>
  <c r="BD183" i="9"/>
  <c r="BE183" i="9"/>
  <c r="BF183" i="9"/>
  <c r="BG183" i="9"/>
  <c r="BH183" i="9"/>
  <c r="BI183" i="9"/>
  <c r="BJ183" i="9"/>
  <c r="BK183" i="9"/>
  <c r="BL183" i="9"/>
  <c r="BM183" i="9"/>
  <c r="BN183" i="9"/>
  <c r="BO183" i="9"/>
  <c r="BP183" i="9"/>
  <c r="BQ183" i="9"/>
  <c r="BR183" i="9"/>
  <c r="BS183" i="9"/>
  <c r="BT183" i="9"/>
  <c r="BU183" i="9"/>
  <c r="BV183" i="9"/>
  <c r="BW183" i="9"/>
  <c r="BX183" i="9"/>
  <c r="BY183" i="9"/>
  <c r="BZ183" i="9"/>
  <c r="CA183" i="9"/>
  <c r="CB183" i="9"/>
  <c r="CC183" i="9"/>
  <c r="CD183" i="9"/>
  <c r="CE183" i="9"/>
  <c r="CF183" i="9"/>
  <c r="CG183" i="9"/>
  <c r="CH183" i="9"/>
  <c r="CI183" i="9"/>
  <c r="CJ183" i="9"/>
  <c r="CK183" i="9"/>
  <c r="CL183" i="9"/>
  <c r="CM183" i="9"/>
  <c r="CN183" i="9"/>
  <c r="CO183" i="9"/>
  <c r="CP183" i="9"/>
  <c r="CQ183" i="9"/>
  <c r="CR183" i="9"/>
  <c r="CS183" i="9"/>
  <c r="CT183" i="9"/>
  <c r="CU183" i="9"/>
  <c r="CV183" i="9"/>
  <c r="CW183" i="9"/>
  <c r="CX183" i="9"/>
  <c r="CY183" i="9"/>
  <c r="CZ183" i="9"/>
  <c r="DA183" i="9"/>
  <c r="DB183" i="9"/>
  <c r="DC183" i="9"/>
  <c r="DD183" i="9"/>
  <c r="DE183" i="9"/>
  <c r="DF183" i="9"/>
  <c r="DG183" i="9"/>
  <c r="DH183" i="9"/>
  <c r="DI183" i="9"/>
  <c r="DJ183" i="9"/>
  <c r="DK183" i="9"/>
  <c r="DL183" i="9"/>
  <c r="DM183" i="9"/>
  <c r="DN183" i="9"/>
  <c r="DO183" i="9"/>
  <c r="DP183" i="9"/>
  <c r="DQ183" i="9"/>
  <c r="DR183" i="9"/>
  <c r="DS183" i="9"/>
  <c r="DT183" i="9"/>
  <c r="DU183" i="9"/>
  <c r="DV183" i="9"/>
  <c r="DW183" i="9"/>
  <c r="DX183" i="9"/>
  <c r="DY183" i="9"/>
  <c r="DZ183" i="9"/>
  <c r="EA183" i="9"/>
  <c r="EB183" i="9"/>
  <c r="EC183" i="9"/>
  <c r="ED183" i="9"/>
  <c r="EE183" i="9"/>
  <c r="EF183" i="9"/>
  <c r="EG183" i="9"/>
  <c r="EH183" i="9"/>
  <c r="EI183" i="9"/>
  <c r="EJ183" i="9"/>
  <c r="EK183" i="9"/>
  <c r="EL183" i="9"/>
  <c r="EM183" i="9"/>
  <c r="EN183" i="9"/>
  <c r="EO183" i="9"/>
  <c r="EP183" i="9"/>
  <c r="EQ183" i="9"/>
  <c r="ER183" i="9"/>
  <c r="ES183" i="9"/>
  <c r="ET183" i="9"/>
  <c r="EU183" i="9"/>
  <c r="EV183" i="9"/>
  <c r="EW183" i="9"/>
  <c r="EX183" i="9"/>
  <c r="EY183" i="9"/>
  <c r="EZ183" i="9"/>
  <c r="FA183" i="9"/>
  <c r="FB183" i="9"/>
  <c r="FC183" i="9"/>
  <c r="FD183" i="9"/>
  <c r="FE183" i="9"/>
  <c r="FF183" i="9"/>
  <c r="FG183" i="9"/>
  <c r="FH183" i="9"/>
  <c r="FI183" i="9"/>
  <c r="FJ183" i="9"/>
  <c r="FK183" i="9"/>
  <c r="FL183" i="9"/>
  <c r="FM183" i="9"/>
  <c r="FN183" i="9"/>
  <c r="FO183" i="9"/>
  <c r="FP183" i="9"/>
  <c r="FQ183" i="9"/>
  <c r="FR183" i="9"/>
  <c r="FS183" i="9"/>
  <c r="FT183" i="9"/>
  <c r="FU183" i="9"/>
  <c r="FV183" i="9"/>
  <c r="FW183" i="9"/>
  <c r="FX183" i="9"/>
  <c r="FY183" i="9"/>
  <c r="FZ183" i="9"/>
  <c r="GA183" i="9"/>
  <c r="GB183" i="9"/>
  <c r="GC183" i="9"/>
  <c r="GD183" i="9"/>
  <c r="GE183" i="9"/>
  <c r="GF183" i="9"/>
  <c r="GG183" i="9"/>
  <c r="GH183" i="9"/>
  <c r="GI183" i="9"/>
  <c r="GJ183" i="9"/>
  <c r="GK183" i="9"/>
  <c r="GL183" i="9"/>
  <c r="GM183" i="9"/>
  <c r="GN183" i="9"/>
  <c r="GO183" i="9"/>
  <c r="GP183" i="9"/>
  <c r="GQ183" i="9"/>
  <c r="GR183" i="9"/>
  <c r="GS183" i="9"/>
  <c r="GT183" i="9"/>
  <c r="GU183" i="9"/>
  <c r="GV183" i="9"/>
  <c r="GW183" i="9"/>
  <c r="GX183" i="9"/>
  <c r="GY183" i="9"/>
  <c r="GZ183" i="9"/>
  <c r="HA183" i="9"/>
  <c r="HB183" i="9"/>
  <c r="HC183" i="9"/>
  <c r="HD183" i="9"/>
  <c r="HE183" i="9"/>
  <c r="HF183" i="9"/>
  <c r="HG183" i="9"/>
  <c r="HH183" i="9"/>
  <c r="HI183" i="9"/>
  <c r="HJ183" i="9"/>
  <c r="HK183" i="9"/>
  <c r="HL183" i="9"/>
  <c r="HM183" i="9"/>
  <c r="HN183" i="9"/>
  <c r="HO183" i="9"/>
  <c r="HP183" i="9"/>
  <c r="HQ183" i="9"/>
  <c r="HR183" i="9"/>
  <c r="HS183" i="9"/>
  <c r="HT183" i="9"/>
  <c r="HU183" i="9"/>
  <c r="HV183" i="9"/>
  <c r="HW183" i="9"/>
  <c r="HX183" i="9"/>
  <c r="HY183" i="9"/>
  <c r="HZ183" i="9"/>
  <c r="IA183" i="9"/>
  <c r="IB183" i="9"/>
  <c r="IC183" i="9"/>
  <c r="ID183" i="9"/>
  <c r="IE183" i="9"/>
  <c r="IF183" i="9"/>
  <c r="IG183" i="9"/>
  <c r="IH183" i="9"/>
  <c r="II183" i="9"/>
  <c r="IJ183" i="9"/>
  <c r="IK183" i="9"/>
  <c r="IL183" i="9"/>
  <c r="IM183" i="9"/>
  <c r="IN183" i="9"/>
  <c r="IO183" i="9"/>
  <c r="IP183" i="9"/>
  <c r="IQ183" i="9"/>
  <c r="IR183" i="9"/>
  <c r="IS183" i="9"/>
  <c r="IT183" i="9"/>
  <c r="IU183" i="9"/>
  <c r="IV183" i="9"/>
  <c r="A182" i="9"/>
  <c r="B182" i="9"/>
  <c r="C182" i="9"/>
  <c r="D182" i="9"/>
  <c r="E182" i="9"/>
  <c r="F182" i="9"/>
  <c r="G182" i="9"/>
  <c r="H182" i="9"/>
  <c r="I182" i="9"/>
  <c r="J182" i="9"/>
  <c r="K182" i="9"/>
  <c r="L182" i="9"/>
  <c r="M182" i="9"/>
  <c r="N182" i="9"/>
  <c r="P182" i="9"/>
  <c r="Q182" i="9"/>
  <c r="R182" i="9"/>
  <c r="S182" i="9"/>
  <c r="T182" i="9"/>
  <c r="U182" i="9"/>
  <c r="V182" i="9"/>
  <c r="W182" i="9"/>
  <c r="X182" i="9"/>
  <c r="Y182" i="9"/>
  <c r="Z182" i="9"/>
  <c r="AA182" i="9"/>
  <c r="AB182" i="9"/>
  <c r="AC182" i="9"/>
  <c r="AD182" i="9"/>
  <c r="AE182" i="9"/>
  <c r="AF182" i="9"/>
  <c r="AG182" i="9"/>
  <c r="AH182" i="9"/>
  <c r="AI182" i="9"/>
  <c r="AJ182" i="9"/>
  <c r="AK182" i="9"/>
  <c r="AL182" i="9"/>
  <c r="AM182" i="9"/>
  <c r="AN182" i="9"/>
  <c r="AO182" i="9"/>
  <c r="AP182" i="9"/>
  <c r="AQ182" i="9"/>
  <c r="AR182" i="9"/>
  <c r="AS182" i="9"/>
  <c r="AT182" i="9"/>
  <c r="AU182" i="9"/>
  <c r="AV182" i="9"/>
  <c r="AW182" i="9"/>
  <c r="AX182" i="9"/>
  <c r="AY182" i="9"/>
  <c r="AZ182" i="9"/>
  <c r="BA182" i="9"/>
  <c r="BB182" i="9"/>
  <c r="BC182" i="9"/>
  <c r="BD182" i="9"/>
  <c r="BE182" i="9"/>
  <c r="BF182" i="9"/>
  <c r="BG182" i="9"/>
  <c r="BH182" i="9"/>
  <c r="BI182" i="9"/>
  <c r="BJ182" i="9"/>
  <c r="BK182" i="9"/>
  <c r="BL182" i="9"/>
  <c r="BM182" i="9"/>
  <c r="BN182" i="9"/>
  <c r="BO182" i="9"/>
  <c r="BP182" i="9"/>
  <c r="BQ182" i="9"/>
  <c r="BR182" i="9"/>
  <c r="BS182" i="9"/>
  <c r="BT182" i="9"/>
  <c r="BU182" i="9"/>
  <c r="BV182" i="9"/>
  <c r="BW182" i="9"/>
  <c r="BX182" i="9"/>
  <c r="BY182" i="9"/>
  <c r="BZ182" i="9"/>
  <c r="CA182" i="9"/>
  <c r="CB182" i="9"/>
  <c r="CC182" i="9"/>
  <c r="CD182" i="9"/>
  <c r="CE182" i="9"/>
  <c r="CF182" i="9"/>
  <c r="CG182" i="9"/>
  <c r="CH182" i="9"/>
  <c r="CI182" i="9"/>
  <c r="CJ182" i="9"/>
  <c r="CK182" i="9"/>
  <c r="CL182" i="9"/>
  <c r="CM182" i="9"/>
  <c r="CN182" i="9"/>
  <c r="CO182" i="9"/>
  <c r="CP182" i="9"/>
  <c r="CQ182" i="9"/>
  <c r="CR182" i="9"/>
  <c r="CS182" i="9"/>
  <c r="CT182" i="9"/>
  <c r="CU182" i="9"/>
  <c r="CV182" i="9"/>
  <c r="CW182" i="9"/>
  <c r="CX182" i="9"/>
  <c r="CY182" i="9"/>
  <c r="CZ182" i="9"/>
  <c r="DA182" i="9"/>
  <c r="DB182" i="9"/>
  <c r="DC182" i="9"/>
  <c r="DD182" i="9"/>
  <c r="DE182" i="9"/>
  <c r="DF182" i="9"/>
  <c r="DG182" i="9"/>
  <c r="DH182" i="9"/>
  <c r="DI182" i="9"/>
  <c r="DJ182" i="9"/>
  <c r="DK182" i="9"/>
  <c r="DL182" i="9"/>
  <c r="DM182" i="9"/>
  <c r="DN182" i="9"/>
  <c r="DO182" i="9"/>
  <c r="DP182" i="9"/>
  <c r="DQ182" i="9"/>
  <c r="DR182" i="9"/>
  <c r="DS182" i="9"/>
  <c r="DT182" i="9"/>
  <c r="DU182" i="9"/>
  <c r="DV182" i="9"/>
  <c r="DW182" i="9"/>
  <c r="DX182" i="9"/>
  <c r="DY182" i="9"/>
  <c r="DZ182" i="9"/>
  <c r="EA182" i="9"/>
  <c r="EB182" i="9"/>
  <c r="EC182" i="9"/>
  <c r="ED182" i="9"/>
  <c r="EE182" i="9"/>
  <c r="EF182" i="9"/>
  <c r="EG182" i="9"/>
  <c r="EH182" i="9"/>
  <c r="EI182" i="9"/>
  <c r="EJ182" i="9"/>
  <c r="EK182" i="9"/>
  <c r="EL182" i="9"/>
  <c r="EM182" i="9"/>
  <c r="EN182" i="9"/>
  <c r="EO182" i="9"/>
  <c r="EP182" i="9"/>
  <c r="EQ182" i="9"/>
  <c r="ER182" i="9"/>
  <c r="ES182" i="9"/>
  <c r="ET182" i="9"/>
  <c r="EU182" i="9"/>
  <c r="EV182" i="9"/>
  <c r="EW182" i="9"/>
  <c r="EX182" i="9"/>
  <c r="EY182" i="9"/>
  <c r="EZ182" i="9"/>
  <c r="FA182" i="9"/>
  <c r="FB182" i="9"/>
  <c r="FC182" i="9"/>
  <c r="FD182" i="9"/>
  <c r="FE182" i="9"/>
  <c r="FF182" i="9"/>
  <c r="FG182" i="9"/>
  <c r="FH182" i="9"/>
  <c r="FI182" i="9"/>
  <c r="FJ182" i="9"/>
  <c r="FK182" i="9"/>
  <c r="FL182" i="9"/>
  <c r="FM182" i="9"/>
  <c r="FN182" i="9"/>
  <c r="FO182" i="9"/>
  <c r="FP182" i="9"/>
  <c r="FQ182" i="9"/>
  <c r="FR182" i="9"/>
  <c r="FS182" i="9"/>
  <c r="FT182" i="9"/>
  <c r="FU182" i="9"/>
  <c r="FV182" i="9"/>
  <c r="FW182" i="9"/>
  <c r="FX182" i="9"/>
  <c r="FY182" i="9"/>
  <c r="FZ182" i="9"/>
  <c r="GA182" i="9"/>
  <c r="GB182" i="9"/>
  <c r="GC182" i="9"/>
  <c r="GD182" i="9"/>
  <c r="GE182" i="9"/>
  <c r="GF182" i="9"/>
  <c r="GG182" i="9"/>
  <c r="GH182" i="9"/>
  <c r="GI182" i="9"/>
  <c r="GJ182" i="9"/>
  <c r="GK182" i="9"/>
  <c r="GL182" i="9"/>
  <c r="GM182" i="9"/>
  <c r="GN182" i="9"/>
  <c r="GO182" i="9"/>
  <c r="GP182" i="9"/>
  <c r="GQ182" i="9"/>
  <c r="GR182" i="9"/>
  <c r="GS182" i="9"/>
  <c r="GT182" i="9"/>
  <c r="GU182" i="9"/>
  <c r="GV182" i="9"/>
  <c r="GW182" i="9"/>
  <c r="GX182" i="9"/>
  <c r="GY182" i="9"/>
  <c r="GZ182" i="9"/>
  <c r="HA182" i="9"/>
  <c r="HB182" i="9"/>
  <c r="HC182" i="9"/>
  <c r="HD182" i="9"/>
  <c r="HE182" i="9"/>
  <c r="HF182" i="9"/>
  <c r="HG182" i="9"/>
  <c r="HH182" i="9"/>
  <c r="HI182" i="9"/>
  <c r="HJ182" i="9"/>
  <c r="HK182" i="9"/>
  <c r="HL182" i="9"/>
  <c r="HM182" i="9"/>
  <c r="HN182" i="9"/>
  <c r="HO182" i="9"/>
  <c r="HP182" i="9"/>
  <c r="HQ182" i="9"/>
  <c r="HR182" i="9"/>
  <c r="HS182" i="9"/>
  <c r="HT182" i="9"/>
  <c r="HU182" i="9"/>
  <c r="HV182" i="9"/>
  <c r="HW182" i="9"/>
  <c r="HX182" i="9"/>
  <c r="HY182" i="9"/>
  <c r="HZ182" i="9"/>
  <c r="IA182" i="9"/>
  <c r="IB182" i="9"/>
  <c r="IC182" i="9"/>
  <c r="ID182" i="9"/>
  <c r="IE182" i="9"/>
  <c r="IF182" i="9"/>
  <c r="IG182" i="9"/>
  <c r="IH182" i="9"/>
  <c r="II182" i="9"/>
  <c r="IJ182" i="9"/>
  <c r="IK182" i="9"/>
  <c r="IL182" i="9"/>
  <c r="IM182" i="9"/>
  <c r="IN182" i="9"/>
  <c r="IO182" i="9"/>
  <c r="IP182" i="9"/>
  <c r="IQ182" i="9"/>
  <c r="IR182" i="9"/>
  <c r="IS182" i="9"/>
  <c r="IT182" i="9"/>
  <c r="IU182" i="9"/>
  <c r="IV182" i="9"/>
  <c r="A181" i="9"/>
  <c r="B181" i="9"/>
  <c r="C181" i="9"/>
  <c r="D181" i="9"/>
  <c r="E181" i="9"/>
  <c r="F181" i="9"/>
  <c r="G181" i="9"/>
  <c r="H181" i="9"/>
  <c r="I181" i="9"/>
  <c r="J181" i="9"/>
  <c r="K181" i="9"/>
  <c r="L181" i="9"/>
  <c r="M181" i="9"/>
  <c r="N181" i="9"/>
  <c r="O181" i="9"/>
  <c r="P181" i="9"/>
  <c r="Q181" i="9"/>
  <c r="R181" i="9"/>
  <c r="S181" i="9"/>
  <c r="T181" i="9"/>
  <c r="U181" i="9"/>
  <c r="V181" i="9"/>
  <c r="W181" i="9"/>
  <c r="X181" i="9"/>
  <c r="Y181" i="9"/>
  <c r="Z181" i="9"/>
  <c r="AA181" i="9"/>
  <c r="AB181" i="9"/>
  <c r="AC181" i="9"/>
  <c r="AD181" i="9"/>
  <c r="AE181" i="9"/>
  <c r="AF181" i="9"/>
  <c r="AG181" i="9"/>
  <c r="AH181" i="9"/>
  <c r="AI181" i="9"/>
  <c r="AJ181" i="9"/>
  <c r="AK181" i="9"/>
  <c r="AL181" i="9"/>
  <c r="AM181" i="9"/>
  <c r="AN181" i="9"/>
  <c r="AO181" i="9"/>
  <c r="AP181" i="9"/>
  <c r="AQ181" i="9"/>
  <c r="AR181" i="9"/>
  <c r="AS181" i="9"/>
  <c r="AT181" i="9"/>
  <c r="AU181" i="9"/>
  <c r="AV181" i="9"/>
  <c r="AW181" i="9"/>
  <c r="AX181" i="9"/>
  <c r="AY181" i="9"/>
  <c r="AZ181" i="9"/>
  <c r="BA181" i="9"/>
  <c r="BB181" i="9"/>
  <c r="BC181" i="9"/>
  <c r="BD181" i="9"/>
  <c r="BE181" i="9"/>
  <c r="BF181" i="9"/>
  <c r="BG181" i="9"/>
  <c r="BH181" i="9"/>
  <c r="BI181" i="9"/>
  <c r="BJ181" i="9"/>
  <c r="BK181" i="9"/>
  <c r="BM181" i="9"/>
  <c r="BN181" i="9"/>
  <c r="BO181" i="9"/>
  <c r="BP181" i="9"/>
  <c r="BQ181" i="9"/>
  <c r="BR181" i="9"/>
  <c r="BS181" i="9"/>
  <c r="BT181" i="9"/>
  <c r="BU181" i="9"/>
  <c r="BV181" i="9"/>
  <c r="BW181" i="9"/>
  <c r="BX181" i="9"/>
  <c r="BY181" i="9"/>
  <c r="BZ181" i="9"/>
  <c r="CA181" i="9"/>
  <c r="CB181" i="9"/>
  <c r="CC181" i="9"/>
  <c r="CD181" i="9"/>
  <c r="CE181" i="9"/>
  <c r="CF181" i="9"/>
  <c r="CG181" i="9"/>
  <c r="CH181" i="9"/>
  <c r="CI181" i="9"/>
  <c r="CJ181" i="9"/>
  <c r="CK181" i="9"/>
  <c r="CL181" i="9"/>
  <c r="CM181" i="9"/>
  <c r="CN181" i="9"/>
  <c r="CO181" i="9"/>
  <c r="CP181" i="9"/>
  <c r="CQ181" i="9"/>
  <c r="CR181" i="9"/>
  <c r="CS181" i="9"/>
  <c r="CT181" i="9"/>
  <c r="CU181" i="9"/>
  <c r="CV181" i="9"/>
  <c r="CW181" i="9"/>
  <c r="CX181" i="9"/>
  <c r="CY181" i="9"/>
  <c r="CZ181" i="9"/>
  <c r="DA181" i="9"/>
  <c r="DB181" i="9"/>
  <c r="DC181" i="9"/>
  <c r="DD181" i="9"/>
  <c r="DE181" i="9"/>
  <c r="DF181" i="9"/>
  <c r="DG181" i="9"/>
  <c r="DH181" i="9"/>
  <c r="DI181" i="9"/>
  <c r="DJ181" i="9"/>
  <c r="DK181" i="9"/>
  <c r="DL181" i="9"/>
  <c r="DM181" i="9"/>
  <c r="DN181" i="9"/>
  <c r="DO181" i="9"/>
  <c r="DP181" i="9"/>
  <c r="DQ181" i="9"/>
  <c r="DR181" i="9"/>
  <c r="DS181" i="9"/>
  <c r="DT181" i="9"/>
  <c r="DU181" i="9"/>
  <c r="DV181" i="9"/>
  <c r="DW181" i="9"/>
  <c r="DX181" i="9"/>
  <c r="DY181" i="9"/>
  <c r="DZ181" i="9"/>
  <c r="EA181" i="9"/>
  <c r="EB181" i="9"/>
  <c r="ED181" i="9"/>
  <c r="EE181" i="9"/>
  <c r="EF181" i="9"/>
  <c r="EG181" i="9"/>
  <c r="EH181" i="9"/>
  <c r="EI181" i="9"/>
  <c r="EJ181" i="9"/>
  <c r="EK181" i="9"/>
  <c r="EL181" i="9"/>
  <c r="EM181" i="9"/>
  <c r="EN181" i="9"/>
  <c r="EO181" i="9"/>
  <c r="EP181" i="9"/>
  <c r="EQ181" i="9"/>
  <c r="ER181" i="9"/>
  <c r="ES181" i="9"/>
  <c r="ET181" i="9"/>
  <c r="EU181" i="9"/>
  <c r="EV181" i="9"/>
  <c r="EW181" i="9"/>
  <c r="EX181" i="9"/>
  <c r="EY181" i="9"/>
  <c r="EZ181" i="9"/>
  <c r="FA181" i="9"/>
  <c r="FB181" i="9"/>
  <c r="FC181" i="9"/>
  <c r="FD181" i="9"/>
  <c r="FE181" i="9"/>
  <c r="FF181" i="9"/>
  <c r="FG181" i="9"/>
  <c r="FH181" i="9"/>
  <c r="FI181" i="9"/>
  <c r="FJ181" i="9"/>
  <c r="FK181" i="9"/>
  <c r="FL181" i="9"/>
  <c r="FM181" i="9"/>
  <c r="FN181" i="9"/>
  <c r="FO181" i="9"/>
  <c r="FP181" i="9"/>
  <c r="FQ181" i="9"/>
  <c r="FR181" i="9"/>
  <c r="FS181" i="9"/>
  <c r="FT181" i="9"/>
  <c r="FU181" i="9"/>
  <c r="FV181" i="9"/>
  <c r="FW181" i="9"/>
  <c r="FX181" i="9"/>
  <c r="FY181" i="9"/>
  <c r="FZ181" i="9"/>
  <c r="GA181" i="9"/>
  <c r="GB181" i="9"/>
  <c r="GC181" i="9"/>
  <c r="GD181" i="9"/>
  <c r="GE181" i="9"/>
  <c r="GF181" i="9"/>
  <c r="GG181" i="9"/>
  <c r="GH181" i="9"/>
  <c r="GI181" i="9"/>
  <c r="GJ181" i="9"/>
  <c r="GK181" i="9"/>
  <c r="GL181" i="9"/>
  <c r="GM181" i="9"/>
  <c r="GN181" i="9"/>
  <c r="GO181" i="9"/>
  <c r="GP181" i="9"/>
  <c r="GQ181" i="9"/>
  <c r="GR181" i="9"/>
  <c r="GS181" i="9"/>
  <c r="GT181" i="9"/>
  <c r="GU181" i="9"/>
  <c r="GV181" i="9"/>
  <c r="GW181" i="9"/>
  <c r="GX181" i="9"/>
  <c r="GY181" i="9"/>
  <c r="GZ181" i="9"/>
  <c r="HA181" i="9"/>
  <c r="HB181" i="9"/>
  <c r="HC181" i="9"/>
  <c r="HD181" i="9"/>
  <c r="HE181" i="9"/>
  <c r="HF181" i="9"/>
  <c r="HG181" i="9"/>
  <c r="HH181" i="9"/>
  <c r="HI181" i="9"/>
  <c r="HJ181" i="9"/>
  <c r="HK181" i="9"/>
  <c r="HL181" i="9"/>
  <c r="HM181" i="9"/>
  <c r="HN181" i="9"/>
  <c r="HO181" i="9"/>
  <c r="HP181" i="9"/>
  <c r="HQ181" i="9"/>
  <c r="HR181" i="9"/>
  <c r="HS181" i="9"/>
  <c r="HT181" i="9"/>
  <c r="HU181" i="9"/>
  <c r="HV181" i="9"/>
  <c r="HW181" i="9"/>
  <c r="HX181" i="9"/>
  <c r="HY181" i="9"/>
  <c r="HZ181" i="9"/>
  <c r="IA181" i="9"/>
  <c r="IB181" i="9"/>
  <c r="IC181" i="9"/>
  <c r="ID181" i="9"/>
  <c r="IE181" i="9"/>
  <c r="IF181" i="9"/>
  <c r="IG181" i="9"/>
  <c r="IH181" i="9"/>
  <c r="II181" i="9"/>
  <c r="IJ181" i="9"/>
  <c r="IK181" i="9"/>
  <c r="IL181" i="9"/>
  <c r="IM181" i="9"/>
  <c r="IN181" i="9"/>
  <c r="IO181" i="9"/>
  <c r="IP181" i="9"/>
  <c r="IQ181" i="9"/>
  <c r="IR181" i="9"/>
  <c r="IS181" i="9"/>
  <c r="IT181" i="9"/>
  <c r="IU181" i="9"/>
  <c r="IV181" i="9"/>
  <c r="A180" i="9"/>
  <c r="B180" i="9"/>
  <c r="C180" i="9"/>
  <c r="D180" i="9"/>
  <c r="E180" i="9"/>
  <c r="F180" i="9"/>
  <c r="G180" i="9"/>
  <c r="H180" i="9"/>
  <c r="I180" i="9"/>
  <c r="J180" i="9"/>
  <c r="K180" i="9"/>
  <c r="L180" i="9"/>
  <c r="M180" i="9"/>
  <c r="N180" i="9"/>
  <c r="O180" i="9"/>
  <c r="P180" i="9"/>
  <c r="Q180" i="9"/>
  <c r="R180" i="9"/>
  <c r="S180" i="9"/>
  <c r="T180" i="9"/>
  <c r="U180" i="9"/>
  <c r="V180" i="9"/>
  <c r="W180" i="9"/>
  <c r="X180" i="9"/>
  <c r="Y180" i="9"/>
  <c r="Z180" i="9"/>
  <c r="AA180" i="9"/>
  <c r="AB180" i="9"/>
  <c r="AC180" i="9"/>
  <c r="AD180" i="9"/>
  <c r="AE180" i="9"/>
  <c r="AF180" i="9"/>
  <c r="AG180" i="9"/>
  <c r="AH180" i="9"/>
  <c r="AI180" i="9"/>
  <c r="AJ180" i="9"/>
  <c r="AK180" i="9"/>
  <c r="AL180" i="9"/>
  <c r="AM180" i="9"/>
  <c r="AN180" i="9"/>
  <c r="AO180" i="9"/>
  <c r="AP180" i="9"/>
  <c r="AQ180" i="9"/>
  <c r="AS180" i="9"/>
  <c r="AT180" i="9"/>
  <c r="AU180" i="9"/>
  <c r="AV180" i="9"/>
  <c r="AW180" i="9"/>
  <c r="AX180" i="9"/>
  <c r="AY180" i="9"/>
  <c r="AZ180" i="9"/>
  <c r="BA180" i="9"/>
  <c r="BB180" i="9"/>
  <c r="BC180" i="9"/>
  <c r="BD180" i="9"/>
  <c r="BE180" i="9"/>
  <c r="BF180" i="9"/>
  <c r="BG180" i="9"/>
  <c r="BH180" i="9"/>
  <c r="BI180" i="9"/>
  <c r="BJ180" i="9"/>
  <c r="BK180" i="9"/>
  <c r="BL180" i="9"/>
  <c r="BM180" i="9"/>
  <c r="BN180" i="9"/>
  <c r="BO180" i="9"/>
  <c r="BP180" i="9"/>
  <c r="BQ180" i="9"/>
  <c r="BR180" i="9"/>
  <c r="BS180" i="9"/>
  <c r="BT180" i="9"/>
  <c r="BU180" i="9"/>
  <c r="BV180" i="9"/>
  <c r="BW180" i="9"/>
  <c r="BX180" i="9"/>
  <c r="BY180" i="9"/>
  <c r="BZ180" i="9"/>
  <c r="CA180" i="9"/>
  <c r="CB180" i="9"/>
  <c r="CC180" i="9"/>
  <c r="CD180" i="9"/>
  <c r="CE180" i="9"/>
  <c r="CF180" i="9"/>
  <c r="CG180" i="9"/>
  <c r="CH180" i="9"/>
  <c r="CI180" i="9"/>
  <c r="CJ180" i="9"/>
  <c r="CK180" i="9"/>
  <c r="CL180" i="9"/>
  <c r="CM180" i="9"/>
  <c r="CN180" i="9"/>
  <c r="CO180" i="9"/>
  <c r="CP180" i="9"/>
  <c r="CQ180" i="9"/>
  <c r="CR180" i="9"/>
  <c r="CS180" i="9"/>
  <c r="CT180" i="9"/>
  <c r="CU180" i="9"/>
  <c r="CV180" i="9"/>
  <c r="CW180" i="9"/>
  <c r="CX180" i="9"/>
  <c r="CY180" i="9"/>
  <c r="CZ180" i="9"/>
  <c r="DA180" i="9"/>
  <c r="DB180" i="9"/>
  <c r="DC180" i="9"/>
  <c r="DD180" i="9"/>
  <c r="DE180" i="9"/>
  <c r="DF180" i="9"/>
  <c r="DG180" i="9"/>
  <c r="DH180" i="9"/>
  <c r="DJ180" i="9"/>
  <c r="DK180" i="9"/>
  <c r="DL180" i="9"/>
  <c r="DM180" i="9"/>
  <c r="DN180" i="9"/>
  <c r="DO180" i="9"/>
  <c r="DP180" i="9"/>
  <c r="DQ180" i="9"/>
  <c r="DR180" i="9"/>
  <c r="DS180" i="9"/>
  <c r="DT180" i="9"/>
  <c r="DU180" i="9"/>
  <c r="DV180" i="9"/>
  <c r="DW180" i="9"/>
  <c r="DX180" i="9"/>
  <c r="DY180" i="9"/>
  <c r="DZ180" i="9"/>
  <c r="EA180" i="9"/>
  <c r="EB180" i="9"/>
  <c r="EC180" i="9"/>
  <c r="ED180" i="9"/>
  <c r="EE180" i="9"/>
  <c r="EF180" i="9"/>
  <c r="EG180" i="9"/>
  <c r="EH180" i="9"/>
  <c r="EI180" i="9"/>
  <c r="EJ180" i="9"/>
  <c r="EK180" i="9"/>
  <c r="EL180" i="9"/>
  <c r="EM180" i="9"/>
  <c r="EN180" i="9"/>
  <c r="EO180" i="9"/>
  <c r="EP180" i="9"/>
  <c r="EQ180" i="9"/>
  <c r="ER180" i="9"/>
  <c r="ES180" i="9"/>
  <c r="ET180" i="9"/>
  <c r="EU180" i="9"/>
  <c r="EV180" i="9"/>
  <c r="EW180" i="9"/>
  <c r="EX180" i="9"/>
  <c r="EY180" i="9"/>
  <c r="EZ180" i="9"/>
  <c r="FA180" i="9"/>
  <c r="FB180" i="9"/>
  <c r="FC180" i="9"/>
  <c r="FD180" i="9"/>
  <c r="FE180" i="9"/>
  <c r="FF180" i="9"/>
  <c r="FG180" i="9"/>
  <c r="FH180" i="9"/>
  <c r="FI180" i="9"/>
  <c r="FJ180" i="9"/>
  <c r="FK180" i="9"/>
  <c r="FL180" i="9"/>
  <c r="FM180" i="9"/>
  <c r="FN180" i="9"/>
  <c r="FO180" i="9"/>
  <c r="FP180" i="9"/>
  <c r="FQ180" i="9"/>
  <c r="FR180" i="9"/>
  <c r="FS180" i="9"/>
  <c r="FT180" i="9"/>
  <c r="FU180" i="9"/>
  <c r="FV180" i="9"/>
  <c r="FW180" i="9"/>
  <c r="FX180" i="9"/>
  <c r="FY180" i="9"/>
  <c r="FZ180" i="9"/>
  <c r="GA180" i="9"/>
  <c r="GB180" i="9"/>
  <c r="GC180" i="9"/>
  <c r="GD180" i="9"/>
  <c r="GE180" i="9"/>
  <c r="GF180" i="9"/>
  <c r="GG180" i="9"/>
  <c r="GH180" i="9"/>
  <c r="GI180" i="9"/>
  <c r="GJ180" i="9"/>
  <c r="GK180" i="9"/>
  <c r="GL180" i="9"/>
  <c r="GM180" i="9"/>
  <c r="GN180" i="9"/>
  <c r="GO180" i="9"/>
  <c r="GP180" i="9"/>
  <c r="GQ180" i="9"/>
  <c r="GR180" i="9"/>
  <c r="GS180" i="9"/>
  <c r="GT180" i="9"/>
  <c r="GU180" i="9"/>
  <c r="GV180" i="9"/>
  <c r="GW180" i="9"/>
  <c r="GX180" i="9"/>
  <c r="GY180" i="9"/>
  <c r="GZ180" i="9"/>
  <c r="HA180" i="9"/>
  <c r="HB180" i="9"/>
  <c r="HC180" i="9"/>
  <c r="HD180" i="9"/>
  <c r="HE180" i="9"/>
  <c r="HF180" i="9"/>
  <c r="HG180" i="9"/>
  <c r="HH180" i="9"/>
  <c r="HI180" i="9"/>
  <c r="HJ180" i="9"/>
  <c r="HK180" i="9"/>
  <c r="HL180" i="9"/>
  <c r="HM180" i="9"/>
  <c r="HN180" i="9"/>
  <c r="HO180" i="9"/>
  <c r="HP180" i="9"/>
  <c r="HQ180" i="9"/>
  <c r="HR180" i="9"/>
  <c r="HS180" i="9"/>
  <c r="HT180" i="9"/>
  <c r="HU180" i="9"/>
  <c r="HV180" i="9"/>
  <c r="HW180" i="9"/>
  <c r="HX180" i="9"/>
  <c r="HY180" i="9"/>
  <c r="HZ180" i="9"/>
  <c r="IA180" i="9"/>
  <c r="IB180" i="9"/>
  <c r="IC180" i="9"/>
  <c r="ID180" i="9"/>
  <c r="IE180" i="9"/>
  <c r="IF180" i="9"/>
  <c r="IG180" i="9"/>
  <c r="IH180" i="9"/>
  <c r="II180" i="9"/>
  <c r="IJ180" i="9"/>
  <c r="IK180" i="9"/>
  <c r="IL180" i="9"/>
  <c r="IM180" i="9"/>
  <c r="IN180" i="9"/>
  <c r="IO180" i="9"/>
  <c r="IP180" i="9"/>
  <c r="IQ180" i="9"/>
  <c r="IR180" i="9"/>
  <c r="IS180" i="9"/>
  <c r="IT180" i="9"/>
  <c r="IU180" i="9"/>
  <c r="IV180" i="9"/>
  <c r="A179" i="9"/>
  <c r="B179" i="9"/>
  <c r="C179" i="9"/>
  <c r="D179" i="9"/>
  <c r="E179" i="9"/>
  <c r="F179" i="9"/>
  <c r="G179" i="9"/>
  <c r="H179" i="9"/>
  <c r="I179" i="9"/>
  <c r="J179" i="9"/>
  <c r="K179" i="9"/>
  <c r="L179" i="9"/>
  <c r="M179" i="9"/>
  <c r="N179" i="9"/>
  <c r="O179" i="9"/>
  <c r="P179" i="9"/>
  <c r="Q179" i="9"/>
  <c r="R179" i="9"/>
  <c r="S179" i="9"/>
  <c r="T179" i="9"/>
  <c r="U179" i="9"/>
  <c r="V179" i="9"/>
  <c r="W179" i="9"/>
  <c r="X179" i="9"/>
  <c r="Y179" i="9"/>
  <c r="Z179" i="9"/>
  <c r="AA179" i="9"/>
  <c r="AB179" i="9"/>
  <c r="AC179" i="9"/>
  <c r="AD179" i="9"/>
  <c r="AE179" i="9"/>
  <c r="AF179" i="9"/>
  <c r="AG179" i="9"/>
  <c r="AH179" i="9"/>
  <c r="AI179" i="9"/>
  <c r="AJ179" i="9"/>
  <c r="AK179" i="9"/>
  <c r="AL179" i="9"/>
  <c r="AM179" i="9"/>
  <c r="AN179" i="9"/>
  <c r="AO179" i="9"/>
  <c r="AP179" i="9"/>
  <c r="AQ179" i="9"/>
  <c r="AR179" i="9"/>
  <c r="AS179" i="9"/>
  <c r="AT179" i="9"/>
  <c r="AU179" i="9"/>
  <c r="AV179" i="9"/>
  <c r="AW179" i="9"/>
  <c r="AX179" i="9"/>
  <c r="AY179" i="9"/>
  <c r="AZ179" i="9"/>
  <c r="BA179" i="9"/>
  <c r="BB179" i="9"/>
  <c r="BC179" i="9"/>
  <c r="BD179" i="9"/>
  <c r="BE179" i="9"/>
  <c r="BF179" i="9"/>
  <c r="BG179" i="9"/>
  <c r="BH179" i="9"/>
  <c r="BI179" i="9"/>
  <c r="BJ179" i="9"/>
  <c r="BK179" i="9"/>
  <c r="BL179" i="9"/>
  <c r="BM179" i="9"/>
  <c r="BN179" i="9"/>
  <c r="BO179" i="9"/>
  <c r="BP179" i="9"/>
  <c r="BQ179" i="9"/>
  <c r="BR179" i="9"/>
  <c r="BS179" i="9"/>
  <c r="BT179" i="9"/>
  <c r="BU179" i="9"/>
  <c r="BV179" i="9"/>
  <c r="BW179" i="9"/>
  <c r="BX179" i="9"/>
  <c r="BY179" i="9"/>
  <c r="BZ179" i="9"/>
  <c r="CA179" i="9"/>
  <c r="CB179" i="9"/>
  <c r="CC179" i="9"/>
  <c r="CD179" i="9"/>
  <c r="CE179" i="9"/>
  <c r="CF179" i="9"/>
  <c r="CG179" i="9"/>
  <c r="CH179" i="9"/>
  <c r="CI179" i="9"/>
  <c r="CJ179" i="9"/>
  <c r="CK179" i="9"/>
  <c r="CL179" i="9"/>
  <c r="CM179" i="9"/>
  <c r="CN179" i="9"/>
  <c r="CO179" i="9"/>
  <c r="CP179" i="9"/>
  <c r="CQ179" i="9"/>
  <c r="CR179" i="9"/>
  <c r="CS179" i="9"/>
  <c r="CT179" i="9"/>
  <c r="CU179" i="9"/>
  <c r="CV179" i="9"/>
  <c r="CW179" i="9"/>
  <c r="CX179" i="9"/>
  <c r="CY179" i="9"/>
  <c r="CZ179" i="9"/>
  <c r="DA179" i="9"/>
  <c r="DB179" i="9"/>
  <c r="DC179" i="9"/>
  <c r="DD179" i="9"/>
  <c r="DE179" i="9"/>
  <c r="DF179" i="9"/>
  <c r="DG179" i="9"/>
  <c r="DH179" i="9"/>
  <c r="DI179" i="9"/>
  <c r="DJ179" i="9"/>
  <c r="DK179" i="9"/>
  <c r="DL179" i="9"/>
  <c r="DM179" i="9"/>
  <c r="DN179" i="9"/>
  <c r="DO179" i="9"/>
  <c r="DP179" i="9"/>
  <c r="DQ179" i="9"/>
  <c r="DR179" i="9"/>
  <c r="DS179" i="9"/>
  <c r="DT179" i="9"/>
  <c r="DU179" i="9"/>
  <c r="DV179" i="9"/>
  <c r="DW179" i="9"/>
  <c r="DX179" i="9"/>
  <c r="DY179" i="9"/>
  <c r="DZ179" i="9"/>
  <c r="EA179" i="9"/>
  <c r="EB179" i="9"/>
  <c r="EC179" i="9"/>
  <c r="ED179" i="9"/>
  <c r="EE179" i="9"/>
  <c r="EF179" i="9"/>
  <c r="EG179" i="9"/>
  <c r="EH179" i="9"/>
  <c r="EI179" i="9"/>
  <c r="EJ179" i="9"/>
  <c r="EK179" i="9"/>
  <c r="EL179" i="9"/>
  <c r="EM179" i="9"/>
  <c r="EN179" i="9"/>
  <c r="EO179" i="9"/>
  <c r="EP179" i="9"/>
  <c r="EQ179" i="9"/>
  <c r="ER179" i="9"/>
  <c r="ES179" i="9"/>
  <c r="ET179" i="9"/>
  <c r="EU179" i="9"/>
  <c r="EV179" i="9"/>
  <c r="EW179" i="9"/>
  <c r="EX179" i="9"/>
  <c r="EY179" i="9"/>
  <c r="EZ179" i="9"/>
  <c r="FA179" i="9"/>
  <c r="FB179" i="9"/>
  <c r="FC179" i="9"/>
  <c r="FD179" i="9"/>
  <c r="FE179" i="9"/>
  <c r="FF179" i="9"/>
  <c r="FG179" i="9"/>
  <c r="FH179" i="9"/>
  <c r="FI179" i="9"/>
  <c r="FJ179" i="9"/>
  <c r="FK179" i="9"/>
  <c r="FL179" i="9"/>
  <c r="FM179" i="9"/>
  <c r="FN179" i="9"/>
  <c r="FO179" i="9"/>
  <c r="FP179" i="9"/>
  <c r="FQ179" i="9"/>
  <c r="FR179" i="9"/>
  <c r="FS179" i="9"/>
  <c r="FT179" i="9"/>
  <c r="FU179" i="9"/>
  <c r="FV179" i="9"/>
  <c r="FW179" i="9"/>
  <c r="FX179" i="9"/>
  <c r="FY179" i="9"/>
  <c r="FZ179" i="9"/>
  <c r="GA179" i="9"/>
  <c r="GB179" i="9"/>
  <c r="GC179" i="9"/>
  <c r="GD179" i="9"/>
  <c r="GE179" i="9"/>
  <c r="GF179" i="9"/>
  <c r="GG179" i="9"/>
  <c r="GH179" i="9"/>
  <c r="GI179" i="9"/>
  <c r="GJ179" i="9"/>
  <c r="GK179" i="9"/>
  <c r="GL179" i="9"/>
  <c r="GM179" i="9"/>
  <c r="GN179" i="9"/>
  <c r="GO179" i="9"/>
  <c r="GP179" i="9"/>
  <c r="GQ179" i="9"/>
  <c r="GR179" i="9"/>
  <c r="GS179" i="9"/>
  <c r="GT179" i="9"/>
  <c r="GU179" i="9"/>
  <c r="GV179" i="9"/>
  <c r="GW179" i="9"/>
  <c r="GX179" i="9"/>
  <c r="GY179" i="9"/>
  <c r="GZ179" i="9"/>
  <c r="HA179" i="9"/>
  <c r="HB179" i="9"/>
  <c r="HC179" i="9"/>
  <c r="HD179" i="9"/>
  <c r="HE179" i="9"/>
  <c r="HF179" i="9"/>
  <c r="HG179" i="9"/>
  <c r="HH179" i="9"/>
  <c r="HI179" i="9"/>
  <c r="HJ179" i="9"/>
  <c r="HK179" i="9"/>
  <c r="HL179" i="9"/>
  <c r="HM179" i="9"/>
  <c r="HN179" i="9"/>
  <c r="HO179" i="9"/>
  <c r="HP179" i="9"/>
  <c r="HQ179" i="9"/>
  <c r="HR179" i="9"/>
  <c r="HS179" i="9"/>
  <c r="HT179" i="9"/>
  <c r="HU179" i="9"/>
  <c r="HV179" i="9"/>
  <c r="HW179" i="9"/>
  <c r="HX179" i="9"/>
  <c r="HY179" i="9"/>
  <c r="HZ179" i="9"/>
  <c r="IA179" i="9"/>
  <c r="IB179" i="9"/>
  <c r="IC179" i="9"/>
  <c r="ID179" i="9"/>
  <c r="IE179" i="9"/>
  <c r="IF179" i="9"/>
  <c r="IG179" i="9"/>
  <c r="IH179" i="9"/>
  <c r="II179" i="9"/>
  <c r="IJ179" i="9"/>
  <c r="IK179" i="9"/>
  <c r="IL179" i="9"/>
  <c r="IM179" i="9"/>
  <c r="IN179" i="9"/>
  <c r="IO179" i="9"/>
  <c r="IP179" i="9"/>
  <c r="IQ179" i="9"/>
  <c r="IR179" i="9"/>
  <c r="IS179" i="9"/>
  <c r="IT179" i="9"/>
  <c r="IU179" i="9"/>
  <c r="IV179" i="9"/>
  <c r="A178" i="9"/>
  <c r="B178" i="9"/>
  <c r="C178" i="9"/>
  <c r="D178" i="9"/>
  <c r="E178" i="9"/>
  <c r="F178" i="9"/>
  <c r="G178" i="9"/>
  <c r="H178" i="9"/>
  <c r="I178" i="9"/>
  <c r="J178" i="9"/>
  <c r="K178" i="9"/>
  <c r="L178" i="9"/>
  <c r="M178" i="9"/>
  <c r="N178" i="9"/>
  <c r="O178" i="9"/>
  <c r="P178" i="9"/>
  <c r="Q178" i="9"/>
  <c r="R178" i="9"/>
  <c r="S178" i="9"/>
  <c r="T178" i="9"/>
  <c r="U178" i="9"/>
  <c r="V178" i="9"/>
  <c r="W178" i="9"/>
  <c r="X178" i="9"/>
  <c r="Y178" i="9"/>
  <c r="Z178" i="9"/>
  <c r="AA178" i="9"/>
  <c r="AB178" i="9"/>
  <c r="AC178" i="9"/>
  <c r="AD178" i="9"/>
  <c r="AE178" i="9"/>
  <c r="AF178" i="9"/>
  <c r="AG178" i="9"/>
  <c r="AH178" i="9"/>
  <c r="AI178" i="9"/>
  <c r="AJ178" i="9"/>
  <c r="AK178" i="9"/>
  <c r="AL178" i="9"/>
  <c r="AM178" i="9"/>
  <c r="AN178" i="9"/>
  <c r="AO178" i="9"/>
  <c r="AP178" i="9"/>
  <c r="AQ178" i="9"/>
  <c r="AR178" i="9"/>
  <c r="AS178" i="9"/>
  <c r="AT178" i="9"/>
  <c r="AU178" i="9"/>
  <c r="AV178" i="9"/>
  <c r="AW178" i="9"/>
  <c r="AX178" i="9"/>
  <c r="AY178" i="9"/>
  <c r="AZ178" i="9"/>
  <c r="BA178" i="9"/>
  <c r="BB178" i="9"/>
  <c r="BC178" i="9"/>
  <c r="BD178" i="9"/>
  <c r="BE178" i="9"/>
  <c r="BF178" i="9"/>
  <c r="BG178" i="9"/>
  <c r="BH178" i="9"/>
  <c r="BI178" i="9"/>
  <c r="BJ178" i="9"/>
  <c r="BK178" i="9"/>
  <c r="BL178" i="9"/>
  <c r="BM178" i="9"/>
  <c r="BN178" i="9"/>
  <c r="BO178" i="9"/>
  <c r="BP178" i="9"/>
  <c r="BQ178" i="9"/>
  <c r="BR178" i="9"/>
  <c r="BS178" i="9"/>
  <c r="BT178" i="9"/>
  <c r="BU178" i="9"/>
  <c r="BV178" i="9"/>
  <c r="BW178" i="9"/>
  <c r="BX178" i="9"/>
  <c r="BY178" i="9"/>
  <c r="BZ178" i="9"/>
  <c r="CA178" i="9"/>
  <c r="CB178" i="9"/>
  <c r="CC178" i="9"/>
  <c r="CD178" i="9"/>
  <c r="CE178" i="9"/>
  <c r="CF178" i="9"/>
  <c r="CG178" i="9"/>
  <c r="CH178" i="9"/>
  <c r="CI178" i="9"/>
  <c r="CJ178" i="9"/>
  <c r="CK178" i="9"/>
  <c r="CL178" i="9"/>
  <c r="CM178" i="9"/>
  <c r="CN178" i="9"/>
  <c r="CO178" i="9"/>
  <c r="CP178" i="9"/>
  <c r="CQ178" i="9"/>
  <c r="CR178" i="9"/>
  <c r="CS178" i="9"/>
  <c r="CT178" i="9"/>
  <c r="CU178" i="9"/>
  <c r="CV178" i="9"/>
  <c r="CW178" i="9"/>
  <c r="CX178" i="9"/>
  <c r="CY178" i="9"/>
  <c r="CZ178" i="9"/>
  <c r="DA178" i="9"/>
  <c r="DB178" i="9"/>
  <c r="DC178" i="9"/>
  <c r="DD178" i="9"/>
  <c r="DE178" i="9"/>
  <c r="DF178" i="9"/>
  <c r="DG178" i="9"/>
  <c r="DH178" i="9"/>
  <c r="DI178" i="9"/>
  <c r="DJ178" i="9"/>
  <c r="DK178" i="9"/>
  <c r="DL178" i="9"/>
  <c r="DM178" i="9"/>
  <c r="DN178" i="9"/>
  <c r="DO178" i="9"/>
  <c r="DP178" i="9"/>
  <c r="DQ178" i="9"/>
  <c r="DR178" i="9"/>
  <c r="DS178" i="9"/>
  <c r="DT178" i="9"/>
  <c r="DU178" i="9"/>
  <c r="DV178" i="9"/>
  <c r="DW178" i="9"/>
  <c r="DX178" i="9"/>
  <c r="DY178" i="9"/>
  <c r="DZ178" i="9"/>
  <c r="EA178" i="9"/>
  <c r="EB178" i="9"/>
  <c r="EC178" i="9"/>
  <c r="ED178" i="9"/>
  <c r="EE178" i="9"/>
  <c r="EF178" i="9"/>
  <c r="EG178" i="9"/>
  <c r="EH178" i="9"/>
  <c r="EI178" i="9"/>
  <c r="EJ178" i="9"/>
  <c r="EK178" i="9"/>
  <c r="EL178" i="9"/>
  <c r="EM178" i="9"/>
  <c r="EN178" i="9"/>
  <c r="EO178" i="9"/>
  <c r="EP178" i="9"/>
  <c r="EQ178" i="9"/>
  <c r="ER178" i="9"/>
  <c r="ES178" i="9"/>
  <c r="ET178" i="9"/>
  <c r="EU178" i="9"/>
  <c r="EV178" i="9"/>
  <c r="EW178" i="9"/>
  <c r="EX178" i="9"/>
  <c r="EY178" i="9"/>
  <c r="EZ178" i="9"/>
  <c r="FA178" i="9"/>
  <c r="FB178" i="9"/>
  <c r="FC178" i="9"/>
  <c r="FD178" i="9"/>
  <c r="FE178" i="9"/>
  <c r="FF178" i="9"/>
  <c r="FG178" i="9"/>
  <c r="FH178" i="9"/>
  <c r="FI178" i="9"/>
  <c r="FJ178" i="9"/>
  <c r="FK178" i="9"/>
  <c r="FL178" i="9"/>
  <c r="FM178" i="9"/>
  <c r="FN178" i="9"/>
  <c r="FO178" i="9"/>
  <c r="FP178" i="9"/>
  <c r="FQ178" i="9"/>
  <c r="FR178" i="9"/>
  <c r="FS178" i="9"/>
  <c r="FT178" i="9"/>
  <c r="FU178" i="9"/>
  <c r="FV178" i="9"/>
  <c r="FW178" i="9"/>
  <c r="FX178" i="9"/>
  <c r="FY178" i="9"/>
  <c r="FZ178" i="9"/>
  <c r="GA178" i="9"/>
  <c r="GB178" i="9"/>
  <c r="GC178" i="9"/>
  <c r="GD178" i="9"/>
  <c r="GE178" i="9"/>
  <c r="GF178" i="9"/>
  <c r="GG178" i="9"/>
  <c r="GH178" i="9"/>
  <c r="GI178" i="9"/>
  <c r="GJ178" i="9"/>
  <c r="GK178" i="9"/>
  <c r="GL178" i="9"/>
  <c r="GM178" i="9"/>
  <c r="GN178" i="9"/>
  <c r="GO178" i="9"/>
  <c r="GP178" i="9"/>
  <c r="GQ178" i="9"/>
  <c r="GR178" i="9"/>
  <c r="GS178" i="9"/>
  <c r="GT178" i="9"/>
  <c r="GU178" i="9"/>
  <c r="GV178" i="9"/>
  <c r="GW178" i="9"/>
  <c r="GX178" i="9"/>
  <c r="GY178" i="9"/>
  <c r="GZ178" i="9"/>
  <c r="HA178" i="9"/>
  <c r="HB178" i="9"/>
  <c r="HC178" i="9"/>
  <c r="HD178" i="9"/>
  <c r="HE178" i="9"/>
  <c r="HF178" i="9"/>
  <c r="HG178" i="9"/>
  <c r="HH178" i="9"/>
  <c r="HI178" i="9"/>
  <c r="HJ178" i="9"/>
  <c r="HK178" i="9"/>
  <c r="HL178" i="9"/>
  <c r="HM178" i="9"/>
  <c r="HN178" i="9"/>
  <c r="HO178" i="9"/>
  <c r="HP178" i="9"/>
  <c r="HQ178" i="9"/>
  <c r="HR178" i="9"/>
  <c r="HS178" i="9"/>
  <c r="HT178" i="9"/>
  <c r="HU178" i="9"/>
  <c r="HV178" i="9"/>
  <c r="HW178" i="9"/>
  <c r="HX178" i="9"/>
  <c r="HY178" i="9"/>
  <c r="HZ178" i="9"/>
  <c r="IA178" i="9"/>
  <c r="IB178" i="9"/>
  <c r="IC178" i="9"/>
  <c r="ID178" i="9"/>
  <c r="IE178" i="9"/>
  <c r="IF178" i="9"/>
  <c r="IG178" i="9"/>
  <c r="IH178" i="9"/>
  <c r="II178" i="9"/>
  <c r="IJ178" i="9"/>
  <c r="IK178" i="9"/>
  <c r="IL178" i="9"/>
  <c r="IM178" i="9"/>
  <c r="IN178" i="9"/>
  <c r="IO178" i="9"/>
  <c r="IP178" i="9"/>
  <c r="IQ178" i="9"/>
  <c r="IR178" i="9"/>
  <c r="IS178" i="9"/>
  <c r="IT178" i="9"/>
  <c r="IU178" i="9"/>
  <c r="IV178" i="9"/>
  <c r="A177" i="9"/>
  <c r="B177" i="9"/>
  <c r="C177" i="9"/>
  <c r="D177" i="9"/>
  <c r="E177" i="9"/>
  <c r="F177" i="9"/>
  <c r="G177" i="9"/>
  <c r="H177" i="9"/>
  <c r="I177" i="9"/>
  <c r="J177" i="9"/>
  <c r="K177" i="9"/>
  <c r="L177" i="9"/>
  <c r="M177" i="9"/>
  <c r="N177" i="9"/>
  <c r="O177" i="9"/>
  <c r="P177" i="9"/>
  <c r="Q177" i="9"/>
  <c r="R177" i="9"/>
  <c r="S177" i="9"/>
  <c r="T177" i="9"/>
  <c r="U177" i="9"/>
  <c r="V177" i="9"/>
  <c r="W177" i="9"/>
  <c r="X177" i="9"/>
  <c r="Y177" i="9"/>
  <c r="Z177" i="9"/>
  <c r="AA177" i="9"/>
  <c r="AB177" i="9"/>
  <c r="AC177" i="9"/>
  <c r="AD177" i="9"/>
  <c r="AE177" i="9"/>
  <c r="AF177" i="9"/>
  <c r="AG177" i="9"/>
  <c r="AH177" i="9"/>
  <c r="AI177" i="9"/>
  <c r="AJ177" i="9"/>
  <c r="AK177" i="9"/>
  <c r="AL177" i="9"/>
  <c r="AM177" i="9"/>
  <c r="AN177" i="9"/>
  <c r="AO177" i="9"/>
  <c r="AP177" i="9"/>
  <c r="AQ177" i="9"/>
  <c r="AR177" i="9"/>
  <c r="AS177" i="9"/>
  <c r="AT177" i="9"/>
  <c r="AU177" i="9"/>
  <c r="AV177" i="9"/>
  <c r="AW177" i="9"/>
  <c r="AX177" i="9"/>
  <c r="AY177" i="9"/>
  <c r="AZ177" i="9"/>
  <c r="BA177" i="9"/>
  <c r="BB177" i="9"/>
  <c r="BC177" i="9"/>
  <c r="BD177" i="9"/>
  <c r="BE177" i="9"/>
  <c r="BF177" i="9"/>
  <c r="BG177" i="9"/>
  <c r="BH177" i="9"/>
  <c r="BI177" i="9"/>
  <c r="BJ177" i="9"/>
  <c r="BK177" i="9"/>
  <c r="BL177" i="9"/>
  <c r="BM177" i="9"/>
  <c r="BN177" i="9"/>
  <c r="BO177" i="9"/>
  <c r="BP177" i="9"/>
  <c r="BQ177" i="9"/>
  <c r="BR177" i="9"/>
  <c r="BS177" i="9"/>
  <c r="BT177" i="9"/>
  <c r="BU177" i="9"/>
  <c r="BV177" i="9"/>
  <c r="BW177" i="9"/>
  <c r="BX177" i="9"/>
  <c r="BY177" i="9"/>
  <c r="BZ177" i="9"/>
  <c r="CA177" i="9"/>
  <c r="CB177" i="9"/>
  <c r="CC177" i="9"/>
  <c r="CD177" i="9"/>
  <c r="CE177" i="9"/>
  <c r="CF177" i="9"/>
  <c r="CG177" i="9"/>
  <c r="CH177" i="9"/>
  <c r="CI177" i="9"/>
  <c r="CJ177" i="9"/>
  <c r="CK177" i="9"/>
  <c r="CL177" i="9"/>
  <c r="CM177" i="9"/>
  <c r="CN177" i="9"/>
  <c r="CO177" i="9"/>
  <c r="CP177" i="9"/>
  <c r="CQ177" i="9"/>
  <c r="CR177" i="9"/>
  <c r="CS177" i="9"/>
  <c r="CT177" i="9"/>
  <c r="CU177" i="9"/>
  <c r="CV177" i="9"/>
  <c r="CW177" i="9"/>
  <c r="CX177" i="9"/>
  <c r="CY177" i="9"/>
  <c r="CZ177" i="9"/>
  <c r="DA177" i="9"/>
  <c r="DB177" i="9"/>
  <c r="DC177" i="9"/>
  <c r="DD177" i="9"/>
  <c r="DE177" i="9"/>
  <c r="DF177" i="9"/>
  <c r="DG177" i="9"/>
  <c r="DH177" i="9"/>
  <c r="DI177" i="9"/>
  <c r="DJ177" i="9"/>
  <c r="DK177" i="9"/>
  <c r="DL177" i="9"/>
  <c r="DM177" i="9"/>
  <c r="DN177" i="9"/>
  <c r="DO177" i="9"/>
  <c r="DP177" i="9"/>
  <c r="DQ177" i="9"/>
  <c r="DR177" i="9"/>
  <c r="DS177" i="9"/>
  <c r="DT177" i="9"/>
  <c r="DU177" i="9"/>
  <c r="DV177" i="9"/>
  <c r="DW177" i="9"/>
  <c r="DX177" i="9"/>
  <c r="DY177" i="9"/>
  <c r="DZ177" i="9"/>
  <c r="EA177" i="9"/>
  <c r="EB177" i="9"/>
  <c r="EC177" i="9"/>
  <c r="ED177" i="9"/>
  <c r="EE177" i="9"/>
  <c r="EF177" i="9"/>
  <c r="EG177" i="9"/>
  <c r="EH177" i="9"/>
  <c r="EI177" i="9"/>
  <c r="EJ177" i="9"/>
  <c r="EK177" i="9"/>
  <c r="EL177" i="9"/>
  <c r="EM177" i="9"/>
  <c r="EN177" i="9"/>
  <c r="EO177" i="9"/>
  <c r="EP177" i="9"/>
  <c r="EQ177" i="9"/>
  <c r="ER177" i="9"/>
  <c r="ES177" i="9"/>
  <c r="ET177" i="9"/>
  <c r="EU177" i="9"/>
  <c r="EV177" i="9"/>
  <c r="EW177" i="9"/>
  <c r="EX177" i="9"/>
  <c r="EY177" i="9"/>
  <c r="EZ177" i="9"/>
  <c r="FA177" i="9"/>
  <c r="FB177" i="9"/>
  <c r="FC177" i="9"/>
  <c r="FD177" i="9"/>
  <c r="FE177" i="9"/>
  <c r="FF177" i="9"/>
  <c r="FG177" i="9"/>
  <c r="FH177" i="9"/>
  <c r="FI177" i="9"/>
  <c r="FJ177" i="9"/>
  <c r="FK177" i="9"/>
  <c r="FL177" i="9"/>
  <c r="FM177" i="9"/>
  <c r="FN177" i="9"/>
  <c r="FO177" i="9"/>
  <c r="FP177" i="9"/>
  <c r="FQ177" i="9"/>
  <c r="FR177" i="9"/>
  <c r="FS177" i="9"/>
  <c r="FT177" i="9"/>
  <c r="FU177" i="9"/>
  <c r="FV177" i="9"/>
  <c r="FW177" i="9"/>
  <c r="FX177" i="9"/>
  <c r="FY177" i="9"/>
  <c r="FZ177" i="9"/>
  <c r="GA177" i="9"/>
  <c r="GB177" i="9"/>
  <c r="GC177" i="9"/>
  <c r="GD177" i="9"/>
  <c r="GE177" i="9"/>
  <c r="GF177" i="9"/>
  <c r="GG177" i="9"/>
  <c r="GH177" i="9"/>
  <c r="GI177" i="9"/>
  <c r="GJ177" i="9"/>
  <c r="GK177" i="9"/>
  <c r="GL177" i="9"/>
  <c r="GM177" i="9"/>
  <c r="GN177" i="9"/>
  <c r="GO177" i="9"/>
  <c r="GP177" i="9"/>
  <c r="GQ177" i="9"/>
  <c r="GR177" i="9"/>
  <c r="GS177" i="9"/>
  <c r="GT177" i="9"/>
  <c r="GU177" i="9"/>
  <c r="GV177" i="9"/>
  <c r="GW177" i="9"/>
  <c r="GX177" i="9"/>
  <c r="GY177" i="9"/>
  <c r="GZ177" i="9"/>
  <c r="HA177" i="9"/>
  <c r="HB177" i="9"/>
  <c r="HC177" i="9"/>
  <c r="HD177" i="9"/>
  <c r="HE177" i="9"/>
  <c r="HF177" i="9"/>
  <c r="HG177" i="9"/>
  <c r="HH177" i="9"/>
  <c r="HI177" i="9"/>
  <c r="HJ177" i="9"/>
  <c r="HK177" i="9"/>
  <c r="HL177" i="9"/>
  <c r="HM177" i="9"/>
  <c r="HN177" i="9"/>
  <c r="HO177" i="9"/>
  <c r="HP177" i="9"/>
  <c r="HQ177" i="9"/>
  <c r="HR177" i="9"/>
  <c r="HS177" i="9"/>
  <c r="HT177" i="9"/>
  <c r="HU177" i="9"/>
  <c r="HV177" i="9"/>
  <c r="HW177" i="9"/>
  <c r="HX177" i="9"/>
  <c r="HY177" i="9"/>
  <c r="HZ177" i="9"/>
  <c r="IA177" i="9"/>
  <c r="IB177" i="9"/>
  <c r="IC177" i="9"/>
  <c r="ID177" i="9"/>
  <c r="IE177" i="9"/>
  <c r="IF177" i="9"/>
  <c r="IG177" i="9"/>
  <c r="IH177" i="9"/>
  <c r="II177" i="9"/>
  <c r="IJ177" i="9"/>
  <c r="IK177" i="9"/>
  <c r="IL177" i="9"/>
  <c r="IM177" i="9"/>
  <c r="IN177" i="9"/>
  <c r="IO177" i="9"/>
  <c r="IP177" i="9"/>
  <c r="IQ177" i="9"/>
  <c r="IR177" i="9"/>
  <c r="IS177" i="9"/>
  <c r="IT177" i="9"/>
  <c r="IU177" i="9"/>
  <c r="IV177" i="9"/>
  <c r="A176" i="9"/>
  <c r="B176" i="9"/>
  <c r="C176" i="9"/>
  <c r="D176" i="9"/>
  <c r="E176" i="9"/>
  <c r="F176" i="9"/>
  <c r="G176" i="9"/>
  <c r="H176" i="9"/>
  <c r="I176" i="9"/>
  <c r="J176" i="9"/>
  <c r="K176" i="9"/>
  <c r="L176" i="9"/>
  <c r="M176" i="9"/>
  <c r="N176" i="9"/>
  <c r="O176" i="9"/>
  <c r="P176" i="9"/>
  <c r="Q176" i="9"/>
  <c r="R176" i="9"/>
  <c r="S176" i="9"/>
  <c r="T176" i="9"/>
  <c r="U176" i="9"/>
  <c r="V176" i="9"/>
  <c r="W176" i="9"/>
  <c r="X176" i="9"/>
  <c r="Y176" i="9"/>
  <c r="Z176" i="9"/>
  <c r="AA176" i="9"/>
  <c r="AB176" i="9"/>
  <c r="AC176" i="9"/>
  <c r="AD176" i="9"/>
  <c r="AE176" i="9"/>
  <c r="AF176" i="9"/>
  <c r="AG176" i="9"/>
  <c r="AH176" i="9"/>
  <c r="AI176" i="9"/>
  <c r="AJ176" i="9"/>
  <c r="AK176" i="9"/>
  <c r="AL176" i="9"/>
  <c r="AM176" i="9"/>
  <c r="AN176" i="9"/>
  <c r="AO176" i="9"/>
  <c r="AP176" i="9"/>
  <c r="AQ176" i="9"/>
  <c r="AR176" i="9"/>
  <c r="AS176" i="9"/>
  <c r="AT176" i="9"/>
  <c r="AU176" i="9"/>
  <c r="AV176" i="9"/>
  <c r="AW176" i="9"/>
  <c r="AX176" i="9"/>
  <c r="AY176" i="9"/>
  <c r="AZ176" i="9"/>
  <c r="BA176" i="9"/>
  <c r="BB176" i="9"/>
  <c r="BC176" i="9"/>
  <c r="BD176" i="9"/>
  <c r="BE176" i="9"/>
  <c r="BF176" i="9"/>
  <c r="BG176" i="9"/>
  <c r="BH176" i="9"/>
  <c r="BI176" i="9"/>
  <c r="BJ176" i="9"/>
  <c r="BK176" i="9"/>
  <c r="BL176" i="9"/>
  <c r="BM176" i="9"/>
  <c r="BN176" i="9"/>
  <c r="BO176" i="9"/>
  <c r="BP176" i="9"/>
  <c r="BQ176" i="9"/>
  <c r="BR176" i="9"/>
  <c r="BS176" i="9"/>
  <c r="BT176" i="9"/>
  <c r="BU176" i="9"/>
  <c r="BV176" i="9"/>
  <c r="BW176" i="9"/>
  <c r="BX176" i="9"/>
  <c r="BY176" i="9"/>
  <c r="BZ176" i="9"/>
  <c r="CA176" i="9"/>
  <c r="CB176" i="9"/>
  <c r="CC176" i="9"/>
  <c r="CD176" i="9"/>
  <c r="CE176" i="9"/>
  <c r="CF176" i="9"/>
  <c r="CG176" i="9"/>
  <c r="CH176" i="9"/>
  <c r="CI176" i="9"/>
  <c r="CJ176" i="9"/>
  <c r="CK176" i="9"/>
  <c r="CL176" i="9"/>
  <c r="CM176" i="9"/>
  <c r="CN176" i="9"/>
  <c r="CO176" i="9"/>
  <c r="CP176" i="9"/>
  <c r="CQ176" i="9"/>
  <c r="CR176" i="9"/>
  <c r="CS176" i="9"/>
  <c r="CT176" i="9"/>
  <c r="CU176" i="9"/>
  <c r="CV176" i="9"/>
  <c r="CW176" i="9"/>
  <c r="CX176" i="9"/>
  <c r="CY176" i="9"/>
  <c r="CZ176" i="9"/>
  <c r="DA176" i="9"/>
  <c r="DB176" i="9"/>
  <c r="DC176" i="9"/>
  <c r="DD176" i="9"/>
  <c r="DE176" i="9"/>
  <c r="DF176" i="9"/>
  <c r="DG176" i="9"/>
  <c r="DH176" i="9"/>
  <c r="DI176" i="9"/>
  <c r="DJ176" i="9"/>
  <c r="DK176" i="9"/>
  <c r="DL176" i="9"/>
  <c r="DM176" i="9"/>
  <c r="DN176" i="9"/>
  <c r="DO176" i="9"/>
  <c r="DP176" i="9"/>
  <c r="DQ176" i="9"/>
  <c r="DR176" i="9"/>
  <c r="DS176" i="9"/>
  <c r="DT176" i="9"/>
  <c r="DU176" i="9"/>
  <c r="DV176" i="9"/>
  <c r="DW176" i="9"/>
  <c r="DX176" i="9"/>
  <c r="DY176" i="9"/>
  <c r="DZ176" i="9"/>
  <c r="EA176" i="9"/>
  <c r="EB176" i="9"/>
  <c r="EC176" i="9"/>
  <c r="ED176" i="9"/>
  <c r="EE176" i="9"/>
  <c r="EF176" i="9"/>
  <c r="EG176" i="9"/>
  <c r="EH176" i="9"/>
  <c r="EI176" i="9"/>
  <c r="EJ176" i="9"/>
  <c r="EK176" i="9"/>
  <c r="EL176" i="9"/>
  <c r="EM176" i="9"/>
  <c r="EN176" i="9"/>
  <c r="EO176" i="9"/>
  <c r="EP176" i="9"/>
  <c r="EQ176" i="9"/>
  <c r="ER176" i="9"/>
  <c r="ES176" i="9"/>
  <c r="ET176" i="9"/>
  <c r="EU176" i="9"/>
  <c r="EV176" i="9"/>
  <c r="EW176" i="9"/>
  <c r="EX176" i="9"/>
  <c r="EY176" i="9"/>
  <c r="EZ176" i="9"/>
  <c r="FA176" i="9"/>
  <c r="FB176" i="9"/>
  <c r="FC176" i="9"/>
  <c r="FD176" i="9"/>
  <c r="FE176" i="9"/>
  <c r="FF176" i="9"/>
  <c r="FG176" i="9"/>
  <c r="FH176" i="9"/>
  <c r="FI176" i="9"/>
  <c r="FJ176" i="9"/>
  <c r="FK176" i="9"/>
  <c r="FL176" i="9"/>
  <c r="FM176" i="9"/>
  <c r="FN176" i="9"/>
  <c r="FO176" i="9"/>
  <c r="FP176" i="9"/>
  <c r="FQ176" i="9"/>
  <c r="FR176" i="9"/>
  <c r="FS176" i="9"/>
  <c r="FT176" i="9"/>
  <c r="FU176" i="9"/>
  <c r="FV176" i="9"/>
  <c r="FW176" i="9"/>
  <c r="FX176" i="9"/>
  <c r="FY176" i="9"/>
  <c r="FZ176" i="9"/>
  <c r="GA176" i="9"/>
  <c r="GB176" i="9"/>
  <c r="GC176" i="9"/>
  <c r="GD176" i="9"/>
  <c r="GE176" i="9"/>
  <c r="GF176" i="9"/>
  <c r="GG176" i="9"/>
  <c r="GH176" i="9"/>
  <c r="GI176" i="9"/>
  <c r="GJ176" i="9"/>
  <c r="GK176" i="9"/>
  <c r="GL176" i="9"/>
  <c r="GM176" i="9"/>
  <c r="GN176" i="9"/>
  <c r="GO176" i="9"/>
  <c r="GP176" i="9"/>
  <c r="GQ176" i="9"/>
  <c r="GR176" i="9"/>
  <c r="GS176" i="9"/>
  <c r="GT176" i="9"/>
  <c r="GU176" i="9"/>
  <c r="GV176" i="9"/>
  <c r="GW176" i="9"/>
  <c r="GX176" i="9"/>
  <c r="GY176" i="9"/>
  <c r="GZ176" i="9"/>
  <c r="HA176" i="9"/>
  <c r="HB176" i="9"/>
  <c r="HC176" i="9"/>
  <c r="HD176" i="9"/>
  <c r="HE176" i="9"/>
  <c r="HF176" i="9"/>
  <c r="HG176" i="9"/>
  <c r="HH176" i="9"/>
  <c r="HI176" i="9"/>
  <c r="HJ176" i="9"/>
  <c r="HK176" i="9"/>
  <c r="HL176" i="9"/>
  <c r="HM176" i="9"/>
  <c r="HN176" i="9"/>
  <c r="HO176" i="9"/>
  <c r="HP176" i="9"/>
  <c r="HQ176" i="9"/>
  <c r="HR176" i="9"/>
  <c r="HS176" i="9"/>
  <c r="HT176" i="9"/>
  <c r="HU176" i="9"/>
  <c r="HV176" i="9"/>
  <c r="HW176" i="9"/>
  <c r="HX176" i="9"/>
  <c r="HY176" i="9"/>
  <c r="HZ176" i="9"/>
  <c r="IA176" i="9"/>
  <c r="IB176" i="9"/>
  <c r="IC176" i="9"/>
  <c r="ID176" i="9"/>
  <c r="IE176" i="9"/>
  <c r="IF176" i="9"/>
  <c r="IG176" i="9"/>
  <c r="IH176" i="9"/>
  <c r="II176" i="9"/>
  <c r="IJ176" i="9"/>
  <c r="IK176" i="9"/>
  <c r="IL176" i="9"/>
  <c r="IM176" i="9"/>
  <c r="IN176" i="9"/>
  <c r="IO176" i="9"/>
  <c r="IP176" i="9"/>
  <c r="IQ176" i="9"/>
  <c r="IR176" i="9"/>
  <c r="IS176" i="9"/>
  <c r="IT176" i="9"/>
  <c r="IU176" i="9"/>
  <c r="IV176" i="9"/>
  <c r="A175" i="9"/>
  <c r="B175" i="9"/>
  <c r="C175" i="9"/>
  <c r="D175" i="9"/>
  <c r="E175" i="9"/>
  <c r="F175" i="9"/>
  <c r="G175" i="9"/>
  <c r="H175" i="9"/>
  <c r="I175" i="9"/>
  <c r="J175" i="9"/>
  <c r="K175" i="9"/>
  <c r="L175" i="9"/>
  <c r="M175" i="9"/>
  <c r="N175" i="9"/>
  <c r="O175" i="9"/>
  <c r="P175" i="9"/>
  <c r="Q175" i="9"/>
  <c r="R175" i="9"/>
  <c r="S175" i="9"/>
  <c r="T175" i="9"/>
  <c r="U175" i="9"/>
  <c r="V175" i="9"/>
  <c r="W175" i="9"/>
  <c r="X175" i="9"/>
  <c r="Y175" i="9"/>
  <c r="Z175" i="9"/>
  <c r="AA175" i="9"/>
  <c r="AB175" i="9"/>
  <c r="AC175" i="9"/>
  <c r="AD175" i="9"/>
  <c r="AE175" i="9"/>
  <c r="AF175" i="9"/>
  <c r="AG175" i="9"/>
  <c r="AH175" i="9"/>
  <c r="AI175" i="9"/>
  <c r="AJ175" i="9"/>
  <c r="AK175" i="9"/>
  <c r="AL175" i="9"/>
  <c r="AM175" i="9"/>
  <c r="AN175" i="9"/>
  <c r="AO175" i="9"/>
  <c r="AP175" i="9"/>
  <c r="AQ175" i="9"/>
  <c r="AR175" i="9"/>
  <c r="AS175" i="9"/>
  <c r="AT175" i="9"/>
  <c r="AU175" i="9"/>
  <c r="AV175" i="9"/>
  <c r="AW175" i="9"/>
  <c r="AX175" i="9"/>
  <c r="AY175" i="9"/>
  <c r="AZ175" i="9"/>
  <c r="BA175" i="9"/>
  <c r="BB175" i="9"/>
  <c r="BC175" i="9"/>
  <c r="BD175" i="9"/>
  <c r="BE175" i="9"/>
  <c r="BF175" i="9"/>
  <c r="BG175" i="9"/>
  <c r="BH175" i="9"/>
  <c r="BI175" i="9"/>
  <c r="BJ175" i="9"/>
  <c r="BK175" i="9"/>
  <c r="BL175" i="9"/>
  <c r="BM175" i="9"/>
  <c r="BN175" i="9"/>
  <c r="BO175" i="9"/>
  <c r="BP175" i="9"/>
  <c r="BQ175" i="9"/>
  <c r="BR175" i="9"/>
  <c r="BS175" i="9"/>
  <c r="BT175" i="9"/>
  <c r="BU175" i="9"/>
  <c r="BV175" i="9"/>
  <c r="BW175" i="9"/>
  <c r="BX175" i="9"/>
  <c r="BY175" i="9"/>
  <c r="BZ175" i="9"/>
  <c r="CA175" i="9"/>
  <c r="CB175" i="9"/>
  <c r="CC175" i="9"/>
  <c r="CD175" i="9"/>
  <c r="CE175" i="9"/>
  <c r="CF175" i="9"/>
  <c r="CG175" i="9"/>
  <c r="CH175" i="9"/>
  <c r="CI175" i="9"/>
  <c r="CJ175" i="9"/>
  <c r="CK175" i="9"/>
  <c r="CL175" i="9"/>
  <c r="CM175" i="9"/>
  <c r="CN175" i="9"/>
  <c r="CO175" i="9"/>
  <c r="CP175" i="9"/>
  <c r="CQ175" i="9"/>
  <c r="CR175" i="9"/>
  <c r="CS175" i="9"/>
  <c r="CT175" i="9"/>
  <c r="CU175" i="9"/>
  <c r="CV175" i="9"/>
  <c r="CW175" i="9"/>
  <c r="CX175" i="9"/>
  <c r="CY175" i="9"/>
  <c r="CZ175" i="9"/>
  <c r="DA175" i="9"/>
  <c r="DB175" i="9"/>
  <c r="DC175" i="9"/>
  <c r="DD175" i="9"/>
  <c r="DE175" i="9"/>
  <c r="DF175" i="9"/>
  <c r="DG175" i="9"/>
  <c r="DH175" i="9"/>
  <c r="DI175" i="9"/>
  <c r="DJ175" i="9"/>
  <c r="DK175" i="9"/>
  <c r="DL175" i="9"/>
  <c r="DM175" i="9"/>
  <c r="DN175" i="9"/>
  <c r="DO175" i="9"/>
  <c r="DP175" i="9"/>
  <c r="DQ175" i="9"/>
  <c r="DR175" i="9"/>
  <c r="DS175" i="9"/>
  <c r="DT175" i="9"/>
  <c r="DU175" i="9"/>
  <c r="DV175" i="9"/>
  <c r="DW175" i="9"/>
  <c r="DX175" i="9"/>
  <c r="DY175" i="9"/>
  <c r="DZ175" i="9"/>
  <c r="EA175" i="9"/>
  <c r="EB175" i="9"/>
  <c r="EC175" i="9"/>
  <c r="ED175" i="9"/>
  <c r="EE175" i="9"/>
  <c r="EF175" i="9"/>
  <c r="EG175" i="9"/>
  <c r="EH175" i="9"/>
  <c r="EI175" i="9"/>
  <c r="EJ175" i="9"/>
  <c r="EK175" i="9"/>
  <c r="EL175" i="9"/>
  <c r="EM175" i="9"/>
  <c r="EN175" i="9"/>
  <c r="EO175" i="9"/>
  <c r="EP175" i="9"/>
  <c r="EQ175" i="9"/>
  <c r="ER175" i="9"/>
  <c r="ES175" i="9"/>
  <c r="ET175" i="9"/>
  <c r="EU175" i="9"/>
  <c r="EV175" i="9"/>
  <c r="EW175" i="9"/>
  <c r="EX175" i="9"/>
  <c r="EY175" i="9"/>
  <c r="EZ175" i="9"/>
  <c r="FA175" i="9"/>
  <c r="FB175" i="9"/>
  <c r="FC175" i="9"/>
  <c r="FD175" i="9"/>
  <c r="FE175" i="9"/>
  <c r="FF175" i="9"/>
  <c r="FG175" i="9"/>
  <c r="FH175" i="9"/>
  <c r="FI175" i="9"/>
  <c r="FJ175" i="9"/>
  <c r="FK175" i="9"/>
  <c r="FL175" i="9"/>
  <c r="FM175" i="9"/>
  <c r="FN175" i="9"/>
  <c r="FO175" i="9"/>
  <c r="FP175" i="9"/>
  <c r="FQ175" i="9"/>
  <c r="FR175" i="9"/>
  <c r="FS175" i="9"/>
  <c r="FT175" i="9"/>
  <c r="FU175" i="9"/>
  <c r="FV175" i="9"/>
  <c r="FW175" i="9"/>
  <c r="FX175" i="9"/>
  <c r="FY175" i="9"/>
  <c r="FZ175" i="9"/>
  <c r="GA175" i="9"/>
  <c r="GB175" i="9"/>
  <c r="GC175" i="9"/>
  <c r="GD175" i="9"/>
  <c r="GE175" i="9"/>
  <c r="GF175" i="9"/>
  <c r="GG175" i="9"/>
  <c r="GH175" i="9"/>
  <c r="GI175" i="9"/>
  <c r="GJ175" i="9"/>
  <c r="GK175" i="9"/>
  <c r="GL175" i="9"/>
  <c r="GM175" i="9"/>
  <c r="GN175" i="9"/>
  <c r="GO175" i="9"/>
  <c r="GP175" i="9"/>
  <c r="GQ175" i="9"/>
  <c r="GR175" i="9"/>
  <c r="GS175" i="9"/>
  <c r="GT175" i="9"/>
  <c r="GU175" i="9"/>
  <c r="GV175" i="9"/>
  <c r="GW175" i="9"/>
  <c r="GX175" i="9"/>
  <c r="GY175" i="9"/>
  <c r="GZ175" i="9"/>
  <c r="HA175" i="9"/>
  <c r="HB175" i="9"/>
  <c r="HC175" i="9"/>
  <c r="HD175" i="9"/>
  <c r="HE175" i="9"/>
  <c r="HF175" i="9"/>
  <c r="HG175" i="9"/>
  <c r="HH175" i="9"/>
  <c r="HI175" i="9"/>
  <c r="HJ175" i="9"/>
  <c r="HK175" i="9"/>
  <c r="HL175" i="9"/>
  <c r="HM175" i="9"/>
  <c r="HN175" i="9"/>
  <c r="HO175" i="9"/>
  <c r="HP175" i="9"/>
  <c r="HQ175" i="9"/>
  <c r="HR175" i="9"/>
  <c r="HS175" i="9"/>
  <c r="HT175" i="9"/>
  <c r="HU175" i="9"/>
  <c r="HV175" i="9"/>
  <c r="HW175" i="9"/>
  <c r="HX175" i="9"/>
  <c r="HY175" i="9"/>
  <c r="HZ175" i="9"/>
  <c r="IA175" i="9"/>
  <c r="IB175" i="9"/>
  <c r="IC175" i="9"/>
  <c r="ID175" i="9"/>
  <c r="IE175" i="9"/>
  <c r="IF175" i="9"/>
  <c r="IG175" i="9"/>
  <c r="IH175" i="9"/>
  <c r="II175" i="9"/>
  <c r="IJ175" i="9"/>
  <c r="IK175" i="9"/>
  <c r="IL175" i="9"/>
  <c r="IM175" i="9"/>
  <c r="IN175" i="9"/>
  <c r="IO175" i="9"/>
  <c r="IP175" i="9"/>
  <c r="IQ175" i="9"/>
  <c r="IR175" i="9"/>
  <c r="IS175" i="9"/>
  <c r="IT175" i="9"/>
  <c r="IU175" i="9"/>
  <c r="IV175" i="9"/>
  <c r="A174" i="9"/>
  <c r="B174" i="9"/>
  <c r="C174" i="9"/>
  <c r="D174" i="9"/>
  <c r="E174" i="9"/>
  <c r="F174" i="9"/>
  <c r="G174" i="9"/>
  <c r="H174" i="9"/>
  <c r="I174" i="9"/>
  <c r="J174" i="9"/>
  <c r="K174" i="9"/>
  <c r="L174" i="9"/>
  <c r="M174" i="9"/>
  <c r="N174" i="9"/>
  <c r="O174" i="9"/>
  <c r="P174" i="9"/>
  <c r="Q174" i="9"/>
  <c r="R174" i="9"/>
  <c r="S174" i="9"/>
  <c r="T174" i="9"/>
  <c r="U174" i="9"/>
  <c r="V174" i="9"/>
  <c r="W174" i="9"/>
  <c r="X174" i="9"/>
  <c r="Y174" i="9"/>
  <c r="Z174" i="9"/>
  <c r="AA174" i="9"/>
  <c r="AB174" i="9"/>
  <c r="AC174" i="9"/>
  <c r="AD174" i="9"/>
  <c r="AE174" i="9"/>
  <c r="AF174" i="9"/>
  <c r="AG174" i="9"/>
  <c r="AH174" i="9"/>
  <c r="AI174" i="9"/>
  <c r="AJ174" i="9"/>
  <c r="AK174" i="9"/>
  <c r="AL174" i="9"/>
  <c r="AM174" i="9"/>
  <c r="AN174" i="9"/>
  <c r="AO174" i="9"/>
  <c r="AP174" i="9"/>
  <c r="AQ174" i="9"/>
  <c r="AR174" i="9"/>
  <c r="AS174" i="9"/>
  <c r="AT174" i="9"/>
  <c r="AU174" i="9"/>
  <c r="AV174" i="9"/>
  <c r="AW174" i="9"/>
  <c r="AX174" i="9"/>
  <c r="AY174" i="9"/>
  <c r="AZ174" i="9"/>
  <c r="BA174" i="9"/>
  <c r="BB174" i="9"/>
  <c r="BC174" i="9"/>
  <c r="BD174" i="9"/>
  <c r="BE174" i="9"/>
  <c r="BF174" i="9"/>
  <c r="BG174" i="9"/>
  <c r="BH174" i="9"/>
  <c r="BI174" i="9"/>
  <c r="BJ174" i="9"/>
  <c r="BK174" i="9"/>
  <c r="BL174" i="9"/>
  <c r="BM174" i="9"/>
  <c r="BN174" i="9"/>
  <c r="BO174" i="9"/>
  <c r="BP174" i="9"/>
  <c r="BQ174" i="9"/>
  <c r="BR174" i="9"/>
  <c r="BS174" i="9"/>
  <c r="BT174" i="9"/>
  <c r="BU174" i="9"/>
  <c r="BV174" i="9"/>
  <c r="BW174" i="9"/>
  <c r="BX174" i="9"/>
  <c r="BY174" i="9"/>
  <c r="BZ174" i="9"/>
  <c r="CA174" i="9"/>
  <c r="CB174" i="9"/>
  <c r="CC174" i="9"/>
  <c r="CD174" i="9"/>
  <c r="CE174" i="9"/>
  <c r="CF174" i="9"/>
  <c r="CG174" i="9"/>
  <c r="CH174" i="9"/>
  <c r="CI174" i="9"/>
  <c r="CJ174" i="9"/>
  <c r="CK174" i="9"/>
  <c r="CL174" i="9"/>
  <c r="CM174" i="9"/>
  <c r="CN174" i="9"/>
  <c r="CO174" i="9"/>
  <c r="CP174" i="9"/>
  <c r="CQ174" i="9"/>
  <c r="CR174" i="9"/>
  <c r="CS174" i="9"/>
  <c r="CT174" i="9"/>
  <c r="CU174" i="9"/>
  <c r="CV174" i="9"/>
  <c r="CW174" i="9"/>
  <c r="CX174" i="9"/>
  <c r="CY174" i="9"/>
  <c r="CZ174" i="9"/>
  <c r="DA174" i="9"/>
  <c r="DB174" i="9"/>
  <c r="DC174" i="9"/>
  <c r="DD174" i="9"/>
  <c r="DE174" i="9"/>
  <c r="DF174" i="9"/>
  <c r="DG174" i="9"/>
  <c r="DH174" i="9"/>
  <c r="DI174" i="9"/>
  <c r="DJ174" i="9"/>
  <c r="DK174" i="9"/>
  <c r="DL174" i="9"/>
  <c r="DM174" i="9"/>
  <c r="DN174" i="9"/>
  <c r="DO174" i="9"/>
  <c r="DP174" i="9"/>
  <c r="DQ174" i="9"/>
  <c r="DR174" i="9"/>
  <c r="DS174" i="9"/>
  <c r="DT174" i="9"/>
  <c r="DU174" i="9"/>
  <c r="DV174" i="9"/>
  <c r="DW174" i="9"/>
  <c r="DX174" i="9"/>
  <c r="DY174" i="9"/>
  <c r="DZ174" i="9"/>
  <c r="EA174" i="9"/>
  <c r="EB174" i="9"/>
  <c r="EC174" i="9"/>
  <c r="ED174" i="9"/>
  <c r="EE174" i="9"/>
  <c r="EF174" i="9"/>
  <c r="EG174" i="9"/>
  <c r="EH174" i="9"/>
  <c r="EI174" i="9"/>
  <c r="EJ174" i="9"/>
  <c r="EK174" i="9"/>
  <c r="EL174" i="9"/>
  <c r="EM174" i="9"/>
  <c r="EN174" i="9"/>
  <c r="EO174" i="9"/>
  <c r="EP174" i="9"/>
  <c r="EQ174" i="9"/>
  <c r="ER174" i="9"/>
  <c r="ES174" i="9"/>
  <c r="ET174" i="9"/>
  <c r="EU174" i="9"/>
  <c r="EV174" i="9"/>
  <c r="EW174" i="9"/>
  <c r="EX174" i="9"/>
  <c r="EY174" i="9"/>
  <c r="EZ174" i="9"/>
  <c r="FA174" i="9"/>
  <c r="FB174" i="9"/>
  <c r="FC174" i="9"/>
  <c r="FD174" i="9"/>
  <c r="FE174" i="9"/>
  <c r="FF174" i="9"/>
  <c r="FG174" i="9"/>
  <c r="FH174" i="9"/>
  <c r="FI174" i="9"/>
  <c r="FJ174" i="9"/>
  <c r="FK174" i="9"/>
  <c r="FL174" i="9"/>
  <c r="FM174" i="9"/>
  <c r="FN174" i="9"/>
  <c r="FO174" i="9"/>
  <c r="FP174" i="9"/>
  <c r="FQ174" i="9"/>
  <c r="FR174" i="9"/>
  <c r="FS174" i="9"/>
  <c r="FT174" i="9"/>
  <c r="FU174" i="9"/>
  <c r="FV174" i="9"/>
  <c r="FW174" i="9"/>
  <c r="FX174" i="9"/>
  <c r="FY174" i="9"/>
  <c r="FZ174" i="9"/>
  <c r="GA174" i="9"/>
  <c r="GB174" i="9"/>
  <c r="GC174" i="9"/>
  <c r="GD174" i="9"/>
  <c r="GE174" i="9"/>
  <c r="GF174" i="9"/>
  <c r="GG174" i="9"/>
  <c r="GH174" i="9"/>
  <c r="GI174" i="9"/>
  <c r="GJ174" i="9"/>
  <c r="GK174" i="9"/>
  <c r="GL174" i="9"/>
  <c r="GM174" i="9"/>
  <c r="GN174" i="9"/>
  <c r="GO174" i="9"/>
  <c r="GP174" i="9"/>
  <c r="GQ174" i="9"/>
  <c r="GR174" i="9"/>
  <c r="GS174" i="9"/>
  <c r="GT174" i="9"/>
  <c r="GU174" i="9"/>
  <c r="GV174" i="9"/>
  <c r="GW174" i="9"/>
  <c r="GX174" i="9"/>
  <c r="GY174" i="9"/>
  <c r="GZ174" i="9"/>
  <c r="HA174" i="9"/>
  <c r="HB174" i="9"/>
  <c r="HC174" i="9"/>
  <c r="HD174" i="9"/>
  <c r="HE174" i="9"/>
  <c r="HF174" i="9"/>
  <c r="HG174" i="9"/>
  <c r="HH174" i="9"/>
  <c r="HI174" i="9"/>
  <c r="HJ174" i="9"/>
  <c r="HK174" i="9"/>
  <c r="HL174" i="9"/>
  <c r="HM174" i="9"/>
  <c r="HN174" i="9"/>
  <c r="HO174" i="9"/>
  <c r="HP174" i="9"/>
  <c r="HQ174" i="9"/>
  <c r="HR174" i="9"/>
  <c r="HS174" i="9"/>
  <c r="HT174" i="9"/>
  <c r="HU174" i="9"/>
  <c r="HV174" i="9"/>
  <c r="HW174" i="9"/>
  <c r="HX174" i="9"/>
  <c r="HY174" i="9"/>
  <c r="HZ174" i="9"/>
  <c r="IA174" i="9"/>
  <c r="IB174" i="9"/>
  <c r="IC174" i="9"/>
  <c r="ID174" i="9"/>
  <c r="IE174" i="9"/>
  <c r="IF174" i="9"/>
  <c r="IG174" i="9"/>
  <c r="IH174" i="9"/>
  <c r="II174" i="9"/>
  <c r="IJ174" i="9"/>
  <c r="IK174" i="9"/>
  <c r="IL174" i="9"/>
  <c r="IM174" i="9"/>
  <c r="IN174" i="9"/>
  <c r="IO174" i="9"/>
  <c r="IP174" i="9"/>
  <c r="IQ174" i="9"/>
  <c r="IR174" i="9"/>
  <c r="IS174" i="9"/>
  <c r="IT174" i="9"/>
  <c r="IU174" i="9"/>
  <c r="IV174" i="9"/>
  <c r="A173" i="9"/>
  <c r="B173" i="9"/>
  <c r="C173" i="9"/>
  <c r="D173" i="9"/>
  <c r="E173" i="9"/>
  <c r="F173" i="9"/>
  <c r="G173" i="9"/>
  <c r="H173" i="9"/>
  <c r="I173" i="9"/>
  <c r="J173" i="9"/>
  <c r="K173" i="9"/>
  <c r="L173" i="9"/>
  <c r="M173" i="9"/>
  <c r="N173" i="9"/>
  <c r="O173" i="9"/>
  <c r="P173" i="9"/>
  <c r="Q173" i="9"/>
  <c r="R173" i="9"/>
  <c r="S173" i="9"/>
  <c r="T173" i="9"/>
  <c r="U173" i="9"/>
  <c r="V173" i="9"/>
  <c r="W173" i="9"/>
  <c r="X173" i="9"/>
  <c r="Y173" i="9"/>
  <c r="Z173" i="9"/>
  <c r="AA173" i="9"/>
  <c r="AB173" i="9"/>
  <c r="AC173" i="9"/>
  <c r="AD173" i="9"/>
  <c r="AE173" i="9"/>
  <c r="AF173" i="9"/>
  <c r="AG173" i="9"/>
  <c r="AH173" i="9"/>
  <c r="AI173" i="9"/>
  <c r="AJ173" i="9"/>
  <c r="AK173" i="9"/>
  <c r="AL173" i="9"/>
  <c r="AM173" i="9"/>
  <c r="AN173" i="9"/>
  <c r="AO173" i="9"/>
  <c r="AP173" i="9"/>
  <c r="AQ173" i="9"/>
  <c r="AR173" i="9"/>
  <c r="AS173" i="9"/>
  <c r="AT173" i="9"/>
  <c r="AU173" i="9"/>
  <c r="AV173" i="9"/>
  <c r="AW173" i="9"/>
  <c r="AX173" i="9"/>
  <c r="AY173" i="9"/>
  <c r="AZ173" i="9"/>
  <c r="BA173" i="9"/>
  <c r="BB173" i="9"/>
  <c r="BC173" i="9"/>
  <c r="BD173" i="9"/>
  <c r="BE173" i="9"/>
  <c r="BF173" i="9"/>
  <c r="BG173" i="9"/>
  <c r="BH173" i="9"/>
  <c r="BI173" i="9"/>
  <c r="BJ173" i="9"/>
  <c r="BK173" i="9"/>
  <c r="BL173" i="9"/>
  <c r="BM173" i="9"/>
  <c r="BN173" i="9"/>
  <c r="BO173" i="9"/>
  <c r="BP173" i="9"/>
  <c r="BQ173" i="9"/>
  <c r="BR173" i="9"/>
  <c r="BS173" i="9"/>
  <c r="BT173" i="9"/>
  <c r="BU173" i="9"/>
  <c r="BV173" i="9"/>
  <c r="BW173" i="9"/>
  <c r="BX173" i="9"/>
  <c r="BY173" i="9"/>
  <c r="BZ173" i="9"/>
  <c r="CA173" i="9"/>
  <c r="CB173" i="9"/>
  <c r="CC173" i="9"/>
  <c r="CD173" i="9"/>
  <c r="CE173" i="9"/>
  <c r="CF173" i="9"/>
  <c r="CG173" i="9"/>
  <c r="CH173" i="9"/>
  <c r="CI173" i="9"/>
  <c r="CJ173" i="9"/>
  <c r="CK173" i="9"/>
  <c r="CL173" i="9"/>
  <c r="CM173" i="9"/>
  <c r="CN173" i="9"/>
  <c r="CO173" i="9"/>
  <c r="CP173" i="9"/>
  <c r="CQ173" i="9"/>
  <c r="CR173" i="9"/>
  <c r="CS173" i="9"/>
  <c r="CT173" i="9"/>
  <c r="CU173" i="9"/>
  <c r="CV173" i="9"/>
  <c r="CW173" i="9"/>
  <c r="CX173" i="9"/>
  <c r="CY173" i="9"/>
  <c r="CZ173" i="9"/>
  <c r="DA173" i="9"/>
  <c r="DB173" i="9"/>
  <c r="DC173" i="9"/>
  <c r="DD173" i="9"/>
  <c r="DE173" i="9"/>
  <c r="DF173" i="9"/>
  <c r="DG173" i="9"/>
  <c r="DH173" i="9"/>
  <c r="DI173" i="9"/>
  <c r="DJ173" i="9"/>
  <c r="DK173" i="9"/>
  <c r="DL173" i="9"/>
  <c r="DM173" i="9"/>
  <c r="DN173" i="9"/>
  <c r="DO173" i="9"/>
  <c r="DP173" i="9"/>
  <c r="DQ173" i="9"/>
  <c r="DR173" i="9"/>
  <c r="DS173" i="9"/>
  <c r="DT173" i="9"/>
  <c r="DU173" i="9"/>
  <c r="DV173" i="9"/>
  <c r="DW173" i="9"/>
  <c r="DX173" i="9"/>
  <c r="DY173" i="9"/>
  <c r="DZ173" i="9"/>
  <c r="EA173" i="9"/>
  <c r="EB173" i="9"/>
  <c r="EC173" i="9"/>
  <c r="ED173" i="9"/>
  <c r="EE173" i="9"/>
  <c r="EF173" i="9"/>
  <c r="EG173" i="9"/>
  <c r="EH173" i="9"/>
  <c r="EI173" i="9"/>
  <c r="EJ173" i="9"/>
  <c r="EK173" i="9"/>
  <c r="EL173" i="9"/>
  <c r="EM173" i="9"/>
  <c r="EN173" i="9"/>
  <c r="EO173" i="9"/>
  <c r="EP173" i="9"/>
  <c r="EQ173" i="9"/>
  <c r="ER173" i="9"/>
  <c r="ES173" i="9"/>
  <c r="ET173" i="9"/>
  <c r="EU173" i="9"/>
  <c r="EV173" i="9"/>
  <c r="EW173" i="9"/>
  <c r="EX173" i="9"/>
  <c r="EY173" i="9"/>
  <c r="EZ173" i="9"/>
  <c r="FA173" i="9"/>
  <c r="FB173" i="9"/>
  <c r="FC173" i="9"/>
  <c r="FD173" i="9"/>
  <c r="FE173" i="9"/>
  <c r="FF173" i="9"/>
  <c r="FG173" i="9"/>
  <c r="FH173" i="9"/>
  <c r="FI173" i="9"/>
  <c r="FJ173" i="9"/>
  <c r="FK173" i="9"/>
  <c r="FL173" i="9"/>
  <c r="FM173" i="9"/>
  <c r="FN173" i="9"/>
  <c r="FO173" i="9"/>
  <c r="FP173" i="9"/>
  <c r="FQ173" i="9"/>
  <c r="FR173" i="9"/>
  <c r="FS173" i="9"/>
  <c r="FT173" i="9"/>
  <c r="FU173" i="9"/>
  <c r="FV173" i="9"/>
  <c r="FW173" i="9"/>
  <c r="FX173" i="9"/>
  <c r="FY173" i="9"/>
  <c r="FZ173" i="9"/>
  <c r="GA173" i="9"/>
  <c r="GB173" i="9"/>
  <c r="GC173" i="9"/>
  <c r="GD173" i="9"/>
  <c r="GE173" i="9"/>
  <c r="GF173" i="9"/>
  <c r="GG173" i="9"/>
  <c r="GH173" i="9"/>
  <c r="GI173" i="9"/>
  <c r="GJ173" i="9"/>
  <c r="GK173" i="9"/>
  <c r="GL173" i="9"/>
  <c r="GM173" i="9"/>
  <c r="GN173" i="9"/>
  <c r="GO173" i="9"/>
  <c r="GP173" i="9"/>
  <c r="GQ173" i="9"/>
  <c r="GR173" i="9"/>
  <c r="GS173" i="9"/>
  <c r="GT173" i="9"/>
  <c r="GU173" i="9"/>
  <c r="GV173" i="9"/>
  <c r="GW173" i="9"/>
  <c r="GX173" i="9"/>
  <c r="GY173" i="9"/>
  <c r="GZ173" i="9"/>
  <c r="HA173" i="9"/>
  <c r="HB173" i="9"/>
  <c r="HC173" i="9"/>
  <c r="HD173" i="9"/>
  <c r="HE173" i="9"/>
  <c r="HF173" i="9"/>
  <c r="HG173" i="9"/>
  <c r="HH173" i="9"/>
  <c r="HI173" i="9"/>
  <c r="HJ173" i="9"/>
  <c r="HK173" i="9"/>
  <c r="HL173" i="9"/>
  <c r="HM173" i="9"/>
  <c r="HN173" i="9"/>
  <c r="HO173" i="9"/>
  <c r="HP173" i="9"/>
  <c r="HQ173" i="9"/>
  <c r="HR173" i="9"/>
  <c r="HS173" i="9"/>
  <c r="HT173" i="9"/>
  <c r="HU173" i="9"/>
  <c r="HV173" i="9"/>
  <c r="HW173" i="9"/>
  <c r="HX173" i="9"/>
  <c r="HY173" i="9"/>
  <c r="HZ173" i="9"/>
  <c r="IA173" i="9"/>
  <c r="IB173" i="9"/>
  <c r="IC173" i="9"/>
  <c r="ID173" i="9"/>
  <c r="IE173" i="9"/>
  <c r="IF173" i="9"/>
  <c r="IG173" i="9"/>
  <c r="IH173" i="9"/>
  <c r="II173" i="9"/>
  <c r="IJ173" i="9"/>
  <c r="IK173" i="9"/>
  <c r="IL173" i="9"/>
  <c r="IM173" i="9"/>
  <c r="IN173" i="9"/>
  <c r="IO173" i="9"/>
  <c r="IP173" i="9"/>
  <c r="IQ173" i="9"/>
  <c r="IR173" i="9"/>
  <c r="IS173" i="9"/>
  <c r="IT173" i="9"/>
  <c r="IU173" i="9"/>
  <c r="IV173" i="9"/>
  <c r="A172" i="9"/>
  <c r="B172" i="9"/>
  <c r="C172" i="9"/>
  <c r="D172" i="9"/>
  <c r="E172" i="9"/>
  <c r="F172" i="9"/>
  <c r="G172" i="9"/>
  <c r="H172" i="9"/>
  <c r="I172" i="9"/>
  <c r="J172" i="9"/>
  <c r="K172" i="9"/>
  <c r="L172" i="9"/>
  <c r="M172" i="9"/>
  <c r="N172" i="9"/>
  <c r="O172" i="9"/>
  <c r="P172" i="9"/>
  <c r="Q172" i="9"/>
  <c r="R172" i="9"/>
  <c r="S172" i="9"/>
  <c r="T172" i="9"/>
  <c r="U172" i="9"/>
  <c r="V172" i="9"/>
  <c r="W172" i="9"/>
  <c r="X172" i="9"/>
  <c r="Y172" i="9"/>
  <c r="Z172" i="9"/>
  <c r="AA172" i="9"/>
  <c r="AB172" i="9"/>
  <c r="AC172" i="9"/>
  <c r="AD172" i="9"/>
  <c r="AE172" i="9"/>
  <c r="AF172" i="9"/>
  <c r="AG172" i="9"/>
  <c r="AH172" i="9"/>
  <c r="AI172" i="9"/>
  <c r="AJ172" i="9"/>
  <c r="AK172" i="9"/>
  <c r="AL172" i="9"/>
  <c r="AM172" i="9"/>
  <c r="AN172" i="9"/>
  <c r="AO172" i="9"/>
  <c r="AP172" i="9"/>
  <c r="AQ172" i="9"/>
  <c r="AR172" i="9"/>
  <c r="AS172" i="9"/>
  <c r="AT172" i="9"/>
  <c r="AU172" i="9"/>
  <c r="AV172" i="9"/>
  <c r="AW172" i="9"/>
  <c r="AX172" i="9"/>
  <c r="AY172" i="9"/>
  <c r="AZ172" i="9"/>
  <c r="BA172" i="9"/>
  <c r="BB172" i="9"/>
  <c r="BC172" i="9"/>
  <c r="BD172" i="9"/>
  <c r="BE172" i="9"/>
  <c r="BF172" i="9"/>
  <c r="BG172" i="9"/>
  <c r="BH172" i="9"/>
  <c r="BI172" i="9"/>
  <c r="BJ172" i="9"/>
  <c r="BK172" i="9"/>
  <c r="BL172" i="9"/>
  <c r="BM172" i="9"/>
  <c r="BN172" i="9"/>
  <c r="BO172" i="9"/>
  <c r="BP172" i="9"/>
  <c r="BQ172" i="9"/>
  <c r="BR172" i="9"/>
  <c r="BS172" i="9"/>
  <c r="BT172" i="9"/>
  <c r="BU172" i="9"/>
  <c r="BV172" i="9"/>
  <c r="BW172" i="9"/>
  <c r="BX172" i="9"/>
  <c r="BY172" i="9"/>
  <c r="BZ172" i="9"/>
  <c r="CA172" i="9"/>
  <c r="CB172" i="9"/>
  <c r="CC172" i="9"/>
  <c r="CD172" i="9"/>
  <c r="CE172" i="9"/>
  <c r="CF172" i="9"/>
  <c r="CG172" i="9"/>
  <c r="CH172" i="9"/>
  <c r="CI172" i="9"/>
  <c r="CJ172" i="9"/>
  <c r="CK172" i="9"/>
  <c r="CL172" i="9"/>
  <c r="CM172" i="9"/>
  <c r="CN172" i="9"/>
  <c r="CO172" i="9"/>
  <c r="CP172" i="9"/>
  <c r="CQ172" i="9"/>
  <c r="CR172" i="9"/>
  <c r="CS172" i="9"/>
  <c r="CT172" i="9"/>
  <c r="CU172" i="9"/>
  <c r="CV172" i="9"/>
  <c r="CW172" i="9"/>
  <c r="CX172" i="9"/>
  <c r="CY172" i="9"/>
  <c r="CZ172" i="9"/>
  <c r="DA172" i="9"/>
  <c r="DB172" i="9"/>
  <c r="DC172" i="9"/>
  <c r="DD172" i="9"/>
  <c r="DE172" i="9"/>
  <c r="DF172" i="9"/>
  <c r="DG172" i="9"/>
  <c r="DH172" i="9"/>
  <c r="DI172" i="9"/>
  <c r="DJ172" i="9"/>
  <c r="DK172" i="9"/>
  <c r="DL172" i="9"/>
  <c r="DM172" i="9"/>
  <c r="DN172" i="9"/>
  <c r="DO172" i="9"/>
  <c r="DP172" i="9"/>
  <c r="DQ172" i="9"/>
  <c r="DR172" i="9"/>
  <c r="DS172" i="9"/>
  <c r="DT172" i="9"/>
  <c r="DU172" i="9"/>
  <c r="DV172" i="9"/>
  <c r="DW172" i="9"/>
  <c r="DX172" i="9"/>
  <c r="DY172" i="9"/>
  <c r="DZ172" i="9"/>
  <c r="EA172" i="9"/>
  <c r="EB172" i="9"/>
  <c r="EC172" i="9"/>
  <c r="ED172" i="9"/>
  <c r="EE172" i="9"/>
  <c r="EF172" i="9"/>
  <c r="EG172" i="9"/>
  <c r="EH172" i="9"/>
  <c r="EI172" i="9"/>
  <c r="EJ172" i="9"/>
  <c r="EK172" i="9"/>
  <c r="EL172" i="9"/>
  <c r="EM172" i="9"/>
  <c r="EN172" i="9"/>
  <c r="EO172" i="9"/>
  <c r="EP172" i="9"/>
  <c r="EQ172" i="9"/>
  <c r="ER172" i="9"/>
  <c r="ES172" i="9"/>
  <c r="ET172" i="9"/>
  <c r="EU172" i="9"/>
  <c r="EV172" i="9"/>
  <c r="EW172" i="9"/>
  <c r="EX172" i="9"/>
  <c r="EY172" i="9"/>
  <c r="EZ172" i="9"/>
  <c r="FA172" i="9"/>
  <c r="FB172" i="9"/>
  <c r="FC172" i="9"/>
  <c r="FD172" i="9"/>
  <c r="FE172" i="9"/>
  <c r="FF172" i="9"/>
  <c r="FG172" i="9"/>
  <c r="FH172" i="9"/>
  <c r="FI172" i="9"/>
  <c r="FJ172" i="9"/>
  <c r="FK172" i="9"/>
  <c r="FL172" i="9"/>
  <c r="FM172" i="9"/>
  <c r="FN172" i="9"/>
  <c r="FO172" i="9"/>
  <c r="FP172" i="9"/>
  <c r="FQ172" i="9"/>
  <c r="FR172" i="9"/>
  <c r="FS172" i="9"/>
  <c r="FT172" i="9"/>
  <c r="FU172" i="9"/>
  <c r="FV172" i="9"/>
  <c r="FW172" i="9"/>
  <c r="FX172" i="9"/>
  <c r="FY172" i="9"/>
  <c r="FZ172" i="9"/>
  <c r="GA172" i="9"/>
  <c r="GB172" i="9"/>
  <c r="GC172" i="9"/>
  <c r="GD172" i="9"/>
  <c r="GE172" i="9"/>
  <c r="GF172" i="9"/>
  <c r="GG172" i="9"/>
  <c r="GH172" i="9"/>
  <c r="GI172" i="9"/>
  <c r="GJ172" i="9"/>
  <c r="GK172" i="9"/>
  <c r="GL172" i="9"/>
  <c r="GM172" i="9"/>
  <c r="GN172" i="9"/>
  <c r="GO172" i="9"/>
  <c r="GP172" i="9"/>
  <c r="GQ172" i="9"/>
  <c r="GR172" i="9"/>
  <c r="GS172" i="9"/>
  <c r="GT172" i="9"/>
  <c r="GU172" i="9"/>
  <c r="GV172" i="9"/>
  <c r="GW172" i="9"/>
  <c r="GX172" i="9"/>
  <c r="GY172" i="9"/>
  <c r="GZ172" i="9"/>
  <c r="HA172" i="9"/>
  <c r="HB172" i="9"/>
  <c r="HC172" i="9"/>
  <c r="HD172" i="9"/>
  <c r="HE172" i="9"/>
  <c r="HF172" i="9"/>
  <c r="HG172" i="9"/>
  <c r="HH172" i="9"/>
  <c r="HI172" i="9"/>
  <c r="HJ172" i="9"/>
  <c r="HK172" i="9"/>
  <c r="HL172" i="9"/>
  <c r="HM172" i="9"/>
  <c r="HN172" i="9"/>
  <c r="HO172" i="9"/>
  <c r="HP172" i="9"/>
  <c r="HQ172" i="9"/>
  <c r="HR172" i="9"/>
  <c r="HS172" i="9"/>
  <c r="HT172" i="9"/>
  <c r="HU172" i="9"/>
  <c r="HV172" i="9"/>
  <c r="HW172" i="9"/>
  <c r="HX172" i="9"/>
  <c r="HY172" i="9"/>
  <c r="HZ172" i="9"/>
  <c r="IA172" i="9"/>
  <c r="IB172" i="9"/>
  <c r="IC172" i="9"/>
  <c r="ID172" i="9"/>
  <c r="IE172" i="9"/>
  <c r="IF172" i="9"/>
  <c r="IG172" i="9"/>
  <c r="IH172" i="9"/>
  <c r="II172" i="9"/>
  <c r="IJ172" i="9"/>
  <c r="IK172" i="9"/>
  <c r="IL172" i="9"/>
  <c r="IM172" i="9"/>
  <c r="IN172" i="9"/>
  <c r="IO172" i="9"/>
  <c r="IP172" i="9"/>
  <c r="IQ172" i="9"/>
  <c r="IR172" i="9"/>
  <c r="IS172" i="9"/>
  <c r="IT172" i="9"/>
  <c r="IU172" i="9"/>
  <c r="IV172" i="9"/>
  <c r="A171" i="9"/>
  <c r="B171" i="9"/>
  <c r="C171" i="9"/>
  <c r="D171" i="9"/>
  <c r="E171" i="9"/>
  <c r="F171" i="9"/>
  <c r="G171" i="9"/>
  <c r="H171" i="9"/>
  <c r="I171" i="9"/>
  <c r="J171" i="9"/>
  <c r="K171" i="9"/>
  <c r="L171" i="9"/>
  <c r="M171" i="9"/>
  <c r="N171" i="9"/>
  <c r="O171" i="9"/>
  <c r="P171" i="9"/>
  <c r="Q171" i="9"/>
  <c r="R171" i="9"/>
  <c r="S171" i="9"/>
  <c r="T171" i="9"/>
  <c r="U171" i="9"/>
  <c r="V171" i="9"/>
  <c r="W171" i="9"/>
  <c r="X171" i="9"/>
  <c r="Y171" i="9"/>
  <c r="Z171" i="9"/>
  <c r="AA171" i="9"/>
  <c r="AB171" i="9"/>
  <c r="AC171" i="9"/>
  <c r="AD171" i="9"/>
  <c r="AE171" i="9"/>
  <c r="AF171" i="9"/>
  <c r="AG171" i="9"/>
  <c r="AH171" i="9"/>
  <c r="AI171" i="9"/>
  <c r="AJ171" i="9"/>
  <c r="AK171" i="9"/>
  <c r="AL171" i="9"/>
  <c r="AM171" i="9"/>
  <c r="AN171" i="9"/>
  <c r="AO171" i="9"/>
  <c r="AP171" i="9"/>
  <c r="AQ171" i="9"/>
  <c r="AR171" i="9"/>
  <c r="AS171" i="9"/>
  <c r="AT171" i="9"/>
  <c r="AU171" i="9"/>
  <c r="AV171" i="9"/>
  <c r="AW171" i="9"/>
  <c r="AX171" i="9"/>
  <c r="AY171" i="9"/>
  <c r="AZ171" i="9"/>
  <c r="BA171" i="9"/>
  <c r="BB171" i="9"/>
  <c r="BC171" i="9"/>
  <c r="BD171" i="9"/>
  <c r="BE171" i="9"/>
  <c r="BF171" i="9"/>
  <c r="BG171" i="9"/>
  <c r="BH171" i="9"/>
  <c r="BI171" i="9"/>
  <c r="BJ171" i="9"/>
  <c r="BK171" i="9"/>
  <c r="BL171" i="9"/>
  <c r="BM171" i="9"/>
  <c r="BN171" i="9"/>
  <c r="BO171" i="9"/>
  <c r="BP171" i="9"/>
  <c r="BQ171" i="9"/>
  <c r="BR171" i="9"/>
  <c r="BS171" i="9"/>
  <c r="BT171" i="9"/>
  <c r="BU171" i="9"/>
  <c r="BV171" i="9"/>
  <c r="BW171" i="9"/>
  <c r="BX171" i="9"/>
  <c r="BY171" i="9"/>
  <c r="BZ171" i="9"/>
  <c r="CA171" i="9"/>
  <c r="CB171" i="9"/>
  <c r="CC171" i="9"/>
  <c r="CD171" i="9"/>
  <c r="CE171" i="9"/>
  <c r="CF171" i="9"/>
  <c r="CG171" i="9"/>
  <c r="CH171" i="9"/>
  <c r="CI171" i="9"/>
  <c r="CJ171" i="9"/>
  <c r="CK171" i="9"/>
  <c r="CL171" i="9"/>
  <c r="CM171" i="9"/>
  <c r="CN171" i="9"/>
  <c r="CO171" i="9"/>
  <c r="CP171" i="9"/>
  <c r="CQ171" i="9"/>
  <c r="CR171" i="9"/>
  <c r="CS171" i="9"/>
  <c r="CT171" i="9"/>
  <c r="CU171" i="9"/>
  <c r="CV171" i="9"/>
  <c r="CW171" i="9"/>
  <c r="CX171" i="9"/>
  <c r="CY171" i="9"/>
  <c r="CZ171" i="9"/>
  <c r="DA171" i="9"/>
  <c r="DB171" i="9"/>
  <c r="DC171" i="9"/>
  <c r="DD171" i="9"/>
  <c r="DE171" i="9"/>
  <c r="DF171" i="9"/>
  <c r="DG171" i="9"/>
  <c r="DH171" i="9"/>
  <c r="DI171" i="9"/>
  <c r="DJ171" i="9"/>
  <c r="DK171" i="9"/>
  <c r="DL171" i="9"/>
  <c r="DM171" i="9"/>
  <c r="DN171" i="9"/>
  <c r="DO171" i="9"/>
  <c r="DP171" i="9"/>
  <c r="DQ171" i="9"/>
  <c r="DR171" i="9"/>
  <c r="DS171" i="9"/>
  <c r="DT171" i="9"/>
  <c r="DU171" i="9"/>
  <c r="DV171" i="9"/>
  <c r="DW171" i="9"/>
  <c r="DX171" i="9"/>
  <c r="DY171" i="9"/>
  <c r="DZ171" i="9"/>
  <c r="EA171" i="9"/>
  <c r="EB171" i="9"/>
  <c r="EC171" i="9"/>
  <c r="ED171" i="9"/>
  <c r="EE171" i="9"/>
  <c r="EF171" i="9"/>
  <c r="EG171" i="9"/>
  <c r="EH171" i="9"/>
  <c r="EI171" i="9"/>
  <c r="EJ171" i="9"/>
  <c r="EK171" i="9"/>
  <c r="EL171" i="9"/>
  <c r="EM171" i="9"/>
  <c r="EN171" i="9"/>
  <c r="EO171" i="9"/>
  <c r="EP171" i="9"/>
  <c r="EQ171" i="9"/>
  <c r="ER171" i="9"/>
  <c r="ES171" i="9"/>
  <c r="ET171" i="9"/>
  <c r="EU171" i="9"/>
  <c r="EV171" i="9"/>
  <c r="EW171" i="9"/>
  <c r="EX171" i="9"/>
  <c r="EY171" i="9"/>
  <c r="EZ171" i="9"/>
  <c r="FA171" i="9"/>
  <c r="FB171" i="9"/>
  <c r="FC171" i="9"/>
  <c r="FD171" i="9"/>
  <c r="FE171" i="9"/>
  <c r="FF171" i="9"/>
  <c r="FG171" i="9"/>
  <c r="FH171" i="9"/>
  <c r="FI171" i="9"/>
  <c r="FJ171" i="9"/>
  <c r="FK171" i="9"/>
  <c r="FL171" i="9"/>
  <c r="FM171" i="9"/>
  <c r="FN171" i="9"/>
  <c r="FO171" i="9"/>
  <c r="FP171" i="9"/>
  <c r="FQ171" i="9"/>
  <c r="FR171" i="9"/>
  <c r="FS171" i="9"/>
  <c r="FT171" i="9"/>
  <c r="FU171" i="9"/>
  <c r="FV171" i="9"/>
  <c r="FW171" i="9"/>
  <c r="FX171" i="9"/>
  <c r="FY171" i="9"/>
  <c r="FZ171" i="9"/>
  <c r="GA171" i="9"/>
  <c r="GB171" i="9"/>
  <c r="GC171" i="9"/>
  <c r="GD171" i="9"/>
  <c r="GE171" i="9"/>
  <c r="GF171" i="9"/>
  <c r="GG171" i="9"/>
  <c r="GH171" i="9"/>
  <c r="GI171" i="9"/>
  <c r="GJ171" i="9"/>
  <c r="GK171" i="9"/>
  <c r="GL171" i="9"/>
  <c r="GM171" i="9"/>
  <c r="GN171" i="9"/>
  <c r="GO171" i="9"/>
  <c r="GP171" i="9"/>
  <c r="GQ171" i="9"/>
  <c r="GR171" i="9"/>
  <c r="GS171" i="9"/>
  <c r="GT171" i="9"/>
  <c r="GU171" i="9"/>
  <c r="GV171" i="9"/>
  <c r="GW171" i="9"/>
  <c r="GX171" i="9"/>
  <c r="GY171" i="9"/>
  <c r="GZ171" i="9"/>
  <c r="HA171" i="9"/>
  <c r="HB171" i="9"/>
  <c r="HC171" i="9"/>
  <c r="HD171" i="9"/>
  <c r="HE171" i="9"/>
  <c r="HF171" i="9"/>
  <c r="HG171" i="9"/>
  <c r="HH171" i="9"/>
  <c r="HI171" i="9"/>
  <c r="HJ171" i="9"/>
  <c r="HK171" i="9"/>
  <c r="HL171" i="9"/>
  <c r="HM171" i="9"/>
  <c r="HN171" i="9"/>
  <c r="HO171" i="9"/>
  <c r="HP171" i="9"/>
  <c r="HQ171" i="9"/>
  <c r="HR171" i="9"/>
  <c r="HS171" i="9"/>
  <c r="HT171" i="9"/>
  <c r="HU171" i="9"/>
  <c r="HV171" i="9"/>
  <c r="HW171" i="9"/>
  <c r="HX171" i="9"/>
  <c r="HY171" i="9"/>
  <c r="HZ171" i="9"/>
  <c r="IA171" i="9"/>
  <c r="IB171" i="9"/>
  <c r="IC171" i="9"/>
  <c r="ID171" i="9"/>
  <c r="IE171" i="9"/>
  <c r="IF171" i="9"/>
  <c r="IG171" i="9"/>
  <c r="IH171" i="9"/>
  <c r="II171" i="9"/>
  <c r="IJ171" i="9"/>
  <c r="IK171" i="9"/>
  <c r="IL171" i="9"/>
  <c r="IM171" i="9"/>
  <c r="IN171" i="9"/>
  <c r="IO171" i="9"/>
  <c r="IP171" i="9"/>
  <c r="IQ171" i="9"/>
  <c r="IR171" i="9"/>
  <c r="IS171" i="9"/>
  <c r="IT171" i="9"/>
  <c r="IU171" i="9"/>
  <c r="IV171" i="9"/>
  <c r="A170" i="9"/>
  <c r="B170" i="9"/>
  <c r="C170" i="9"/>
  <c r="D170" i="9"/>
  <c r="E170" i="9"/>
  <c r="F170" i="9"/>
  <c r="G170" i="9"/>
  <c r="H170" i="9"/>
  <c r="I170" i="9"/>
  <c r="J170" i="9"/>
  <c r="K170" i="9"/>
  <c r="L170" i="9"/>
  <c r="M170" i="9"/>
  <c r="N170" i="9"/>
  <c r="O170" i="9"/>
  <c r="P170" i="9"/>
  <c r="Q170" i="9"/>
  <c r="R170" i="9"/>
  <c r="S170" i="9"/>
  <c r="T170" i="9"/>
  <c r="U170" i="9"/>
  <c r="V170" i="9"/>
  <c r="W170" i="9"/>
  <c r="X170" i="9"/>
  <c r="Y170" i="9"/>
  <c r="Z170" i="9"/>
  <c r="AA170" i="9"/>
  <c r="AB170" i="9"/>
  <c r="AC170" i="9"/>
  <c r="AD170" i="9"/>
  <c r="AE170" i="9"/>
  <c r="AF170" i="9"/>
  <c r="AG170" i="9"/>
  <c r="AH170" i="9"/>
  <c r="AI170" i="9"/>
  <c r="AJ170" i="9"/>
  <c r="AK170" i="9"/>
  <c r="AL170" i="9"/>
  <c r="AM170" i="9"/>
  <c r="AN170" i="9"/>
  <c r="AO170" i="9"/>
  <c r="AP170" i="9"/>
  <c r="AQ170" i="9"/>
  <c r="AR170" i="9"/>
  <c r="AS170" i="9"/>
  <c r="AT170" i="9"/>
  <c r="AU170" i="9"/>
  <c r="AV170" i="9"/>
  <c r="AW170" i="9"/>
  <c r="AX170" i="9"/>
  <c r="AY170" i="9"/>
  <c r="AZ170" i="9"/>
  <c r="BA170" i="9"/>
  <c r="BB170" i="9"/>
  <c r="BC170" i="9"/>
  <c r="BD170" i="9"/>
  <c r="BE170" i="9"/>
  <c r="BF170" i="9"/>
  <c r="BG170" i="9"/>
  <c r="BH170" i="9"/>
  <c r="BI170" i="9"/>
  <c r="BJ170" i="9"/>
  <c r="BK170" i="9"/>
  <c r="BL170" i="9"/>
  <c r="BM170" i="9"/>
  <c r="BN170" i="9"/>
  <c r="BO170" i="9"/>
  <c r="BP170" i="9"/>
  <c r="BQ170" i="9"/>
  <c r="BR170" i="9"/>
  <c r="BS170" i="9"/>
  <c r="BT170" i="9"/>
  <c r="BU170" i="9"/>
  <c r="BV170" i="9"/>
  <c r="BW170" i="9"/>
  <c r="BX170" i="9"/>
  <c r="BY170" i="9"/>
  <c r="BZ170" i="9"/>
  <c r="CA170" i="9"/>
  <c r="CB170" i="9"/>
  <c r="CC170" i="9"/>
  <c r="CD170" i="9"/>
  <c r="CE170" i="9"/>
  <c r="CF170" i="9"/>
  <c r="CG170" i="9"/>
  <c r="CH170" i="9"/>
  <c r="CI170" i="9"/>
  <c r="CJ170" i="9"/>
  <c r="CK170" i="9"/>
  <c r="CL170" i="9"/>
  <c r="CM170" i="9"/>
  <c r="CN170" i="9"/>
  <c r="CO170" i="9"/>
  <c r="CP170" i="9"/>
  <c r="CQ170" i="9"/>
  <c r="CR170" i="9"/>
  <c r="CS170" i="9"/>
  <c r="CT170" i="9"/>
  <c r="CU170" i="9"/>
  <c r="CV170" i="9"/>
  <c r="CW170" i="9"/>
  <c r="CX170" i="9"/>
  <c r="CY170" i="9"/>
  <c r="CZ170" i="9"/>
  <c r="DA170" i="9"/>
  <c r="DB170" i="9"/>
  <c r="DC170" i="9"/>
  <c r="DD170" i="9"/>
  <c r="DE170" i="9"/>
  <c r="DF170" i="9"/>
  <c r="DG170" i="9"/>
  <c r="DH170" i="9"/>
  <c r="DI170" i="9"/>
  <c r="DJ170" i="9"/>
  <c r="DK170" i="9"/>
  <c r="DL170" i="9"/>
  <c r="DM170" i="9"/>
  <c r="DN170" i="9"/>
  <c r="DO170" i="9"/>
  <c r="DP170" i="9"/>
  <c r="DQ170" i="9"/>
  <c r="DR170" i="9"/>
  <c r="DS170" i="9"/>
  <c r="DT170" i="9"/>
  <c r="DU170" i="9"/>
  <c r="DV170" i="9"/>
  <c r="DW170" i="9"/>
  <c r="DX170" i="9"/>
  <c r="DY170" i="9"/>
  <c r="DZ170" i="9"/>
  <c r="EA170" i="9"/>
  <c r="EB170" i="9"/>
  <c r="EC170" i="9"/>
  <c r="ED170" i="9"/>
  <c r="EE170" i="9"/>
  <c r="EF170" i="9"/>
  <c r="EG170" i="9"/>
  <c r="EH170" i="9"/>
  <c r="EI170" i="9"/>
  <c r="EJ170" i="9"/>
  <c r="EK170" i="9"/>
  <c r="EL170" i="9"/>
  <c r="EM170" i="9"/>
  <c r="EN170" i="9"/>
  <c r="EO170" i="9"/>
  <c r="EP170" i="9"/>
  <c r="EQ170" i="9"/>
  <c r="ER170" i="9"/>
  <c r="ES170" i="9"/>
  <c r="ET170" i="9"/>
  <c r="EU170" i="9"/>
  <c r="EV170" i="9"/>
  <c r="EW170" i="9"/>
  <c r="EX170" i="9"/>
  <c r="EY170" i="9"/>
  <c r="EZ170" i="9"/>
  <c r="FA170" i="9"/>
  <c r="FB170" i="9"/>
  <c r="FC170" i="9"/>
  <c r="FD170" i="9"/>
  <c r="FE170" i="9"/>
  <c r="FF170" i="9"/>
  <c r="FG170" i="9"/>
  <c r="FH170" i="9"/>
  <c r="FI170" i="9"/>
  <c r="FJ170" i="9"/>
  <c r="FK170" i="9"/>
  <c r="FL170" i="9"/>
  <c r="FM170" i="9"/>
  <c r="FN170" i="9"/>
  <c r="FO170" i="9"/>
  <c r="FP170" i="9"/>
  <c r="FQ170" i="9"/>
  <c r="FR170" i="9"/>
  <c r="FS170" i="9"/>
  <c r="FT170" i="9"/>
  <c r="FU170" i="9"/>
  <c r="FV170" i="9"/>
  <c r="FW170" i="9"/>
  <c r="FX170" i="9"/>
  <c r="FY170" i="9"/>
  <c r="FZ170" i="9"/>
  <c r="GA170" i="9"/>
  <c r="GB170" i="9"/>
  <c r="GC170" i="9"/>
  <c r="GD170" i="9"/>
  <c r="GE170" i="9"/>
  <c r="GF170" i="9"/>
  <c r="GG170" i="9"/>
  <c r="GH170" i="9"/>
  <c r="GI170" i="9"/>
  <c r="GJ170" i="9"/>
  <c r="GK170" i="9"/>
  <c r="GL170" i="9"/>
  <c r="GM170" i="9"/>
  <c r="GN170" i="9"/>
  <c r="GO170" i="9"/>
  <c r="GP170" i="9"/>
  <c r="GQ170" i="9"/>
  <c r="GR170" i="9"/>
  <c r="GS170" i="9"/>
  <c r="GT170" i="9"/>
  <c r="GU170" i="9"/>
  <c r="GV170" i="9"/>
  <c r="GW170" i="9"/>
  <c r="GX170" i="9"/>
  <c r="GY170" i="9"/>
  <c r="GZ170" i="9"/>
  <c r="HA170" i="9"/>
  <c r="HB170" i="9"/>
  <c r="HC170" i="9"/>
  <c r="HD170" i="9"/>
  <c r="HE170" i="9"/>
  <c r="HF170" i="9"/>
  <c r="HG170" i="9"/>
  <c r="HH170" i="9"/>
  <c r="HI170" i="9"/>
  <c r="HJ170" i="9"/>
  <c r="HK170" i="9"/>
  <c r="HL170" i="9"/>
  <c r="HM170" i="9"/>
  <c r="HN170" i="9"/>
  <c r="HO170" i="9"/>
  <c r="HP170" i="9"/>
  <c r="HQ170" i="9"/>
  <c r="HR170" i="9"/>
  <c r="HS170" i="9"/>
  <c r="HT170" i="9"/>
  <c r="HU170" i="9"/>
  <c r="HV170" i="9"/>
  <c r="HW170" i="9"/>
  <c r="HX170" i="9"/>
  <c r="HY170" i="9"/>
  <c r="HZ170" i="9"/>
  <c r="IA170" i="9"/>
  <c r="IB170" i="9"/>
  <c r="IC170" i="9"/>
  <c r="ID170" i="9"/>
  <c r="IE170" i="9"/>
  <c r="IF170" i="9"/>
  <c r="IG170" i="9"/>
  <c r="IH170" i="9"/>
  <c r="II170" i="9"/>
  <c r="IJ170" i="9"/>
  <c r="IK170" i="9"/>
  <c r="IL170" i="9"/>
  <c r="IM170" i="9"/>
  <c r="IN170" i="9"/>
  <c r="IO170" i="9"/>
  <c r="IP170" i="9"/>
  <c r="IQ170" i="9"/>
  <c r="IR170" i="9"/>
  <c r="IS170" i="9"/>
  <c r="IT170" i="9"/>
  <c r="IU170" i="9"/>
  <c r="IV170" i="9"/>
  <c r="A169" i="9"/>
  <c r="B169" i="9"/>
  <c r="C169" i="9"/>
  <c r="D169" i="9"/>
  <c r="E169" i="9"/>
  <c r="F169" i="9"/>
  <c r="G169" i="9"/>
  <c r="H169" i="9"/>
  <c r="I169" i="9"/>
  <c r="J169" i="9"/>
  <c r="K169" i="9"/>
  <c r="L169" i="9"/>
  <c r="M169" i="9"/>
  <c r="N169" i="9"/>
  <c r="O169" i="9"/>
  <c r="P169" i="9"/>
  <c r="Q169" i="9"/>
  <c r="R169" i="9"/>
  <c r="S169" i="9"/>
  <c r="T169" i="9"/>
  <c r="U169" i="9"/>
  <c r="V169" i="9"/>
  <c r="W169" i="9"/>
  <c r="X169" i="9"/>
  <c r="Y169" i="9"/>
  <c r="Z169" i="9"/>
  <c r="AA169" i="9"/>
  <c r="AB169" i="9"/>
  <c r="AC169" i="9"/>
  <c r="AD169" i="9"/>
  <c r="AE169" i="9"/>
  <c r="AF169" i="9"/>
  <c r="AG169" i="9"/>
  <c r="AH169" i="9"/>
  <c r="AI169" i="9"/>
  <c r="AJ169" i="9"/>
  <c r="AK169" i="9"/>
  <c r="AL169" i="9"/>
  <c r="AM169" i="9"/>
  <c r="AN169" i="9"/>
  <c r="AO169" i="9"/>
  <c r="AP169" i="9"/>
  <c r="AQ169" i="9"/>
  <c r="AR169" i="9"/>
  <c r="AS169" i="9"/>
  <c r="AT169" i="9"/>
  <c r="AU169" i="9"/>
  <c r="AV169" i="9"/>
  <c r="AW169" i="9"/>
  <c r="AX169" i="9"/>
  <c r="AY169" i="9"/>
  <c r="AZ169" i="9"/>
  <c r="BA169" i="9"/>
  <c r="BB169" i="9"/>
  <c r="BC169" i="9"/>
  <c r="BD169" i="9"/>
  <c r="BE169" i="9"/>
  <c r="BF169" i="9"/>
  <c r="BG169" i="9"/>
  <c r="BH169" i="9"/>
  <c r="BI169" i="9"/>
  <c r="BJ169" i="9"/>
  <c r="BK169" i="9"/>
  <c r="BL169" i="9"/>
  <c r="BM169" i="9"/>
  <c r="BN169" i="9"/>
  <c r="BO169" i="9"/>
  <c r="BP169" i="9"/>
  <c r="BQ169" i="9"/>
  <c r="BR169" i="9"/>
  <c r="BS169" i="9"/>
  <c r="BT169" i="9"/>
  <c r="BU169" i="9"/>
  <c r="BV169" i="9"/>
  <c r="BW169" i="9"/>
  <c r="BX169" i="9"/>
  <c r="BY169" i="9"/>
  <c r="BZ169" i="9"/>
  <c r="CA169" i="9"/>
  <c r="CB169" i="9"/>
  <c r="CC169" i="9"/>
  <c r="CD169" i="9"/>
  <c r="CE169" i="9"/>
  <c r="CF169" i="9"/>
  <c r="CG169" i="9"/>
  <c r="CH169" i="9"/>
  <c r="CI169" i="9"/>
  <c r="CJ169" i="9"/>
  <c r="CK169" i="9"/>
  <c r="CL169" i="9"/>
  <c r="CM169" i="9"/>
  <c r="CN169" i="9"/>
  <c r="CO169" i="9"/>
  <c r="CP169" i="9"/>
  <c r="CQ169" i="9"/>
  <c r="CR169" i="9"/>
  <c r="CS169" i="9"/>
  <c r="CT169" i="9"/>
  <c r="CU169" i="9"/>
  <c r="CV169" i="9"/>
  <c r="CW169" i="9"/>
  <c r="CX169" i="9"/>
  <c r="CY169" i="9"/>
  <c r="CZ169" i="9"/>
  <c r="DA169" i="9"/>
  <c r="DB169" i="9"/>
  <c r="DC169" i="9"/>
  <c r="DD169" i="9"/>
  <c r="DE169" i="9"/>
  <c r="DF169" i="9"/>
  <c r="DG169" i="9"/>
  <c r="DH169" i="9"/>
  <c r="DI169" i="9"/>
  <c r="DJ169" i="9"/>
  <c r="DK169" i="9"/>
  <c r="DL169" i="9"/>
  <c r="DM169" i="9"/>
  <c r="DN169" i="9"/>
  <c r="DO169" i="9"/>
  <c r="DP169" i="9"/>
  <c r="DQ169" i="9"/>
  <c r="DR169" i="9"/>
  <c r="DS169" i="9"/>
  <c r="DT169" i="9"/>
  <c r="DU169" i="9"/>
  <c r="DV169" i="9"/>
  <c r="DW169" i="9"/>
  <c r="DX169" i="9"/>
  <c r="DY169" i="9"/>
  <c r="DZ169" i="9"/>
  <c r="EA169" i="9"/>
  <c r="EB169" i="9"/>
  <c r="EC169" i="9"/>
  <c r="ED169" i="9"/>
  <c r="EE169" i="9"/>
  <c r="EF169" i="9"/>
  <c r="EG169" i="9"/>
  <c r="EH169" i="9"/>
  <c r="EI169" i="9"/>
  <c r="EJ169" i="9"/>
  <c r="EK169" i="9"/>
  <c r="EL169" i="9"/>
  <c r="EM169" i="9"/>
  <c r="EN169" i="9"/>
  <c r="EO169" i="9"/>
  <c r="EP169" i="9"/>
  <c r="EQ169" i="9"/>
  <c r="ER169" i="9"/>
  <c r="ES169" i="9"/>
  <c r="ET169" i="9"/>
  <c r="EU169" i="9"/>
  <c r="EV169" i="9"/>
  <c r="EW169" i="9"/>
  <c r="EX169" i="9"/>
  <c r="EY169" i="9"/>
  <c r="EZ169" i="9"/>
  <c r="FA169" i="9"/>
  <c r="FB169" i="9"/>
  <c r="FC169" i="9"/>
  <c r="FD169" i="9"/>
  <c r="FE169" i="9"/>
  <c r="FF169" i="9"/>
  <c r="FG169" i="9"/>
  <c r="FH169" i="9"/>
  <c r="FI169" i="9"/>
  <c r="FJ169" i="9"/>
  <c r="FK169" i="9"/>
  <c r="FL169" i="9"/>
  <c r="FM169" i="9"/>
  <c r="FN169" i="9"/>
  <c r="FO169" i="9"/>
  <c r="FP169" i="9"/>
  <c r="FQ169" i="9"/>
  <c r="FR169" i="9"/>
  <c r="FS169" i="9"/>
  <c r="FT169" i="9"/>
  <c r="FU169" i="9"/>
  <c r="FV169" i="9"/>
  <c r="FW169" i="9"/>
  <c r="FX169" i="9"/>
  <c r="FY169" i="9"/>
  <c r="FZ169" i="9"/>
  <c r="GA169" i="9"/>
  <c r="GB169" i="9"/>
  <c r="GC169" i="9"/>
  <c r="GD169" i="9"/>
  <c r="GE169" i="9"/>
  <c r="GF169" i="9"/>
  <c r="GG169" i="9"/>
  <c r="GH169" i="9"/>
  <c r="GI169" i="9"/>
  <c r="GJ169" i="9"/>
  <c r="GK169" i="9"/>
  <c r="GL169" i="9"/>
  <c r="GM169" i="9"/>
  <c r="GN169" i="9"/>
  <c r="GO169" i="9"/>
  <c r="GP169" i="9"/>
  <c r="GQ169" i="9"/>
  <c r="GR169" i="9"/>
  <c r="GS169" i="9"/>
  <c r="GT169" i="9"/>
  <c r="GU169" i="9"/>
  <c r="GV169" i="9"/>
  <c r="GW169" i="9"/>
  <c r="GX169" i="9"/>
  <c r="GY169" i="9"/>
  <c r="GZ169" i="9"/>
  <c r="HA169" i="9"/>
  <c r="HB169" i="9"/>
  <c r="HC169" i="9"/>
  <c r="HD169" i="9"/>
  <c r="HE169" i="9"/>
  <c r="HF169" i="9"/>
  <c r="HG169" i="9"/>
  <c r="HH169" i="9"/>
  <c r="HI169" i="9"/>
  <c r="HJ169" i="9"/>
  <c r="HK169" i="9"/>
  <c r="HL169" i="9"/>
  <c r="HM169" i="9"/>
  <c r="HN169" i="9"/>
  <c r="HO169" i="9"/>
  <c r="HP169" i="9"/>
  <c r="HQ169" i="9"/>
  <c r="HR169" i="9"/>
  <c r="HS169" i="9"/>
  <c r="HT169" i="9"/>
  <c r="HU169" i="9"/>
  <c r="HV169" i="9"/>
  <c r="HW169" i="9"/>
  <c r="HX169" i="9"/>
  <c r="HY169" i="9"/>
  <c r="HZ169" i="9"/>
  <c r="IA169" i="9"/>
  <c r="IB169" i="9"/>
  <c r="IC169" i="9"/>
  <c r="ID169" i="9"/>
  <c r="IE169" i="9"/>
  <c r="IF169" i="9"/>
  <c r="IG169" i="9"/>
  <c r="IH169" i="9"/>
  <c r="II169" i="9"/>
  <c r="IJ169" i="9"/>
  <c r="IK169" i="9"/>
  <c r="IL169" i="9"/>
  <c r="IM169" i="9"/>
  <c r="IN169" i="9"/>
  <c r="IO169" i="9"/>
  <c r="IP169" i="9"/>
  <c r="IQ169" i="9"/>
  <c r="IR169" i="9"/>
  <c r="IS169" i="9"/>
  <c r="IT169" i="9"/>
  <c r="IU169" i="9"/>
  <c r="IV169" i="9"/>
  <c r="A168" i="9"/>
  <c r="B168" i="9"/>
  <c r="C168" i="9"/>
  <c r="D168" i="9"/>
  <c r="E168" i="9"/>
  <c r="F168" i="9"/>
  <c r="G168" i="9"/>
  <c r="H168" i="9"/>
  <c r="I168" i="9"/>
  <c r="J168" i="9"/>
  <c r="K168" i="9"/>
  <c r="L168" i="9"/>
  <c r="M168" i="9"/>
  <c r="N168" i="9"/>
  <c r="O168" i="9"/>
  <c r="P168" i="9"/>
  <c r="Q168" i="9"/>
  <c r="R168" i="9"/>
  <c r="S168" i="9"/>
  <c r="T168" i="9"/>
  <c r="U168" i="9"/>
  <c r="V168" i="9"/>
  <c r="W168" i="9"/>
  <c r="X168" i="9"/>
  <c r="Y168" i="9"/>
  <c r="Z168" i="9"/>
  <c r="AA168" i="9"/>
  <c r="AB168" i="9"/>
  <c r="AC168" i="9"/>
  <c r="AD168" i="9"/>
  <c r="AE168" i="9"/>
  <c r="AF168" i="9"/>
  <c r="AG168" i="9"/>
  <c r="AH168" i="9"/>
  <c r="AI168" i="9"/>
  <c r="AJ168" i="9"/>
  <c r="AK168" i="9"/>
  <c r="AL168" i="9"/>
  <c r="AM168" i="9"/>
  <c r="AN168" i="9"/>
  <c r="AO168" i="9"/>
  <c r="AP168" i="9"/>
  <c r="AQ168" i="9"/>
  <c r="AR168" i="9"/>
  <c r="AS168" i="9"/>
  <c r="AT168" i="9"/>
  <c r="AU168" i="9"/>
  <c r="AV168" i="9"/>
  <c r="AW168" i="9"/>
  <c r="AX168" i="9"/>
  <c r="AY168" i="9"/>
  <c r="AZ168" i="9"/>
  <c r="BA168" i="9"/>
  <c r="BB168" i="9"/>
  <c r="BC168" i="9"/>
  <c r="BD168" i="9"/>
  <c r="BE168" i="9"/>
  <c r="BF168" i="9"/>
  <c r="BG168" i="9"/>
  <c r="BH168" i="9"/>
  <c r="BI168" i="9"/>
  <c r="BJ168" i="9"/>
  <c r="BK168" i="9"/>
  <c r="BL168" i="9"/>
  <c r="BM168" i="9"/>
  <c r="BN168" i="9"/>
  <c r="BO168" i="9"/>
  <c r="BP168" i="9"/>
  <c r="BQ168" i="9"/>
  <c r="BR168" i="9"/>
  <c r="BS168" i="9"/>
  <c r="BT168" i="9"/>
  <c r="BU168" i="9"/>
  <c r="BV168" i="9"/>
  <c r="BW168" i="9"/>
  <c r="BX168" i="9"/>
  <c r="BY168" i="9"/>
  <c r="BZ168" i="9"/>
  <c r="CA168" i="9"/>
  <c r="CB168" i="9"/>
  <c r="CC168" i="9"/>
  <c r="CD168" i="9"/>
  <c r="CE168" i="9"/>
  <c r="CF168" i="9"/>
  <c r="CG168" i="9"/>
  <c r="CH168" i="9"/>
  <c r="CI168" i="9"/>
  <c r="CJ168" i="9"/>
  <c r="CK168" i="9"/>
  <c r="CL168" i="9"/>
  <c r="CM168" i="9"/>
  <c r="CN168" i="9"/>
  <c r="CO168" i="9"/>
  <c r="CP168" i="9"/>
  <c r="CQ168" i="9"/>
  <c r="CR168" i="9"/>
  <c r="CS168" i="9"/>
  <c r="CT168" i="9"/>
  <c r="CU168" i="9"/>
  <c r="CV168" i="9"/>
  <c r="CW168" i="9"/>
  <c r="CX168" i="9"/>
  <c r="CY168" i="9"/>
  <c r="CZ168" i="9"/>
  <c r="DA168" i="9"/>
  <c r="DB168" i="9"/>
  <c r="DC168" i="9"/>
  <c r="DD168" i="9"/>
  <c r="DE168" i="9"/>
  <c r="DF168" i="9"/>
  <c r="DG168" i="9"/>
  <c r="DH168" i="9"/>
  <c r="DI168" i="9"/>
  <c r="DJ168" i="9"/>
  <c r="DK168" i="9"/>
  <c r="DL168" i="9"/>
  <c r="DM168" i="9"/>
  <c r="DN168" i="9"/>
  <c r="DO168" i="9"/>
  <c r="DP168" i="9"/>
  <c r="DQ168" i="9"/>
  <c r="DR168" i="9"/>
  <c r="DS168" i="9"/>
  <c r="DT168" i="9"/>
  <c r="DU168" i="9"/>
  <c r="DV168" i="9"/>
  <c r="DW168" i="9"/>
  <c r="DX168" i="9"/>
  <c r="DY168" i="9"/>
  <c r="DZ168" i="9"/>
  <c r="EA168" i="9"/>
  <c r="EB168" i="9"/>
  <c r="EC168" i="9"/>
  <c r="ED168" i="9"/>
  <c r="EE168" i="9"/>
  <c r="EF168" i="9"/>
  <c r="EG168" i="9"/>
  <c r="EH168" i="9"/>
  <c r="EI168" i="9"/>
  <c r="EJ168" i="9"/>
  <c r="EK168" i="9"/>
  <c r="EL168" i="9"/>
  <c r="EM168" i="9"/>
  <c r="EN168" i="9"/>
  <c r="EO168" i="9"/>
  <c r="EP168" i="9"/>
  <c r="EQ168" i="9"/>
  <c r="ER168" i="9"/>
  <c r="ES168" i="9"/>
  <c r="ET168" i="9"/>
  <c r="EU168" i="9"/>
  <c r="EV168" i="9"/>
  <c r="EW168" i="9"/>
  <c r="EX168" i="9"/>
  <c r="EY168" i="9"/>
  <c r="EZ168" i="9"/>
  <c r="FA168" i="9"/>
  <c r="FB168" i="9"/>
  <c r="FC168" i="9"/>
  <c r="FD168" i="9"/>
  <c r="FE168" i="9"/>
  <c r="FF168" i="9"/>
  <c r="FG168" i="9"/>
  <c r="FH168" i="9"/>
  <c r="FI168" i="9"/>
  <c r="FJ168" i="9"/>
  <c r="FK168" i="9"/>
  <c r="FL168" i="9"/>
  <c r="FM168" i="9"/>
  <c r="FN168" i="9"/>
  <c r="FO168" i="9"/>
  <c r="FP168" i="9"/>
  <c r="FQ168" i="9"/>
  <c r="FR168" i="9"/>
  <c r="FS168" i="9"/>
  <c r="FT168" i="9"/>
  <c r="FU168" i="9"/>
  <c r="FV168" i="9"/>
  <c r="FW168" i="9"/>
  <c r="FX168" i="9"/>
  <c r="FY168" i="9"/>
  <c r="FZ168" i="9"/>
  <c r="GA168" i="9"/>
  <c r="GB168" i="9"/>
  <c r="GC168" i="9"/>
  <c r="GD168" i="9"/>
  <c r="GE168" i="9"/>
  <c r="GF168" i="9"/>
  <c r="GG168" i="9"/>
  <c r="GH168" i="9"/>
  <c r="GI168" i="9"/>
  <c r="GJ168" i="9"/>
  <c r="GK168" i="9"/>
  <c r="GL168" i="9"/>
  <c r="GM168" i="9"/>
  <c r="GN168" i="9"/>
  <c r="GO168" i="9"/>
  <c r="GP168" i="9"/>
  <c r="GQ168" i="9"/>
  <c r="GR168" i="9"/>
  <c r="GS168" i="9"/>
  <c r="GT168" i="9"/>
  <c r="GU168" i="9"/>
  <c r="GV168" i="9"/>
  <c r="GW168" i="9"/>
  <c r="GX168" i="9"/>
  <c r="GY168" i="9"/>
  <c r="GZ168" i="9"/>
  <c r="HA168" i="9"/>
  <c r="HB168" i="9"/>
  <c r="HC168" i="9"/>
  <c r="HD168" i="9"/>
  <c r="HE168" i="9"/>
  <c r="HF168" i="9"/>
  <c r="HG168" i="9"/>
  <c r="HH168" i="9"/>
  <c r="HI168" i="9"/>
  <c r="HJ168" i="9"/>
  <c r="HK168" i="9"/>
  <c r="HL168" i="9"/>
  <c r="HM168" i="9"/>
  <c r="HN168" i="9"/>
  <c r="HO168" i="9"/>
  <c r="HP168" i="9"/>
  <c r="HQ168" i="9"/>
  <c r="HR168" i="9"/>
  <c r="HS168" i="9"/>
  <c r="HT168" i="9"/>
  <c r="HU168" i="9"/>
  <c r="HV168" i="9"/>
  <c r="HW168" i="9"/>
  <c r="HX168" i="9"/>
  <c r="HY168" i="9"/>
  <c r="HZ168" i="9"/>
  <c r="IA168" i="9"/>
  <c r="IB168" i="9"/>
  <c r="IC168" i="9"/>
  <c r="ID168" i="9"/>
  <c r="IE168" i="9"/>
  <c r="IF168" i="9"/>
  <c r="IG168" i="9"/>
  <c r="IH168" i="9"/>
  <c r="II168" i="9"/>
  <c r="IJ168" i="9"/>
  <c r="IK168" i="9"/>
  <c r="IL168" i="9"/>
  <c r="IM168" i="9"/>
  <c r="IN168" i="9"/>
  <c r="IO168" i="9"/>
  <c r="IP168" i="9"/>
  <c r="IQ168" i="9"/>
  <c r="IR168" i="9"/>
  <c r="IS168" i="9"/>
  <c r="IT168" i="9"/>
  <c r="IU168" i="9"/>
  <c r="IV168" i="9"/>
  <c r="A167" i="9"/>
  <c r="B167" i="9"/>
  <c r="C167" i="9"/>
  <c r="D167" i="9"/>
  <c r="E167" i="9"/>
  <c r="F167" i="9"/>
  <c r="G167" i="9"/>
  <c r="H167" i="9"/>
  <c r="I167" i="9"/>
  <c r="J167" i="9"/>
  <c r="K167" i="9"/>
  <c r="L167" i="9"/>
  <c r="M167" i="9"/>
  <c r="N167" i="9"/>
  <c r="O167" i="9"/>
  <c r="P167" i="9"/>
  <c r="Q167" i="9"/>
  <c r="R167" i="9"/>
  <c r="S167" i="9"/>
  <c r="T167" i="9"/>
  <c r="U167" i="9"/>
  <c r="V167" i="9"/>
  <c r="W167" i="9"/>
  <c r="X167" i="9"/>
  <c r="Y167" i="9"/>
  <c r="Z167" i="9"/>
  <c r="AA167" i="9"/>
  <c r="AB167" i="9"/>
  <c r="AC167" i="9"/>
  <c r="AD167" i="9"/>
  <c r="AE167" i="9"/>
  <c r="AF167" i="9"/>
  <c r="AG167" i="9"/>
  <c r="AH167" i="9"/>
  <c r="AI167" i="9"/>
  <c r="AJ167" i="9"/>
  <c r="AK167" i="9"/>
  <c r="AL167" i="9"/>
  <c r="AM167" i="9"/>
  <c r="AN167" i="9"/>
  <c r="AO167" i="9"/>
  <c r="AP167" i="9"/>
  <c r="AQ167" i="9"/>
  <c r="AR167" i="9"/>
  <c r="AS167" i="9"/>
  <c r="AT167" i="9"/>
  <c r="AU167" i="9"/>
  <c r="AV167" i="9"/>
  <c r="AW167" i="9"/>
  <c r="AX167" i="9"/>
  <c r="AY167" i="9"/>
  <c r="AZ167" i="9"/>
  <c r="BA167" i="9"/>
  <c r="BB167" i="9"/>
  <c r="BC167" i="9"/>
  <c r="BD167" i="9"/>
  <c r="BE167" i="9"/>
  <c r="BF167" i="9"/>
  <c r="BG167" i="9"/>
  <c r="BH167" i="9"/>
  <c r="BI167" i="9"/>
  <c r="BJ167" i="9"/>
  <c r="BK167" i="9"/>
  <c r="BL167" i="9"/>
  <c r="BM167" i="9"/>
  <c r="BN167" i="9"/>
  <c r="BO167" i="9"/>
  <c r="BP167" i="9"/>
  <c r="BQ167" i="9"/>
  <c r="BR167" i="9"/>
  <c r="BS167" i="9"/>
  <c r="BT167" i="9"/>
  <c r="BU167" i="9"/>
  <c r="BV167" i="9"/>
  <c r="BW167" i="9"/>
  <c r="BX167" i="9"/>
  <c r="BY167" i="9"/>
  <c r="BZ167" i="9"/>
  <c r="CA167" i="9"/>
  <c r="CB167" i="9"/>
  <c r="CC167" i="9"/>
  <c r="CD167" i="9"/>
  <c r="CE167" i="9"/>
  <c r="CF167" i="9"/>
  <c r="CG167" i="9"/>
  <c r="CH167" i="9"/>
  <c r="CI167" i="9"/>
  <c r="CJ167" i="9"/>
  <c r="CK167" i="9"/>
  <c r="CL167" i="9"/>
  <c r="CM167" i="9"/>
  <c r="CN167" i="9"/>
  <c r="CO167" i="9"/>
  <c r="CP167" i="9"/>
  <c r="CQ167" i="9"/>
  <c r="CR167" i="9"/>
  <c r="CS167" i="9"/>
  <c r="CT167" i="9"/>
  <c r="CU167" i="9"/>
  <c r="CV167" i="9"/>
  <c r="CW167" i="9"/>
  <c r="CX167" i="9"/>
  <c r="CY167" i="9"/>
  <c r="CZ167" i="9"/>
  <c r="DA167" i="9"/>
  <c r="DB167" i="9"/>
  <c r="DC167" i="9"/>
  <c r="DD167" i="9"/>
  <c r="DE167" i="9"/>
  <c r="DF167" i="9"/>
  <c r="DG167" i="9"/>
  <c r="DH167" i="9"/>
  <c r="DI167" i="9"/>
  <c r="DJ167" i="9"/>
  <c r="DK167" i="9"/>
  <c r="DL167" i="9"/>
  <c r="DM167" i="9"/>
  <c r="DN167" i="9"/>
  <c r="DO167" i="9"/>
  <c r="DP167" i="9"/>
  <c r="DQ167" i="9"/>
  <c r="DR167" i="9"/>
  <c r="DS167" i="9"/>
  <c r="DT167" i="9"/>
  <c r="DU167" i="9"/>
  <c r="DV167" i="9"/>
  <c r="DW167" i="9"/>
  <c r="DX167" i="9"/>
  <c r="DY167" i="9"/>
  <c r="DZ167" i="9"/>
  <c r="EA167" i="9"/>
  <c r="EB167" i="9"/>
  <c r="EC167" i="9"/>
  <c r="ED167" i="9"/>
  <c r="EE167" i="9"/>
  <c r="EF167" i="9"/>
  <c r="EG167" i="9"/>
  <c r="EH167" i="9"/>
  <c r="EI167" i="9"/>
  <c r="EJ167" i="9"/>
  <c r="EK167" i="9"/>
  <c r="EL167" i="9"/>
  <c r="EM167" i="9"/>
  <c r="EN167" i="9"/>
  <c r="EO167" i="9"/>
  <c r="EP167" i="9"/>
  <c r="EQ167" i="9"/>
  <c r="ER167" i="9"/>
  <c r="ES167" i="9"/>
  <c r="ET167" i="9"/>
  <c r="EU167" i="9"/>
  <c r="EV167" i="9"/>
  <c r="EW167" i="9"/>
  <c r="EX167" i="9"/>
  <c r="EY167" i="9"/>
  <c r="EZ167" i="9"/>
  <c r="FA167" i="9"/>
  <c r="FB167" i="9"/>
  <c r="FC167" i="9"/>
  <c r="FD167" i="9"/>
  <c r="FE167" i="9"/>
  <c r="FF167" i="9"/>
  <c r="FG167" i="9"/>
  <c r="FH167" i="9"/>
  <c r="FI167" i="9"/>
  <c r="FJ167" i="9"/>
  <c r="FK167" i="9"/>
  <c r="FL167" i="9"/>
  <c r="FM167" i="9"/>
  <c r="FN167" i="9"/>
  <c r="FO167" i="9"/>
  <c r="FP167" i="9"/>
  <c r="FQ167" i="9"/>
  <c r="FR167" i="9"/>
  <c r="FS167" i="9"/>
  <c r="FT167" i="9"/>
  <c r="FU167" i="9"/>
  <c r="FV167" i="9"/>
  <c r="FW167" i="9"/>
  <c r="FX167" i="9"/>
  <c r="FY167" i="9"/>
  <c r="FZ167" i="9"/>
  <c r="GA167" i="9"/>
  <c r="GB167" i="9"/>
  <c r="GC167" i="9"/>
  <c r="GD167" i="9"/>
  <c r="GE167" i="9"/>
  <c r="GF167" i="9"/>
  <c r="GG167" i="9"/>
  <c r="GH167" i="9"/>
  <c r="GI167" i="9"/>
  <c r="GJ167" i="9"/>
  <c r="GK167" i="9"/>
  <c r="GL167" i="9"/>
  <c r="GM167" i="9"/>
  <c r="GN167" i="9"/>
  <c r="GO167" i="9"/>
  <c r="GP167" i="9"/>
  <c r="GQ167" i="9"/>
  <c r="GR167" i="9"/>
  <c r="GS167" i="9"/>
  <c r="GT167" i="9"/>
  <c r="GU167" i="9"/>
  <c r="GV167" i="9"/>
  <c r="GW167" i="9"/>
  <c r="GX167" i="9"/>
  <c r="GY167" i="9"/>
  <c r="GZ167" i="9"/>
  <c r="HA167" i="9"/>
  <c r="HB167" i="9"/>
  <c r="HC167" i="9"/>
  <c r="HD167" i="9"/>
  <c r="HE167" i="9"/>
  <c r="HF167" i="9"/>
  <c r="HG167" i="9"/>
  <c r="HH167" i="9"/>
  <c r="HI167" i="9"/>
  <c r="HJ167" i="9"/>
  <c r="HK167" i="9"/>
  <c r="HL167" i="9"/>
  <c r="HM167" i="9"/>
  <c r="HN167" i="9"/>
  <c r="HO167" i="9"/>
  <c r="HP167" i="9"/>
  <c r="HQ167" i="9"/>
  <c r="HR167" i="9"/>
  <c r="HS167" i="9"/>
  <c r="HT167" i="9"/>
  <c r="HU167" i="9"/>
  <c r="HV167" i="9"/>
  <c r="HW167" i="9"/>
  <c r="HX167" i="9"/>
  <c r="HY167" i="9"/>
  <c r="HZ167" i="9"/>
  <c r="IA167" i="9"/>
  <c r="IB167" i="9"/>
  <c r="IC167" i="9"/>
  <c r="ID167" i="9"/>
  <c r="IE167" i="9"/>
  <c r="IF167" i="9"/>
  <c r="IG167" i="9"/>
  <c r="IH167" i="9"/>
  <c r="II167" i="9"/>
  <c r="IJ167" i="9"/>
  <c r="IK167" i="9"/>
  <c r="IL167" i="9"/>
  <c r="IM167" i="9"/>
  <c r="IN167" i="9"/>
  <c r="IO167" i="9"/>
  <c r="IP167" i="9"/>
  <c r="IQ167" i="9"/>
  <c r="IR167" i="9"/>
  <c r="IS167" i="9"/>
  <c r="IT167" i="9"/>
  <c r="IU167" i="9"/>
  <c r="IV167" i="9"/>
  <c r="A166" i="9"/>
  <c r="B166" i="9"/>
  <c r="C166" i="9"/>
  <c r="D166" i="9"/>
  <c r="E166" i="9"/>
  <c r="F166" i="9"/>
  <c r="G166" i="9"/>
  <c r="H166" i="9"/>
  <c r="I166" i="9"/>
  <c r="J166" i="9"/>
  <c r="K166" i="9"/>
  <c r="L166" i="9"/>
  <c r="M166" i="9"/>
  <c r="N166" i="9"/>
  <c r="O166" i="9"/>
  <c r="P166" i="9"/>
  <c r="Q166" i="9"/>
  <c r="R166" i="9"/>
  <c r="S166" i="9"/>
  <c r="T166" i="9"/>
  <c r="U166" i="9"/>
  <c r="V166" i="9"/>
  <c r="W166" i="9"/>
  <c r="X166" i="9"/>
  <c r="Y166" i="9"/>
  <c r="Z166" i="9"/>
  <c r="AA166" i="9"/>
  <c r="AB166" i="9"/>
  <c r="AC166" i="9"/>
  <c r="AD166" i="9"/>
  <c r="AE166" i="9"/>
  <c r="AF166" i="9"/>
  <c r="AG166" i="9"/>
  <c r="AH166" i="9"/>
  <c r="AI166" i="9"/>
  <c r="AJ166" i="9"/>
  <c r="AK166" i="9"/>
  <c r="AL166" i="9"/>
  <c r="AM166" i="9"/>
  <c r="AN166" i="9"/>
  <c r="AO166" i="9"/>
  <c r="AP166" i="9"/>
  <c r="AQ166" i="9"/>
  <c r="AR166" i="9"/>
  <c r="AS166" i="9"/>
  <c r="AT166" i="9"/>
  <c r="AU166" i="9"/>
  <c r="AV166" i="9"/>
  <c r="AW166" i="9"/>
  <c r="AX166" i="9"/>
  <c r="AY166" i="9"/>
  <c r="AZ166" i="9"/>
  <c r="BA166" i="9"/>
  <c r="BB166" i="9"/>
  <c r="BC166" i="9"/>
  <c r="BD166" i="9"/>
  <c r="BE166" i="9"/>
  <c r="BF166" i="9"/>
  <c r="BG166" i="9"/>
  <c r="BH166" i="9"/>
  <c r="BI166" i="9"/>
  <c r="BJ166" i="9"/>
  <c r="BK166" i="9"/>
  <c r="BL166" i="9"/>
  <c r="BM166" i="9"/>
  <c r="BN166" i="9"/>
  <c r="BO166" i="9"/>
  <c r="BP166" i="9"/>
  <c r="BQ166" i="9"/>
  <c r="BR166" i="9"/>
  <c r="BS166" i="9"/>
  <c r="BT166" i="9"/>
  <c r="BU166" i="9"/>
  <c r="BV166" i="9"/>
  <c r="BW166" i="9"/>
  <c r="BX166" i="9"/>
  <c r="BY166" i="9"/>
  <c r="BZ166" i="9"/>
  <c r="CA166" i="9"/>
  <c r="CB166" i="9"/>
  <c r="CC166" i="9"/>
  <c r="CD166" i="9"/>
  <c r="CE166" i="9"/>
  <c r="CF166" i="9"/>
  <c r="CG166" i="9"/>
  <c r="CH166" i="9"/>
  <c r="CI166" i="9"/>
  <c r="CJ166" i="9"/>
  <c r="CK166" i="9"/>
  <c r="CL166" i="9"/>
  <c r="CM166" i="9"/>
  <c r="CN166" i="9"/>
  <c r="CO166" i="9"/>
  <c r="CP166" i="9"/>
  <c r="CQ166" i="9"/>
  <c r="CR166" i="9"/>
  <c r="CS166" i="9"/>
  <c r="CT166" i="9"/>
  <c r="CU166" i="9"/>
  <c r="CV166" i="9"/>
  <c r="CW166" i="9"/>
  <c r="CX166" i="9"/>
  <c r="CY166" i="9"/>
  <c r="CZ166" i="9"/>
  <c r="DA166" i="9"/>
  <c r="DB166" i="9"/>
  <c r="DC166" i="9"/>
  <c r="DD166" i="9"/>
  <c r="DE166" i="9"/>
  <c r="DF166" i="9"/>
  <c r="DG166" i="9"/>
  <c r="DH166" i="9"/>
  <c r="DI166" i="9"/>
  <c r="DJ166" i="9"/>
  <c r="DK166" i="9"/>
  <c r="DL166" i="9"/>
  <c r="DM166" i="9"/>
  <c r="DN166" i="9"/>
  <c r="DO166" i="9"/>
  <c r="DP166" i="9"/>
  <c r="DQ166" i="9"/>
  <c r="DR166" i="9"/>
  <c r="DS166" i="9"/>
  <c r="DT166" i="9"/>
  <c r="DU166" i="9"/>
  <c r="DV166" i="9"/>
  <c r="DW166" i="9"/>
  <c r="DX166" i="9"/>
  <c r="DY166" i="9"/>
  <c r="DZ166" i="9"/>
  <c r="EA166" i="9"/>
  <c r="EB166" i="9"/>
  <c r="EC166" i="9"/>
  <c r="ED166" i="9"/>
  <c r="EE166" i="9"/>
  <c r="EF166" i="9"/>
  <c r="EG166" i="9"/>
  <c r="EH166" i="9"/>
  <c r="EI166" i="9"/>
  <c r="EJ166" i="9"/>
  <c r="EK166" i="9"/>
  <c r="EL166" i="9"/>
  <c r="EM166" i="9"/>
  <c r="EN166" i="9"/>
  <c r="EO166" i="9"/>
  <c r="EP166" i="9"/>
  <c r="EQ166" i="9"/>
  <c r="ER166" i="9"/>
  <c r="ES166" i="9"/>
  <c r="ET166" i="9"/>
  <c r="EU166" i="9"/>
  <c r="EV166" i="9"/>
  <c r="EW166" i="9"/>
  <c r="EX166" i="9"/>
  <c r="EY166" i="9"/>
  <c r="EZ166" i="9"/>
  <c r="FA166" i="9"/>
  <c r="FB166" i="9"/>
  <c r="FC166" i="9"/>
  <c r="FD166" i="9"/>
  <c r="FE166" i="9"/>
  <c r="FF166" i="9"/>
  <c r="FG166" i="9"/>
  <c r="FH166" i="9"/>
  <c r="FI166" i="9"/>
  <c r="FJ166" i="9"/>
  <c r="FK166" i="9"/>
  <c r="FL166" i="9"/>
  <c r="FM166" i="9"/>
  <c r="FN166" i="9"/>
  <c r="FO166" i="9"/>
  <c r="FP166" i="9"/>
  <c r="FQ166" i="9"/>
  <c r="FR166" i="9"/>
  <c r="FS166" i="9"/>
  <c r="FT166" i="9"/>
  <c r="FU166" i="9"/>
  <c r="FV166" i="9"/>
  <c r="FW166" i="9"/>
  <c r="FX166" i="9"/>
  <c r="FY166" i="9"/>
  <c r="FZ166" i="9"/>
  <c r="GA166" i="9"/>
  <c r="GB166" i="9"/>
  <c r="GC166" i="9"/>
  <c r="GD166" i="9"/>
  <c r="GE166" i="9"/>
  <c r="GF166" i="9"/>
  <c r="GG166" i="9"/>
  <c r="GH166" i="9"/>
  <c r="GI166" i="9"/>
  <c r="GJ166" i="9"/>
  <c r="GK166" i="9"/>
  <c r="GL166" i="9"/>
  <c r="GM166" i="9"/>
  <c r="GN166" i="9"/>
  <c r="GO166" i="9"/>
  <c r="GP166" i="9"/>
  <c r="GQ166" i="9"/>
  <c r="GR166" i="9"/>
  <c r="GS166" i="9"/>
  <c r="GT166" i="9"/>
  <c r="GU166" i="9"/>
  <c r="GV166" i="9"/>
  <c r="GW166" i="9"/>
  <c r="GX166" i="9"/>
  <c r="GY166" i="9"/>
  <c r="GZ166" i="9"/>
  <c r="HA166" i="9"/>
  <c r="HB166" i="9"/>
  <c r="HC166" i="9"/>
  <c r="HD166" i="9"/>
  <c r="HE166" i="9"/>
  <c r="HF166" i="9"/>
  <c r="HG166" i="9"/>
  <c r="HH166" i="9"/>
  <c r="HI166" i="9"/>
  <c r="HJ166" i="9"/>
  <c r="HK166" i="9"/>
  <c r="HL166" i="9"/>
  <c r="HM166" i="9"/>
  <c r="HN166" i="9"/>
  <c r="HO166" i="9"/>
  <c r="HP166" i="9"/>
  <c r="HQ166" i="9"/>
  <c r="HR166" i="9"/>
  <c r="HS166" i="9"/>
  <c r="HT166" i="9"/>
  <c r="HU166" i="9"/>
  <c r="HV166" i="9"/>
  <c r="HW166" i="9"/>
  <c r="HX166" i="9"/>
  <c r="HY166" i="9"/>
  <c r="HZ166" i="9"/>
  <c r="IA166" i="9"/>
  <c r="IB166" i="9"/>
  <c r="IC166" i="9"/>
  <c r="ID166" i="9"/>
  <c r="IE166" i="9"/>
  <c r="IF166" i="9"/>
  <c r="IG166" i="9"/>
  <c r="IH166" i="9"/>
  <c r="II166" i="9"/>
  <c r="IJ166" i="9"/>
  <c r="IK166" i="9"/>
  <c r="IL166" i="9"/>
  <c r="IM166" i="9"/>
  <c r="IN166" i="9"/>
  <c r="IO166" i="9"/>
  <c r="IP166" i="9"/>
  <c r="IQ166" i="9"/>
  <c r="IR166" i="9"/>
  <c r="IS166" i="9"/>
  <c r="IT166" i="9"/>
  <c r="IU166" i="9"/>
  <c r="IV166" i="9"/>
  <c r="A165" i="9"/>
  <c r="B165" i="9"/>
  <c r="C165" i="9"/>
  <c r="D165" i="9"/>
  <c r="E165" i="9"/>
  <c r="F165" i="9"/>
  <c r="G165" i="9"/>
  <c r="H165" i="9"/>
  <c r="I165" i="9"/>
  <c r="J165" i="9"/>
  <c r="K165" i="9"/>
  <c r="L165" i="9"/>
  <c r="M165" i="9"/>
  <c r="N165" i="9"/>
  <c r="O165" i="9"/>
  <c r="P165" i="9"/>
  <c r="Q165" i="9"/>
  <c r="R165" i="9"/>
  <c r="S165" i="9"/>
  <c r="T165" i="9"/>
  <c r="U165" i="9"/>
  <c r="V165" i="9"/>
  <c r="W165" i="9"/>
  <c r="X165" i="9"/>
  <c r="Y165" i="9"/>
  <c r="Z165" i="9"/>
  <c r="AA165" i="9"/>
  <c r="AB165" i="9"/>
  <c r="AC165" i="9"/>
  <c r="AD165" i="9"/>
  <c r="AE165" i="9"/>
  <c r="AF165" i="9"/>
  <c r="AG165" i="9"/>
  <c r="AH165" i="9"/>
  <c r="AI165" i="9"/>
  <c r="AJ165" i="9"/>
  <c r="AK165" i="9"/>
  <c r="AL165" i="9"/>
  <c r="AM165" i="9"/>
  <c r="AN165" i="9"/>
  <c r="AO165" i="9"/>
  <c r="AP165" i="9"/>
  <c r="AQ165" i="9"/>
  <c r="AR165" i="9"/>
  <c r="AS165" i="9"/>
  <c r="AT165" i="9"/>
  <c r="AU165" i="9"/>
  <c r="AV165" i="9"/>
  <c r="AW165" i="9"/>
  <c r="AX165" i="9"/>
  <c r="AY165" i="9"/>
  <c r="AZ165" i="9"/>
  <c r="BA165" i="9"/>
  <c r="BB165" i="9"/>
  <c r="BC165" i="9"/>
  <c r="BD165" i="9"/>
  <c r="BE165" i="9"/>
  <c r="BF165" i="9"/>
  <c r="BG165" i="9"/>
  <c r="BH165" i="9"/>
  <c r="BI165" i="9"/>
  <c r="BJ165" i="9"/>
  <c r="BK165" i="9"/>
  <c r="BL165" i="9"/>
  <c r="BM165" i="9"/>
  <c r="BN165" i="9"/>
  <c r="BO165" i="9"/>
  <c r="BP165" i="9"/>
  <c r="BQ165" i="9"/>
  <c r="BR165" i="9"/>
  <c r="BS165" i="9"/>
  <c r="BT165" i="9"/>
  <c r="BU165" i="9"/>
  <c r="BV165" i="9"/>
  <c r="BW165" i="9"/>
  <c r="BX165" i="9"/>
  <c r="BY165" i="9"/>
  <c r="BZ165" i="9"/>
  <c r="CA165" i="9"/>
  <c r="CB165" i="9"/>
  <c r="CC165" i="9"/>
  <c r="CD165" i="9"/>
  <c r="CE165" i="9"/>
  <c r="CF165" i="9"/>
  <c r="CG165" i="9"/>
  <c r="CH165" i="9"/>
  <c r="CI165" i="9"/>
  <c r="CJ165" i="9"/>
  <c r="CK165" i="9"/>
  <c r="CL165" i="9"/>
  <c r="CM165" i="9"/>
  <c r="CN165" i="9"/>
  <c r="CO165" i="9"/>
  <c r="CP165" i="9"/>
  <c r="CQ165" i="9"/>
  <c r="CR165" i="9"/>
  <c r="CS165" i="9"/>
  <c r="CT165" i="9"/>
  <c r="CU165" i="9"/>
  <c r="CV165" i="9"/>
  <c r="CW165" i="9"/>
  <c r="CX165" i="9"/>
  <c r="CY165" i="9"/>
  <c r="CZ165" i="9"/>
  <c r="DA165" i="9"/>
  <c r="DB165" i="9"/>
  <c r="DC165" i="9"/>
  <c r="DD165" i="9"/>
  <c r="DE165" i="9"/>
  <c r="DF165" i="9"/>
  <c r="DG165" i="9"/>
  <c r="DH165" i="9"/>
  <c r="DI165" i="9"/>
  <c r="DJ165" i="9"/>
  <c r="DK165" i="9"/>
  <c r="DL165" i="9"/>
  <c r="DM165" i="9"/>
  <c r="DN165" i="9"/>
  <c r="DO165" i="9"/>
  <c r="DP165" i="9"/>
  <c r="DQ165" i="9"/>
  <c r="DR165" i="9"/>
  <c r="DS165" i="9"/>
  <c r="DT165" i="9"/>
  <c r="DU165" i="9"/>
  <c r="DV165" i="9"/>
  <c r="DW165" i="9"/>
  <c r="DX165" i="9"/>
  <c r="DY165" i="9"/>
  <c r="DZ165" i="9"/>
  <c r="EA165" i="9"/>
  <c r="EB165" i="9"/>
  <c r="EC165" i="9"/>
  <c r="ED165" i="9"/>
  <c r="EE165" i="9"/>
  <c r="EF165" i="9"/>
  <c r="EG165" i="9"/>
  <c r="EH165" i="9"/>
  <c r="EI165" i="9"/>
  <c r="EJ165" i="9"/>
  <c r="EK165" i="9"/>
  <c r="EL165" i="9"/>
  <c r="EM165" i="9"/>
  <c r="EN165" i="9"/>
  <c r="EO165" i="9"/>
  <c r="EP165" i="9"/>
  <c r="EQ165" i="9"/>
  <c r="ER165" i="9"/>
  <c r="ES165" i="9"/>
  <c r="ET165" i="9"/>
  <c r="EU165" i="9"/>
  <c r="EV165" i="9"/>
  <c r="EW165" i="9"/>
  <c r="EX165" i="9"/>
  <c r="EY165" i="9"/>
  <c r="EZ165" i="9"/>
  <c r="FA165" i="9"/>
  <c r="FB165" i="9"/>
  <c r="FC165" i="9"/>
  <c r="FD165" i="9"/>
  <c r="FE165" i="9"/>
  <c r="FF165" i="9"/>
  <c r="FG165" i="9"/>
  <c r="FH165" i="9"/>
  <c r="FI165" i="9"/>
  <c r="FJ165" i="9"/>
  <c r="FK165" i="9"/>
  <c r="FL165" i="9"/>
  <c r="FM165" i="9"/>
  <c r="FN165" i="9"/>
  <c r="FO165" i="9"/>
  <c r="FP165" i="9"/>
  <c r="FQ165" i="9"/>
  <c r="FR165" i="9"/>
  <c r="FS165" i="9"/>
  <c r="FT165" i="9"/>
  <c r="FU165" i="9"/>
  <c r="FV165" i="9"/>
  <c r="FW165" i="9"/>
  <c r="FX165" i="9"/>
  <c r="FY165" i="9"/>
  <c r="FZ165" i="9"/>
  <c r="GA165" i="9"/>
  <c r="GB165" i="9"/>
  <c r="GC165" i="9"/>
  <c r="GD165" i="9"/>
  <c r="GE165" i="9"/>
  <c r="GF165" i="9"/>
  <c r="GG165" i="9"/>
  <c r="GH165" i="9"/>
  <c r="GI165" i="9"/>
  <c r="GJ165" i="9"/>
  <c r="GK165" i="9"/>
  <c r="GL165" i="9"/>
  <c r="GM165" i="9"/>
  <c r="GN165" i="9"/>
  <c r="GO165" i="9"/>
  <c r="GP165" i="9"/>
  <c r="GQ165" i="9"/>
  <c r="GR165" i="9"/>
  <c r="GS165" i="9"/>
  <c r="GT165" i="9"/>
  <c r="GU165" i="9"/>
  <c r="GV165" i="9"/>
  <c r="GW165" i="9"/>
  <c r="GX165" i="9"/>
  <c r="GY165" i="9"/>
  <c r="GZ165" i="9"/>
  <c r="HA165" i="9"/>
  <c r="HB165" i="9"/>
  <c r="HC165" i="9"/>
  <c r="HD165" i="9"/>
  <c r="HE165" i="9"/>
  <c r="HF165" i="9"/>
  <c r="HG165" i="9"/>
  <c r="HH165" i="9"/>
  <c r="HI165" i="9"/>
  <c r="HJ165" i="9"/>
  <c r="HK165" i="9"/>
  <c r="HL165" i="9"/>
  <c r="HM165" i="9"/>
  <c r="HN165" i="9"/>
  <c r="HO165" i="9"/>
  <c r="HP165" i="9"/>
  <c r="HQ165" i="9"/>
  <c r="HR165" i="9"/>
  <c r="HS165" i="9"/>
  <c r="HT165" i="9"/>
  <c r="HU165" i="9"/>
  <c r="HV165" i="9"/>
  <c r="HW165" i="9"/>
  <c r="HX165" i="9"/>
  <c r="HY165" i="9"/>
  <c r="HZ165" i="9"/>
  <c r="IA165" i="9"/>
  <c r="IB165" i="9"/>
  <c r="IC165" i="9"/>
  <c r="ID165" i="9"/>
  <c r="IE165" i="9"/>
  <c r="IF165" i="9"/>
  <c r="IG165" i="9"/>
  <c r="IH165" i="9"/>
  <c r="II165" i="9"/>
  <c r="IJ165" i="9"/>
  <c r="IK165" i="9"/>
  <c r="IL165" i="9"/>
  <c r="IM165" i="9"/>
  <c r="IN165" i="9"/>
  <c r="IO165" i="9"/>
  <c r="IP165" i="9"/>
  <c r="IQ165" i="9"/>
  <c r="IR165" i="9"/>
  <c r="IS165" i="9"/>
  <c r="IT165" i="9"/>
  <c r="IU165" i="9"/>
  <c r="IV165" i="9"/>
  <c r="A164" i="9"/>
  <c r="B164" i="9"/>
  <c r="C164" i="9"/>
  <c r="D164" i="9"/>
  <c r="E164" i="9"/>
  <c r="F164" i="9"/>
  <c r="G164" i="9"/>
  <c r="H164" i="9"/>
  <c r="I164" i="9"/>
  <c r="J164" i="9"/>
  <c r="K164" i="9"/>
  <c r="L164" i="9"/>
  <c r="M164" i="9"/>
  <c r="N164" i="9"/>
  <c r="O164" i="9"/>
  <c r="P164" i="9"/>
  <c r="Q164" i="9"/>
  <c r="R164" i="9"/>
  <c r="S164" i="9"/>
  <c r="T164" i="9"/>
  <c r="U164" i="9"/>
  <c r="V164" i="9"/>
  <c r="W164" i="9"/>
  <c r="X164" i="9"/>
  <c r="Y164" i="9"/>
  <c r="Z164" i="9"/>
  <c r="AA164" i="9"/>
  <c r="AB164" i="9"/>
  <c r="AC164" i="9"/>
  <c r="AD164" i="9"/>
  <c r="AE164" i="9"/>
  <c r="AF164" i="9"/>
  <c r="AG164" i="9"/>
  <c r="AH164" i="9"/>
  <c r="AI164" i="9"/>
  <c r="AJ164" i="9"/>
  <c r="AK164" i="9"/>
  <c r="AL164" i="9"/>
  <c r="AM164" i="9"/>
  <c r="AN164" i="9"/>
  <c r="AO164" i="9"/>
  <c r="AP164" i="9"/>
  <c r="AQ164" i="9"/>
  <c r="AR164" i="9"/>
  <c r="AS164" i="9"/>
  <c r="AT164" i="9"/>
  <c r="AU164" i="9"/>
  <c r="AV164" i="9"/>
  <c r="AW164" i="9"/>
  <c r="AX164" i="9"/>
  <c r="AY164" i="9"/>
  <c r="AZ164" i="9"/>
  <c r="BA164" i="9"/>
  <c r="BB164" i="9"/>
  <c r="BC164" i="9"/>
  <c r="BD164" i="9"/>
  <c r="BE164" i="9"/>
  <c r="BF164" i="9"/>
  <c r="BG164" i="9"/>
  <c r="BH164" i="9"/>
  <c r="BI164" i="9"/>
  <c r="BJ164" i="9"/>
  <c r="BK164" i="9"/>
  <c r="BL164" i="9"/>
  <c r="BM164" i="9"/>
  <c r="BN164" i="9"/>
  <c r="BO164" i="9"/>
  <c r="BP164" i="9"/>
  <c r="BQ164" i="9"/>
  <c r="BR164" i="9"/>
  <c r="BS164" i="9"/>
  <c r="BT164" i="9"/>
  <c r="BU164" i="9"/>
  <c r="BV164" i="9"/>
  <c r="BW164" i="9"/>
  <c r="BX164" i="9"/>
  <c r="BY164" i="9"/>
  <c r="BZ164" i="9"/>
  <c r="CA164" i="9"/>
  <c r="CB164" i="9"/>
  <c r="CC164" i="9"/>
  <c r="CD164" i="9"/>
  <c r="CE164" i="9"/>
  <c r="CF164" i="9"/>
  <c r="CG164" i="9"/>
  <c r="CH164" i="9"/>
  <c r="CI164" i="9"/>
  <c r="CJ164" i="9"/>
  <c r="CK164" i="9"/>
  <c r="CL164" i="9"/>
  <c r="CM164" i="9"/>
  <c r="CN164" i="9"/>
  <c r="CO164" i="9"/>
  <c r="CP164" i="9"/>
  <c r="CQ164" i="9"/>
  <c r="CR164" i="9"/>
  <c r="CS164" i="9"/>
  <c r="CT164" i="9"/>
  <c r="CU164" i="9"/>
  <c r="CV164" i="9"/>
  <c r="CW164" i="9"/>
  <c r="CX164" i="9"/>
  <c r="CY164" i="9"/>
  <c r="CZ164" i="9"/>
  <c r="DA164" i="9"/>
  <c r="DB164" i="9"/>
  <c r="DC164" i="9"/>
  <c r="DD164" i="9"/>
  <c r="DE164" i="9"/>
  <c r="DF164" i="9"/>
  <c r="DG164" i="9"/>
  <c r="DH164" i="9"/>
  <c r="DI164" i="9"/>
  <c r="DJ164" i="9"/>
  <c r="DK164" i="9"/>
  <c r="DL164" i="9"/>
  <c r="DM164" i="9"/>
  <c r="DN164" i="9"/>
  <c r="DO164" i="9"/>
  <c r="DP164" i="9"/>
  <c r="DQ164" i="9"/>
  <c r="DR164" i="9"/>
  <c r="DS164" i="9"/>
  <c r="DT164" i="9"/>
  <c r="DU164" i="9"/>
  <c r="DV164" i="9"/>
  <c r="DW164" i="9"/>
  <c r="DX164" i="9"/>
  <c r="DY164" i="9"/>
  <c r="DZ164" i="9"/>
  <c r="EA164" i="9"/>
  <c r="EB164" i="9"/>
  <c r="EC164" i="9"/>
  <c r="ED164" i="9"/>
  <c r="EE164" i="9"/>
  <c r="EF164" i="9"/>
  <c r="EG164" i="9"/>
  <c r="EH164" i="9"/>
  <c r="EI164" i="9"/>
  <c r="EJ164" i="9"/>
  <c r="EK164" i="9"/>
  <c r="EL164" i="9"/>
  <c r="EM164" i="9"/>
  <c r="EN164" i="9"/>
  <c r="EO164" i="9"/>
  <c r="EP164" i="9"/>
  <c r="EQ164" i="9"/>
  <c r="ER164" i="9"/>
  <c r="ES164" i="9"/>
  <c r="ET164" i="9"/>
  <c r="EU164" i="9"/>
  <c r="EV164" i="9"/>
  <c r="EW164" i="9"/>
  <c r="EX164" i="9"/>
  <c r="EY164" i="9"/>
  <c r="EZ164" i="9"/>
  <c r="FA164" i="9"/>
  <c r="FB164" i="9"/>
  <c r="FC164" i="9"/>
  <c r="FD164" i="9"/>
  <c r="FE164" i="9"/>
  <c r="FF164" i="9"/>
  <c r="FG164" i="9"/>
  <c r="FH164" i="9"/>
  <c r="FI164" i="9"/>
  <c r="FJ164" i="9"/>
  <c r="FK164" i="9"/>
  <c r="FL164" i="9"/>
  <c r="FM164" i="9"/>
  <c r="FN164" i="9"/>
  <c r="FO164" i="9"/>
  <c r="FP164" i="9"/>
  <c r="FQ164" i="9"/>
  <c r="FR164" i="9"/>
  <c r="FS164" i="9"/>
  <c r="FT164" i="9"/>
  <c r="FU164" i="9"/>
  <c r="FV164" i="9"/>
  <c r="FW164" i="9"/>
  <c r="FX164" i="9"/>
  <c r="FY164" i="9"/>
  <c r="FZ164" i="9"/>
  <c r="GA164" i="9"/>
  <c r="GB164" i="9"/>
  <c r="GC164" i="9"/>
  <c r="GD164" i="9"/>
  <c r="GE164" i="9"/>
  <c r="GF164" i="9"/>
  <c r="GG164" i="9"/>
  <c r="GH164" i="9"/>
  <c r="GI164" i="9"/>
  <c r="GJ164" i="9"/>
  <c r="GK164" i="9"/>
  <c r="GL164" i="9"/>
  <c r="GM164" i="9"/>
  <c r="GN164" i="9"/>
  <c r="GO164" i="9"/>
  <c r="GP164" i="9"/>
  <c r="GQ164" i="9"/>
  <c r="GR164" i="9"/>
  <c r="GS164" i="9"/>
  <c r="GT164" i="9"/>
  <c r="GU164" i="9"/>
  <c r="GV164" i="9"/>
  <c r="GW164" i="9"/>
  <c r="GX164" i="9"/>
  <c r="GY164" i="9"/>
  <c r="GZ164" i="9"/>
  <c r="HA164" i="9"/>
  <c r="HB164" i="9"/>
  <c r="HC164" i="9"/>
  <c r="HD164" i="9"/>
  <c r="HE164" i="9"/>
  <c r="HF164" i="9"/>
  <c r="HG164" i="9"/>
  <c r="HH164" i="9"/>
  <c r="HI164" i="9"/>
  <c r="HJ164" i="9"/>
  <c r="HK164" i="9"/>
  <c r="HL164" i="9"/>
  <c r="HM164" i="9"/>
  <c r="HN164" i="9"/>
  <c r="HO164" i="9"/>
  <c r="HP164" i="9"/>
  <c r="HQ164" i="9"/>
  <c r="HR164" i="9"/>
  <c r="HS164" i="9"/>
  <c r="HT164" i="9"/>
  <c r="HU164" i="9"/>
  <c r="HV164" i="9"/>
  <c r="HW164" i="9"/>
  <c r="HX164" i="9"/>
  <c r="HY164" i="9"/>
  <c r="HZ164" i="9"/>
  <c r="IA164" i="9"/>
  <c r="IB164" i="9"/>
  <c r="IC164" i="9"/>
  <c r="ID164" i="9"/>
  <c r="IE164" i="9"/>
  <c r="IF164" i="9"/>
  <c r="IG164" i="9"/>
  <c r="IH164" i="9"/>
  <c r="II164" i="9"/>
  <c r="IJ164" i="9"/>
  <c r="IK164" i="9"/>
  <c r="IL164" i="9"/>
  <c r="IM164" i="9"/>
  <c r="IN164" i="9"/>
  <c r="IO164" i="9"/>
  <c r="IP164" i="9"/>
  <c r="IQ164" i="9"/>
  <c r="IR164" i="9"/>
  <c r="IS164" i="9"/>
  <c r="IT164" i="9"/>
  <c r="IU164" i="9"/>
  <c r="IV164" i="9"/>
  <c r="A163" i="9"/>
  <c r="B163" i="9"/>
  <c r="C163" i="9"/>
  <c r="D163" i="9"/>
  <c r="E163" i="9"/>
  <c r="F163" i="9"/>
  <c r="G163" i="9"/>
  <c r="H163" i="9"/>
  <c r="I163" i="9"/>
  <c r="J163" i="9"/>
  <c r="K163" i="9"/>
  <c r="L163" i="9"/>
  <c r="M163" i="9"/>
  <c r="N163" i="9"/>
  <c r="O163" i="9"/>
  <c r="P163" i="9"/>
  <c r="Q163" i="9"/>
  <c r="R163" i="9"/>
  <c r="S163" i="9"/>
  <c r="T163" i="9"/>
  <c r="U163" i="9"/>
  <c r="V163" i="9"/>
  <c r="W163" i="9"/>
  <c r="X163" i="9"/>
  <c r="Y163" i="9"/>
  <c r="Z163" i="9"/>
  <c r="AA163" i="9"/>
  <c r="AB163" i="9"/>
  <c r="AC163" i="9"/>
  <c r="AD163" i="9"/>
  <c r="AE163" i="9"/>
  <c r="AF163" i="9"/>
  <c r="AG163" i="9"/>
  <c r="AH163" i="9"/>
  <c r="AI163" i="9"/>
  <c r="AJ163" i="9"/>
  <c r="AK163" i="9"/>
  <c r="AL163" i="9"/>
  <c r="AM163" i="9"/>
  <c r="AN163" i="9"/>
  <c r="AO163" i="9"/>
  <c r="AP163" i="9"/>
  <c r="AQ163" i="9"/>
  <c r="AR163" i="9"/>
  <c r="AS163" i="9"/>
  <c r="AT163" i="9"/>
  <c r="AU163" i="9"/>
  <c r="AV163" i="9"/>
  <c r="AW163" i="9"/>
  <c r="AX163" i="9"/>
  <c r="AY163" i="9"/>
  <c r="AZ163" i="9"/>
  <c r="BA163" i="9"/>
  <c r="BB163" i="9"/>
  <c r="BC163" i="9"/>
  <c r="BD163" i="9"/>
  <c r="BE163" i="9"/>
  <c r="BF163" i="9"/>
  <c r="BG163" i="9"/>
  <c r="BH163" i="9"/>
  <c r="BI163" i="9"/>
  <c r="BJ163" i="9"/>
  <c r="BK163" i="9"/>
  <c r="BL163" i="9"/>
  <c r="BM163" i="9"/>
  <c r="BN163" i="9"/>
  <c r="BO163" i="9"/>
  <c r="BP163" i="9"/>
  <c r="BQ163" i="9"/>
  <c r="BR163" i="9"/>
  <c r="BS163" i="9"/>
  <c r="BT163" i="9"/>
  <c r="BU163" i="9"/>
  <c r="BV163" i="9"/>
  <c r="BW163" i="9"/>
  <c r="BX163" i="9"/>
  <c r="BY163" i="9"/>
  <c r="BZ163" i="9"/>
  <c r="CA163" i="9"/>
  <c r="CB163" i="9"/>
  <c r="CC163" i="9"/>
  <c r="CD163" i="9"/>
  <c r="CE163" i="9"/>
  <c r="CF163" i="9"/>
  <c r="CG163" i="9"/>
  <c r="CH163" i="9"/>
  <c r="CI163" i="9"/>
  <c r="CJ163" i="9"/>
  <c r="CK163" i="9"/>
  <c r="CL163" i="9"/>
  <c r="CM163" i="9"/>
  <c r="CN163" i="9"/>
  <c r="CO163" i="9"/>
  <c r="CP163" i="9"/>
  <c r="CQ163" i="9"/>
  <c r="CR163" i="9"/>
  <c r="CS163" i="9"/>
  <c r="CT163" i="9"/>
  <c r="CU163" i="9"/>
  <c r="CV163" i="9"/>
  <c r="CW163" i="9"/>
  <c r="CX163" i="9"/>
  <c r="CY163" i="9"/>
  <c r="CZ163" i="9"/>
  <c r="DA163" i="9"/>
  <c r="DB163" i="9"/>
  <c r="DC163" i="9"/>
  <c r="DD163" i="9"/>
  <c r="DE163" i="9"/>
  <c r="DF163" i="9"/>
  <c r="DG163" i="9"/>
  <c r="DH163" i="9"/>
  <c r="DI163" i="9"/>
  <c r="DJ163" i="9"/>
  <c r="DK163" i="9"/>
  <c r="DL163" i="9"/>
  <c r="DM163" i="9"/>
  <c r="DN163" i="9"/>
  <c r="DO163" i="9"/>
  <c r="DP163" i="9"/>
  <c r="DQ163" i="9"/>
  <c r="DR163" i="9"/>
  <c r="DS163" i="9"/>
  <c r="DT163" i="9"/>
  <c r="DU163" i="9"/>
  <c r="DV163" i="9"/>
  <c r="DW163" i="9"/>
  <c r="DX163" i="9"/>
  <c r="DY163" i="9"/>
  <c r="DZ163" i="9"/>
  <c r="EA163" i="9"/>
  <c r="EB163" i="9"/>
  <c r="EC163" i="9"/>
  <c r="ED163" i="9"/>
  <c r="EE163" i="9"/>
  <c r="EF163" i="9"/>
  <c r="EG163" i="9"/>
  <c r="EH163" i="9"/>
  <c r="EI163" i="9"/>
  <c r="EJ163" i="9"/>
  <c r="EK163" i="9"/>
  <c r="EL163" i="9"/>
  <c r="EM163" i="9"/>
  <c r="EN163" i="9"/>
  <c r="EO163" i="9"/>
  <c r="EP163" i="9"/>
  <c r="EQ163" i="9"/>
  <c r="ER163" i="9"/>
  <c r="ES163" i="9"/>
  <c r="ET163" i="9"/>
  <c r="EU163" i="9"/>
  <c r="EV163" i="9"/>
  <c r="EW163" i="9"/>
  <c r="EX163" i="9"/>
  <c r="EY163" i="9"/>
  <c r="EZ163" i="9"/>
  <c r="FA163" i="9"/>
  <c r="FB163" i="9"/>
  <c r="FC163" i="9"/>
  <c r="FD163" i="9"/>
  <c r="FE163" i="9"/>
  <c r="FF163" i="9"/>
  <c r="FG163" i="9"/>
  <c r="FH163" i="9"/>
  <c r="FI163" i="9"/>
  <c r="FJ163" i="9"/>
  <c r="FK163" i="9"/>
  <c r="FL163" i="9"/>
  <c r="FM163" i="9"/>
  <c r="FN163" i="9"/>
  <c r="FO163" i="9"/>
  <c r="FP163" i="9"/>
  <c r="FQ163" i="9"/>
  <c r="FR163" i="9"/>
  <c r="FS163" i="9"/>
  <c r="FT163" i="9"/>
  <c r="FU163" i="9"/>
  <c r="FV163" i="9"/>
  <c r="FW163" i="9"/>
  <c r="FX163" i="9"/>
  <c r="FY163" i="9"/>
  <c r="FZ163" i="9"/>
  <c r="GA163" i="9"/>
  <c r="GB163" i="9"/>
  <c r="GC163" i="9"/>
  <c r="GD163" i="9"/>
  <c r="GE163" i="9"/>
  <c r="GF163" i="9"/>
  <c r="GG163" i="9"/>
  <c r="GH163" i="9"/>
  <c r="GI163" i="9"/>
  <c r="GJ163" i="9"/>
  <c r="GK163" i="9"/>
  <c r="GL163" i="9"/>
  <c r="GM163" i="9"/>
  <c r="GN163" i="9"/>
  <c r="GO163" i="9"/>
  <c r="GP163" i="9"/>
  <c r="GQ163" i="9"/>
  <c r="GR163" i="9"/>
  <c r="GS163" i="9"/>
  <c r="GT163" i="9"/>
  <c r="GU163" i="9"/>
  <c r="GV163" i="9"/>
  <c r="GW163" i="9"/>
  <c r="GX163" i="9"/>
  <c r="GY163" i="9"/>
  <c r="GZ163" i="9"/>
  <c r="HA163" i="9"/>
  <c r="HB163" i="9"/>
  <c r="HC163" i="9"/>
  <c r="HD163" i="9"/>
  <c r="HE163" i="9"/>
  <c r="HF163" i="9"/>
  <c r="HG163" i="9"/>
  <c r="HH163" i="9"/>
  <c r="HI163" i="9"/>
  <c r="HJ163" i="9"/>
  <c r="HK163" i="9"/>
  <c r="HL163" i="9"/>
  <c r="HM163" i="9"/>
  <c r="HN163" i="9"/>
  <c r="HO163" i="9"/>
  <c r="HP163" i="9"/>
  <c r="HQ163" i="9"/>
  <c r="HR163" i="9"/>
  <c r="HS163" i="9"/>
  <c r="HT163" i="9"/>
  <c r="HU163" i="9"/>
  <c r="HV163" i="9"/>
  <c r="HW163" i="9"/>
  <c r="HX163" i="9"/>
  <c r="HY163" i="9"/>
  <c r="HZ163" i="9"/>
  <c r="IA163" i="9"/>
  <c r="IB163" i="9"/>
  <c r="IC163" i="9"/>
  <c r="ID163" i="9"/>
  <c r="IE163" i="9"/>
  <c r="IF163" i="9"/>
  <c r="IG163" i="9"/>
  <c r="IH163" i="9"/>
  <c r="II163" i="9"/>
  <c r="IJ163" i="9"/>
  <c r="IK163" i="9"/>
  <c r="IL163" i="9"/>
  <c r="IM163" i="9"/>
  <c r="IN163" i="9"/>
  <c r="IO163" i="9"/>
  <c r="IP163" i="9"/>
  <c r="IQ163" i="9"/>
  <c r="IR163" i="9"/>
  <c r="IS163" i="9"/>
  <c r="IT163" i="9"/>
  <c r="IU163" i="9"/>
  <c r="IV163" i="9"/>
  <c r="A162" i="9"/>
  <c r="B162" i="9"/>
  <c r="C162" i="9"/>
  <c r="D162" i="9"/>
  <c r="E162" i="9"/>
  <c r="F162" i="9"/>
  <c r="G162" i="9"/>
  <c r="H162" i="9"/>
  <c r="I162" i="9"/>
  <c r="J162" i="9"/>
  <c r="K162" i="9"/>
  <c r="L162" i="9"/>
  <c r="M162" i="9"/>
  <c r="N162" i="9"/>
  <c r="O162" i="9"/>
  <c r="P162" i="9"/>
  <c r="Q162" i="9"/>
  <c r="R162" i="9"/>
  <c r="S162" i="9"/>
  <c r="T162" i="9"/>
  <c r="U162" i="9"/>
  <c r="V162" i="9"/>
  <c r="W162" i="9"/>
  <c r="X162" i="9"/>
  <c r="Y162" i="9"/>
  <c r="Z162" i="9"/>
  <c r="AA162" i="9"/>
  <c r="AB162" i="9"/>
  <c r="AC162" i="9"/>
  <c r="AD162" i="9"/>
  <c r="AE162" i="9"/>
  <c r="AF162" i="9"/>
  <c r="AG162" i="9"/>
  <c r="AH162" i="9"/>
  <c r="AI162" i="9"/>
  <c r="AJ162" i="9"/>
  <c r="AK162" i="9"/>
  <c r="AL162" i="9"/>
  <c r="AM162" i="9"/>
  <c r="AN162" i="9"/>
  <c r="AO162" i="9"/>
  <c r="AP162" i="9"/>
  <c r="AQ162" i="9"/>
  <c r="AR162" i="9"/>
  <c r="AS162" i="9"/>
  <c r="AT162" i="9"/>
  <c r="AU162" i="9"/>
  <c r="AV162" i="9"/>
  <c r="AW162" i="9"/>
  <c r="AX162" i="9"/>
  <c r="AY162" i="9"/>
  <c r="AZ162" i="9"/>
  <c r="BA162" i="9"/>
  <c r="BB162" i="9"/>
  <c r="BC162" i="9"/>
  <c r="BD162" i="9"/>
  <c r="BE162" i="9"/>
  <c r="BF162" i="9"/>
  <c r="BG162" i="9"/>
  <c r="BH162" i="9"/>
  <c r="BI162" i="9"/>
  <c r="BJ162" i="9"/>
  <c r="BK162" i="9"/>
  <c r="BL162" i="9"/>
  <c r="BM162" i="9"/>
  <c r="BN162" i="9"/>
  <c r="BO162" i="9"/>
  <c r="BP162" i="9"/>
  <c r="BQ162" i="9"/>
  <c r="BR162" i="9"/>
  <c r="BS162" i="9"/>
  <c r="BT162" i="9"/>
  <c r="BU162" i="9"/>
  <c r="BV162" i="9"/>
  <c r="BW162" i="9"/>
  <c r="BX162" i="9"/>
  <c r="BY162" i="9"/>
  <c r="BZ162" i="9"/>
  <c r="CA162" i="9"/>
  <c r="CB162" i="9"/>
  <c r="CC162" i="9"/>
  <c r="CD162" i="9"/>
  <c r="CE162" i="9"/>
  <c r="CF162" i="9"/>
  <c r="CG162" i="9"/>
  <c r="CH162" i="9"/>
  <c r="CI162" i="9"/>
  <c r="CJ162" i="9"/>
  <c r="CK162" i="9"/>
  <c r="CL162" i="9"/>
  <c r="CM162" i="9"/>
  <c r="CN162" i="9"/>
  <c r="CO162" i="9"/>
  <c r="CP162" i="9"/>
  <c r="CQ162" i="9"/>
  <c r="CR162" i="9"/>
  <c r="CS162" i="9"/>
  <c r="CT162" i="9"/>
  <c r="CU162" i="9"/>
  <c r="CV162" i="9"/>
  <c r="CW162" i="9"/>
  <c r="CX162" i="9"/>
  <c r="CY162" i="9"/>
  <c r="CZ162" i="9"/>
  <c r="DA162" i="9"/>
  <c r="DB162" i="9"/>
  <c r="DC162" i="9"/>
  <c r="DD162" i="9"/>
  <c r="DE162" i="9"/>
  <c r="DF162" i="9"/>
  <c r="DG162" i="9"/>
  <c r="DH162" i="9"/>
  <c r="DI162" i="9"/>
  <c r="DJ162" i="9"/>
  <c r="DK162" i="9"/>
  <c r="DL162" i="9"/>
  <c r="DM162" i="9"/>
  <c r="DN162" i="9"/>
  <c r="DO162" i="9"/>
  <c r="DP162" i="9"/>
  <c r="DQ162" i="9"/>
  <c r="DR162" i="9"/>
  <c r="DS162" i="9"/>
  <c r="DT162" i="9"/>
  <c r="DU162" i="9"/>
  <c r="DV162" i="9"/>
  <c r="DW162" i="9"/>
  <c r="DX162" i="9"/>
  <c r="DY162" i="9"/>
  <c r="DZ162" i="9"/>
  <c r="EA162" i="9"/>
  <c r="EB162" i="9"/>
  <c r="EC162" i="9"/>
  <c r="ED162" i="9"/>
  <c r="EE162" i="9"/>
  <c r="EF162" i="9"/>
  <c r="EG162" i="9"/>
  <c r="EH162" i="9"/>
  <c r="EI162" i="9"/>
  <c r="EJ162" i="9"/>
  <c r="EK162" i="9"/>
  <c r="EL162" i="9"/>
  <c r="EM162" i="9"/>
  <c r="EN162" i="9"/>
  <c r="EO162" i="9"/>
  <c r="EP162" i="9"/>
  <c r="EQ162" i="9"/>
  <c r="ER162" i="9"/>
  <c r="ES162" i="9"/>
  <c r="ET162" i="9"/>
  <c r="EU162" i="9"/>
  <c r="EV162" i="9"/>
  <c r="EW162" i="9"/>
  <c r="EX162" i="9"/>
  <c r="EY162" i="9"/>
  <c r="EZ162" i="9"/>
  <c r="FA162" i="9"/>
  <c r="FB162" i="9"/>
  <c r="FC162" i="9"/>
  <c r="FD162" i="9"/>
  <c r="FE162" i="9"/>
  <c r="FF162" i="9"/>
  <c r="FG162" i="9"/>
  <c r="FH162" i="9"/>
  <c r="FI162" i="9"/>
  <c r="FJ162" i="9"/>
  <c r="FK162" i="9"/>
  <c r="FL162" i="9"/>
  <c r="FM162" i="9"/>
  <c r="FN162" i="9"/>
  <c r="FO162" i="9"/>
  <c r="FP162" i="9"/>
  <c r="FQ162" i="9"/>
  <c r="FR162" i="9"/>
  <c r="FS162" i="9"/>
  <c r="FT162" i="9"/>
  <c r="FU162" i="9"/>
  <c r="FV162" i="9"/>
  <c r="FW162" i="9"/>
  <c r="FX162" i="9"/>
  <c r="FY162" i="9"/>
  <c r="FZ162" i="9"/>
  <c r="GA162" i="9"/>
  <c r="GB162" i="9"/>
  <c r="GC162" i="9"/>
  <c r="GD162" i="9"/>
  <c r="GE162" i="9"/>
  <c r="GF162" i="9"/>
  <c r="GG162" i="9"/>
  <c r="GH162" i="9"/>
  <c r="GI162" i="9"/>
  <c r="GJ162" i="9"/>
  <c r="GK162" i="9"/>
  <c r="GL162" i="9"/>
  <c r="GM162" i="9"/>
  <c r="GN162" i="9"/>
  <c r="GO162" i="9"/>
  <c r="GP162" i="9"/>
  <c r="GQ162" i="9"/>
  <c r="GR162" i="9"/>
  <c r="GS162" i="9"/>
  <c r="GT162" i="9"/>
  <c r="GU162" i="9"/>
  <c r="GV162" i="9"/>
  <c r="GW162" i="9"/>
  <c r="GX162" i="9"/>
  <c r="GY162" i="9"/>
  <c r="GZ162" i="9"/>
  <c r="HA162" i="9"/>
  <c r="HB162" i="9"/>
  <c r="HC162" i="9"/>
  <c r="HD162" i="9"/>
  <c r="HE162" i="9"/>
  <c r="HF162" i="9"/>
  <c r="HG162" i="9"/>
  <c r="HH162" i="9"/>
  <c r="HI162" i="9"/>
  <c r="HJ162" i="9"/>
  <c r="HK162" i="9"/>
  <c r="HL162" i="9"/>
  <c r="HM162" i="9"/>
  <c r="HN162" i="9"/>
  <c r="HO162" i="9"/>
  <c r="HP162" i="9"/>
  <c r="HQ162" i="9"/>
  <c r="HR162" i="9"/>
  <c r="HS162" i="9"/>
  <c r="HT162" i="9"/>
  <c r="HU162" i="9"/>
  <c r="HV162" i="9"/>
  <c r="HW162" i="9"/>
  <c r="HX162" i="9"/>
  <c r="HY162" i="9"/>
  <c r="HZ162" i="9"/>
  <c r="IA162" i="9"/>
  <c r="IB162" i="9"/>
  <c r="IC162" i="9"/>
  <c r="ID162" i="9"/>
  <c r="IE162" i="9"/>
  <c r="IF162" i="9"/>
  <c r="IG162" i="9"/>
  <c r="IH162" i="9"/>
  <c r="II162" i="9"/>
  <c r="IJ162" i="9"/>
  <c r="IK162" i="9"/>
  <c r="IL162" i="9"/>
  <c r="IM162" i="9"/>
  <c r="IN162" i="9"/>
  <c r="IO162" i="9"/>
  <c r="IP162" i="9"/>
  <c r="IQ162" i="9"/>
  <c r="IR162" i="9"/>
  <c r="IS162" i="9"/>
  <c r="IT162" i="9"/>
  <c r="IU162" i="9"/>
  <c r="IV162" i="9"/>
  <c r="A161" i="9"/>
  <c r="B161" i="9"/>
  <c r="C161" i="9"/>
  <c r="D161" i="9"/>
  <c r="E161" i="9"/>
  <c r="F161" i="9"/>
  <c r="G161" i="9"/>
  <c r="H161" i="9"/>
  <c r="I161" i="9"/>
  <c r="J161" i="9"/>
  <c r="K161" i="9"/>
  <c r="L161" i="9"/>
  <c r="M161" i="9"/>
  <c r="N161" i="9"/>
  <c r="O161" i="9"/>
  <c r="P161" i="9"/>
  <c r="Q161" i="9"/>
  <c r="R161" i="9"/>
  <c r="S161" i="9"/>
  <c r="T161" i="9"/>
  <c r="U161" i="9"/>
  <c r="V161" i="9"/>
  <c r="W161" i="9"/>
  <c r="X161" i="9"/>
  <c r="Y161" i="9"/>
  <c r="Z161" i="9"/>
  <c r="AA161" i="9"/>
  <c r="AB161" i="9"/>
  <c r="AC161" i="9"/>
  <c r="AD161" i="9"/>
  <c r="AE161" i="9"/>
  <c r="AF161" i="9"/>
  <c r="AG161" i="9"/>
  <c r="AH161" i="9"/>
  <c r="AI161" i="9"/>
  <c r="AJ161" i="9"/>
  <c r="AK161" i="9"/>
  <c r="AL161" i="9"/>
  <c r="AM161" i="9"/>
  <c r="AN161" i="9"/>
  <c r="AO161" i="9"/>
  <c r="AP161" i="9"/>
  <c r="AQ161" i="9"/>
  <c r="AR161" i="9"/>
  <c r="AS161" i="9"/>
  <c r="AT161" i="9"/>
  <c r="AU161" i="9"/>
  <c r="AV161" i="9"/>
  <c r="AW161" i="9"/>
  <c r="AX161" i="9"/>
  <c r="AY161" i="9"/>
  <c r="AZ161" i="9"/>
  <c r="BA161" i="9"/>
  <c r="BB161" i="9"/>
  <c r="BC161" i="9"/>
  <c r="BD161" i="9"/>
  <c r="BE161" i="9"/>
  <c r="BF161" i="9"/>
  <c r="BG161" i="9"/>
  <c r="BH161" i="9"/>
  <c r="BI161" i="9"/>
  <c r="BJ161" i="9"/>
  <c r="BK161" i="9"/>
  <c r="BL161" i="9"/>
  <c r="BM161" i="9"/>
  <c r="BN161" i="9"/>
  <c r="BO161" i="9"/>
  <c r="BP161" i="9"/>
  <c r="BQ161" i="9"/>
  <c r="BR161" i="9"/>
  <c r="BS161" i="9"/>
  <c r="BT161" i="9"/>
  <c r="BU161" i="9"/>
  <c r="BV161" i="9"/>
  <c r="BW161" i="9"/>
  <c r="BX161" i="9"/>
  <c r="BY161" i="9"/>
  <c r="BZ161" i="9"/>
  <c r="CA161" i="9"/>
  <c r="CB161" i="9"/>
  <c r="CC161" i="9"/>
  <c r="CD161" i="9"/>
  <c r="CE161" i="9"/>
  <c r="CF161" i="9"/>
  <c r="CG161" i="9"/>
  <c r="CH161" i="9"/>
  <c r="CI161" i="9"/>
  <c r="CJ161" i="9"/>
  <c r="CK161" i="9"/>
  <c r="CL161" i="9"/>
  <c r="CM161" i="9"/>
  <c r="CN161" i="9"/>
  <c r="CO161" i="9"/>
  <c r="CP161" i="9"/>
  <c r="CQ161" i="9"/>
  <c r="CR161" i="9"/>
  <c r="CS161" i="9"/>
  <c r="CT161" i="9"/>
  <c r="CU161" i="9"/>
  <c r="CV161" i="9"/>
  <c r="CW161" i="9"/>
  <c r="CX161" i="9"/>
  <c r="CY161" i="9"/>
  <c r="CZ161" i="9"/>
  <c r="DA161" i="9"/>
  <c r="DB161" i="9"/>
  <c r="DC161" i="9"/>
  <c r="DD161" i="9"/>
  <c r="DE161" i="9"/>
  <c r="DF161" i="9"/>
  <c r="DG161" i="9"/>
  <c r="DH161" i="9"/>
  <c r="DI161" i="9"/>
  <c r="DJ161" i="9"/>
  <c r="DK161" i="9"/>
  <c r="DL161" i="9"/>
  <c r="DM161" i="9"/>
  <c r="DN161" i="9"/>
  <c r="DO161" i="9"/>
  <c r="DP161" i="9"/>
  <c r="DQ161" i="9"/>
  <c r="DR161" i="9"/>
  <c r="DS161" i="9"/>
  <c r="DT161" i="9"/>
  <c r="DU161" i="9"/>
  <c r="DV161" i="9"/>
  <c r="DW161" i="9"/>
  <c r="DX161" i="9"/>
  <c r="DY161" i="9"/>
  <c r="DZ161" i="9"/>
  <c r="EA161" i="9"/>
  <c r="EB161" i="9"/>
  <c r="EC161" i="9"/>
  <c r="ED161" i="9"/>
  <c r="EE161" i="9"/>
  <c r="EF161" i="9"/>
  <c r="EG161" i="9"/>
  <c r="EH161" i="9"/>
  <c r="EI161" i="9"/>
  <c r="EJ161" i="9"/>
  <c r="EK161" i="9"/>
  <c r="EL161" i="9"/>
  <c r="EM161" i="9"/>
  <c r="EN161" i="9"/>
  <c r="EO161" i="9"/>
  <c r="EP161" i="9"/>
  <c r="EQ161" i="9"/>
  <c r="ER161" i="9"/>
  <c r="ES161" i="9"/>
  <c r="ET161" i="9"/>
  <c r="EU161" i="9"/>
  <c r="EV161" i="9"/>
  <c r="EW161" i="9"/>
  <c r="EX161" i="9"/>
  <c r="EY161" i="9"/>
  <c r="EZ161" i="9"/>
  <c r="FA161" i="9"/>
  <c r="FB161" i="9"/>
  <c r="FC161" i="9"/>
  <c r="FD161" i="9"/>
  <c r="FE161" i="9"/>
  <c r="FF161" i="9"/>
  <c r="FG161" i="9"/>
  <c r="FH161" i="9"/>
  <c r="FI161" i="9"/>
  <c r="FJ161" i="9"/>
  <c r="FK161" i="9"/>
  <c r="FL161" i="9"/>
  <c r="FM161" i="9"/>
  <c r="FN161" i="9"/>
  <c r="FO161" i="9"/>
  <c r="FP161" i="9"/>
  <c r="FQ161" i="9"/>
  <c r="FR161" i="9"/>
  <c r="FS161" i="9"/>
  <c r="FT161" i="9"/>
  <c r="FU161" i="9"/>
  <c r="FV161" i="9"/>
  <c r="FW161" i="9"/>
  <c r="FX161" i="9"/>
  <c r="FY161" i="9"/>
  <c r="FZ161" i="9"/>
  <c r="GA161" i="9"/>
  <c r="GB161" i="9"/>
  <c r="GC161" i="9"/>
  <c r="GD161" i="9"/>
  <c r="GE161" i="9"/>
  <c r="GF161" i="9"/>
  <c r="GG161" i="9"/>
  <c r="GH161" i="9"/>
  <c r="GI161" i="9"/>
  <c r="GJ161" i="9"/>
  <c r="GK161" i="9"/>
  <c r="GL161" i="9"/>
  <c r="GM161" i="9"/>
  <c r="GN161" i="9"/>
  <c r="GO161" i="9"/>
  <c r="GP161" i="9"/>
  <c r="GQ161" i="9"/>
  <c r="GR161" i="9"/>
  <c r="GS161" i="9"/>
  <c r="GT161" i="9"/>
  <c r="GU161" i="9"/>
  <c r="GV161" i="9"/>
  <c r="GW161" i="9"/>
  <c r="GX161" i="9"/>
  <c r="GY161" i="9"/>
  <c r="GZ161" i="9"/>
  <c r="HA161" i="9"/>
  <c r="HB161" i="9"/>
  <c r="HC161" i="9"/>
  <c r="HD161" i="9"/>
  <c r="HE161" i="9"/>
  <c r="HF161" i="9"/>
  <c r="HG161" i="9"/>
  <c r="HH161" i="9"/>
  <c r="HI161" i="9"/>
  <c r="HJ161" i="9"/>
  <c r="HK161" i="9"/>
  <c r="HL161" i="9"/>
  <c r="HM161" i="9"/>
  <c r="HN161" i="9"/>
  <c r="HO161" i="9"/>
  <c r="HP161" i="9"/>
  <c r="HQ161" i="9"/>
  <c r="HR161" i="9"/>
  <c r="HS161" i="9"/>
  <c r="HT161" i="9"/>
  <c r="HU161" i="9"/>
  <c r="HV161" i="9"/>
  <c r="HW161" i="9"/>
  <c r="HX161" i="9"/>
  <c r="HY161" i="9"/>
  <c r="HZ161" i="9"/>
  <c r="IA161" i="9"/>
  <c r="IB161" i="9"/>
  <c r="IC161" i="9"/>
  <c r="ID161" i="9"/>
  <c r="IE161" i="9"/>
  <c r="IF161" i="9"/>
  <c r="IG161" i="9"/>
  <c r="IH161" i="9"/>
  <c r="II161" i="9"/>
  <c r="IJ161" i="9"/>
  <c r="IK161" i="9"/>
  <c r="IL161" i="9"/>
  <c r="IM161" i="9"/>
  <c r="IN161" i="9"/>
  <c r="IO161" i="9"/>
  <c r="IP161" i="9"/>
  <c r="IQ161" i="9"/>
  <c r="IR161" i="9"/>
  <c r="IS161" i="9"/>
  <c r="IT161" i="9"/>
  <c r="IU161" i="9"/>
  <c r="IV161" i="9"/>
  <c r="A160" i="9"/>
  <c r="B160" i="9"/>
  <c r="C160" i="9"/>
  <c r="D160" i="9"/>
  <c r="E160" i="9"/>
  <c r="F160" i="9"/>
  <c r="G160" i="9"/>
  <c r="H160" i="9"/>
  <c r="I160" i="9"/>
  <c r="J160" i="9"/>
  <c r="K160" i="9"/>
  <c r="L160" i="9"/>
  <c r="M160" i="9"/>
  <c r="N160" i="9"/>
  <c r="O160" i="9"/>
  <c r="P160" i="9"/>
  <c r="Q160" i="9"/>
  <c r="R160" i="9"/>
  <c r="S160" i="9"/>
  <c r="T160" i="9"/>
  <c r="U160" i="9"/>
  <c r="V160" i="9"/>
  <c r="W160" i="9"/>
  <c r="X160" i="9"/>
  <c r="Y160" i="9"/>
  <c r="Z160" i="9"/>
  <c r="AA160" i="9"/>
  <c r="AB160" i="9"/>
  <c r="AC160" i="9"/>
  <c r="AD160" i="9"/>
  <c r="AE160" i="9"/>
  <c r="AF160" i="9"/>
  <c r="AG160" i="9"/>
  <c r="AH160" i="9"/>
  <c r="AI160" i="9"/>
  <c r="AJ160" i="9"/>
  <c r="AK160" i="9"/>
  <c r="AL160" i="9"/>
  <c r="AM160" i="9"/>
  <c r="AN160" i="9"/>
  <c r="AO160" i="9"/>
  <c r="AP160" i="9"/>
  <c r="AQ160" i="9"/>
  <c r="AR160" i="9"/>
  <c r="AS160" i="9"/>
  <c r="AT160" i="9"/>
  <c r="AU160" i="9"/>
  <c r="AV160" i="9"/>
  <c r="AW160" i="9"/>
  <c r="AX160" i="9"/>
  <c r="AY160" i="9"/>
  <c r="AZ160" i="9"/>
  <c r="BA160" i="9"/>
  <c r="BB160" i="9"/>
  <c r="BC160" i="9"/>
  <c r="BD160" i="9"/>
  <c r="BE160" i="9"/>
  <c r="BF160" i="9"/>
  <c r="BG160" i="9"/>
  <c r="BH160" i="9"/>
  <c r="BI160" i="9"/>
  <c r="BJ160" i="9"/>
  <c r="BK160" i="9"/>
  <c r="BL160" i="9"/>
  <c r="BM160" i="9"/>
  <c r="BN160" i="9"/>
  <c r="BO160" i="9"/>
  <c r="BP160" i="9"/>
  <c r="BQ160" i="9"/>
  <c r="BR160" i="9"/>
  <c r="BS160" i="9"/>
  <c r="BT160" i="9"/>
  <c r="BU160" i="9"/>
  <c r="BV160" i="9"/>
  <c r="BW160" i="9"/>
  <c r="BX160" i="9"/>
  <c r="BY160" i="9"/>
  <c r="BZ160" i="9"/>
  <c r="CA160" i="9"/>
  <c r="CB160" i="9"/>
  <c r="CC160" i="9"/>
  <c r="CD160" i="9"/>
  <c r="CE160" i="9"/>
  <c r="CF160" i="9"/>
  <c r="CG160" i="9"/>
  <c r="CH160" i="9"/>
  <c r="CI160" i="9"/>
  <c r="CJ160" i="9"/>
  <c r="CK160" i="9"/>
  <c r="CL160" i="9"/>
  <c r="CM160" i="9"/>
  <c r="CN160" i="9"/>
  <c r="CO160" i="9"/>
  <c r="CP160" i="9"/>
  <c r="CQ160" i="9"/>
  <c r="CR160" i="9"/>
  <c r="CS160" i="9"/>
  <c r="CT160" i="9"/>
  <c r="CU160" i="9"/>
  <c r="CV160" i="9"/>
  <c r="CW160" i="9"/>
  <c r="CX160" i="9"/>
  <c r="CY160" i="9"/>
  <c r="CZ160" i="9"/>
  <c r="DA160" i="9"/>
  <c r="DB160" i="9"/>
  <c r="DC160" i="9"/>
  <c r="DD160" i="9"/>
  <c r="DE160" i="9"/>
  <c r="DF160" i="9"/>
  <c r="DG160" i="9"/>
  <c r="DH160" i="9"/>
  <c r="DI160" i="9"/>
  <c r="DJ160" i="9"/>
  <c r="DK160" i="9"/>
  <c r="DL160" i="9"/>
  <c r="DM160" i="9"/>
  <c r="DN160" i="9"/>
  <c r="DO160" i="9"/>
  <c r="DP160" i="9"/>
  <c r="DQ160" i="9"/>
  <c r="DR160" i="9"/>
  <c r="DS160" i="9"/>
  <c r="DT160" i="9"/>
  <c r="DU160" i="9"/>
  <c r="DV160" i="9"/>
  <c r="DW160" i="9"/>
  <c r="DX160" i="9"/>
  <c r="DY160" i="9"/>
  <c r="DZ160" i="9"/>
  <c r="EA160" i="9"/>
  <c r="EB160" i="9"/>
  <c r="EC160" i="9"/>
  <c r="ED160" i="9"/>
  <c r="EE160" i="9"/>
  <c r="EF160" i="9"/>
  <c r="EG160" i="9"/>
  <c r="EH160" i="9"/>
  <c r="EI160" i="9"/>
  <c r="EJ160" i="9"/>
  <c r="EK160" i="9"/>
  <c r="EL160" i="9"/>
  <c r="EM160" i="9"/>
  <c r="EN160" i="9"/>
  <c r="EO160" i="9"/>
  <c r="EP160" i="9"/>
  <c r="EQ160" i="9"/>
  <c r="ER160" i="9"/>
  <c r="ES160" i="9"/>
  <c r="ET160" i="9"/>
  <c r="EU160" i="9"/>
  <c r="EV160" i="9"/>
  <c r="EW160" i="9"/>
  <c r="EX160" i="9"/>
  <c r="EY160" i="9"/>
  <c r="EZ160" i="9"/>
  <c r="FA160" i="9"/>
  <c r="FB160" i="9"/>
  <c r="FC160" i="9"/>
  <c r="FD160" i="9"/>
  <c r="FE160" i="9"/>
  <c r="FF160" i="9"/>
  <c r="FG160" i="9"/>
  <c r="FH160" i="9"/>
  <c r="FI160" i="9"/>
  <c r="FJ160" i="9"/>
  <c r="FK160" i="9"/>
  <c r="FL160" i="9"/>
  <c r="FM160" i="9"/>
  <c r="FN160" i="9"/>
  <c r="FO160" i="9"/>
  <c r="FP160" i="9"/>
  <c r="FQ160" i="9"/>
  <c r="FR160" i="9"/>
  <c r="FS160" i="9"/>
  <c r="FT160" i="9"/>
  <c r="FU160" i="9"/>
  <c r="FV160" i="9"/>
  <c r="FW160" i="9"/>
  <c r="FX160" i="9"/>
  <c r="FY160" i="9"/>
  <c r="FZ160" i="9"/>
  <c r="GA160" i="9"/>
  <c r="GB160" i="9"/>
  <c r="GC160" i="9"/>
  <c r="GD160" i="9"/>
  <c r="GE160" i="9"/>
  <c r="GF160" i="9"/>
  <c r="GG160" i="9"/>
  <c r="GH160" i="9"/>
  <c r="GI160" i="9"/>
  <c r="GJ160" i="9"/>
  <c r="GK160" i="9"/>
  <c r="GL160" i="9"/>
  <c r="GM160" i="9"/>
  <c r="GN160" i="9"/>
  <c r="GO160" i="9"/>
  <c r="GP160" i="9"/>
  <c r="GQ160" i="9"/>
  <c r="GR160" i="9"/>
  <c r="GS160" i="9"/>
  <c r="GT160" i="9"/>
  <c r="GU160" i="9"/>
  <c r="GV160" i="9"/>
  <c r="GW160" i="9"/>
  <c r="GX160" i="9"/>
  <c r="GY160" i="9"/>
  <c r="GZ160" i="9"/>
  <c r="HA160" i="9"/>
  <c r="HB160" i="9"/>
  <c r="HC160" i="9"/>
  <c r="HD160" i="9"/>
  <c r="HE160" i="9"/>
  <c r="HF160" i="9"/>
  <c r="HG160" i="9"/>
  <c r="HH160" i="9"/>
  <c r="HI160" i="9"/>
  <c r="HJ160" i="9"/>
  <c r="HK160" i="9"/>
  <c r="HL160" i="9"/>
  <c r="HM160" i="9"/>
  <c r="HN160" i="9"/>
  <c r="HO160" i="9"/>
  <c r="HP160" i="9"/>
  <c r="HQ160" i="9"/>
  <c r="HR160" i="9"/>
  <c r="HS160" i="9"/>
  <c r="HT160" i="9"/>
  <c r="HU160" i="9"/>
  <c r="HV160" i="9"/>
  <c r="HW160" i="9"/>
  <c r="HX160" i="9"/>
  <c r="HY160" i="9"/>
  <c r="HZ160" i="9"/>
  <c r="IA160" i="9"/>
  <c r="IB160" i="9"/>
  <c r="IC160" i="9"/>
  <c r="ID160" i="9"/>
  <c r="IE160" i="9"/>
  <c r="IF160" i="9"/>
  <c r="IG160" i="9"/>
  <c r="IH160" i="9"/>
  <c r="II160" i="9"/>
  <c r="IJ160" i="9"/>
  <c r="IK160" i="9"/>
  <c r="IL160" i="9"/>
  <c r="IM160" i="9"/>
  <c r="IN160" i="9"/>
  <c r="IO160" i="9"/>
  <c r="IP160" i="9"/>
  <c r="IQ160" i="9"/>
  <c r="IR160" i="9"/>
  <c r="IS160" i="9"/>
  <c r="IT160" i="9"/>
  <c r="IU160" i="9"/>
  <c r="IV160" i="9"/>
  <c r="A159" i="9"/>
  <c r="B159" i="9"/>
  <c r="C159" i="9"/>
  <c r="D159" i="9"/>
  <c r="E159" i="9"/>
  <c r="F159" i="9"/>
  <c r="G159" i="9"/>
  <c r="H159" i="9"/>
  <c r="I159" i="9"/>
  <c r="J159" i="9"/>
  <c r="K159" i="9"/>
  <c r="L159" i="9"/>
  <c r="M159" i="9"/>
  <c r="N159" i="9"/>
  <c r="O159" i="9"/>
  <c r="P159" i="9"/>
  <c r="Q159" i="9"/>
  <c r="R159" i="9"/>
  <c r="S159" i="9"/>
  <c r="T159" i="9"/>
  <c r="U159" i="9"/>
  <c r="V159" i="9"/>
  <c r="W159" i="9"/>
  <c r="X159" i="9"/>
  <c r="Y159" i="9"/>
  <c r="Z159" i="9"/>
  <c r="AA159" i="9"/>
  <c r="AB159" i="9"/>
  <c r="AC159" i="9"/>
  <c r="AD159" i="9"/>
  <c r="AE159" i="9"/>
  <c r="AF159" i="9"/>
  <c r="AG159" i="9"/>
  <c r="AH159" i="9"/>
  <c r="AI159" i="9"/>
  <c r="AJ159" i="9"/>
  <c r="AK159" i="9"/>
  <c r="AL159" i="9"/>
  <c r="AM159" i="9"/>
  <c r="AN159" i="9"/>
  <c r="AO159" i="9"/>
  <c r="AP159" i="9"/>
  <c r="AQ159" i="9"/>
  <c r="AR159" i="9"/>
  <c r="AS159" i="9"/>
  <c r="AT159" i="9"/>
  <c r="AU159" i="9"/>
  <c r="AV159" i="9"/>
  <c r="AW159" i="9"/>
  <c r="AX159" i="9"/>
  <c r="AY159" i="9"/>
  <c r="AZ159" i="9"/>
  <c r="BA159" i="9"/>
  <c r="BB159" i="9"/>
  <c r="BC159" i="9"/>
  <c r="BD159" i="9"/>
  <c r="BE159" i="9"/>
  <c r="BF159" i="9"/>
  <c r="BG159" i="9"/>
  <c r="BH159" i="9"/>
  <c r="BI159" i="9"/>
  <c r="BJ159" i="9"/>
  <c r="BK159" i="9"/>
  <c r="BL159" i="9"/>
  <c r="BM159" i="9"/>
  <c r="BN159" i="9"/>
  <c r="BO159" i="9"/>
  <c r="BP159" i="9"/>
  <c r="BQ159" i="9"/>
  <c r="BR159" i="9"/>
  <c r="BS159" i="9"/>
  <c r="BT159" i="9"/>
  <c r="BU159" i="9"/>
  <c r="BV159" i="9"/>
  <c r="BW159" i="9"/>
  <c r="BX159" i="9"/>
  <c r="BY159" i="9"/>
  <c r="BZ159" i="9"/>
  <c r="CA159" i="9"/>
  <c r="CB159" i="9"/>
  <c r="CC159" i="9"/>
  <c r="CD159" i="9"/>
  <c r="CE159" i="9"/>
  <c r="CF159" i="9"/>
  <c r="CG159" i="9"/>
  <c r="CH159" i="9"/>
  <c r="CI159" i="9"/>
  <c r="CJ159" i="9"/>
  <c r="CK159" i="9"/>
  <c r="CL159" i="9"/>
  <c r="CM159" i="9"/>
  <c r="CN159" i="9"/>
  <c r="CO159" i="9"/>
  <c r="CP159" i="9"/>
  <c r="CQ159" i="9"/>
  <c r="CR159" i="9"/>
  <c r="CS159" i="9"/>
  <c r="CT159" i="9"/>
  <c r="CU159" i="9"/>
  <c r="CV159" i="9"/>
  <c r="CW159" i="9"/>
  <c r="CX159" i="9"/>
  <c r="CY159" i="9"/>
  <c r="CZ159" i="9"/>
  <c r="DA159" i="9"/>
  <c r="DB159" i="9"/>
  <c r="DC159" i="9"/>
  <c r="DD159" i="9"/>
  <c r="DE159" i="9"/>
  <c r="DF159" i="9"/>
  <c r="DG159" i="9"/>
  <c r="DH159" i="9"/>
  <c r="DI159" i="9"/>
  <c r="DJ159" i="9"/>
  <c r="DK159" i="9"/>
  <c r="DL159" i="9"/>
  <c r="DM159" i="9"/>
  <c r="DN159" i="9"/>
  <c r="DO159" i="9"/>
  <c r="DP159" i="9"/>
  <c r="DQ159" i="9"/>
  <c r="DR159" i="9"/>
  <c r="DS159" i="9"/>
  <c r="DT159" i="9"/>
  <c r="DU159" i="9"/>
  <c r="DV159" i="9"/>
  <c r="DW159" i="9"/>
  <c r="DX159" i="9"/>
  <c r="DY159" i="9"/>
  <c r="DZ159" i="9"/>
  <c r="EA159" i="9"/>
  <c r="EB159" i="9"/>
  <c r="EC159" i="9"/>
  <c r="ED159" i="9"/>
  <c r="EE159" i="9"/>
  <c r="EF159" i="9"/>
  <c r="EG159" i="9"/>
  <c r="EH159" i="9"/>
  <c r="EI159" i="9"/>
  <c r="EJ159" i="9"/>
  <c r="EK159" i="9"/>
  <c r="EL159" i="9"/>
  <c r="EM159" i="9"/>
  <c r="EN159" i="9"/>
  <c r="EO159" i="9"/>
  <c r="EP159" i="9"/>
  <c r="EQ159" i="9"/>
  <c r="ER159" i="9"/>
  <c r="ES159" i="9"/>
  <c r="ET159" i="9"/>
  <c r="EU159" i="9"/>
  <c r="EV159" i="9"/>
  <c r="EW159" i="9"/>
  <c r="EX159" i="9"/>
  <c r="EY159" i="9"/>
  <c r="EZ159" i="9"/>
  <c r="FA159" i="9"/>
  <c r="FB159" i="9"/>
  <c r="FC159" i="9"/>
  <c r="FD159" i="9"/>
  <c r="FE159" i="9"/>
  <c r="FF159" i="9"/>
  <c r="FG159" i="9"/>
  <c r="FH159" i="9"/>
  <c r="FI159" i="9"/>
  <c r="FJ159" i="9"/>
  <c r="FK159" i="9"/>
  <c r="FL159" i="9"/>
  <c r="FM159" i="9"/>
  <c r="FN159" i="9"/>
  <c r="FO159" i="9"/>
  <c r="FP159" i="9"/>
  <c r="FQ159" i="9"/>
  <c r="FR159" i="9"/>
  <c r="FS159" i="9"/>
  <c r="FT159" i="9"/>
  <c r="FU159" i="9"/>
  <c r="FV159" i="9"/>
  <c r="FW159" i="9"/>
  <c r="FX159" i="9"/>
  <c r="FY159" i="9"/>
  <c r="FZ159" i="9"/>
  <c r="GA159" i="9"/>
  <c r="GB159" i="9"/>
  <c r="GC159" i="9"/>
  <c r="GD159" i="9"/>
  <c r="GE159" i="9"/>
  <c r="GF159" i="9"/>
  <c r="GG159" i="9"/>
  <c r="GH159" i="9"/>
  <c r="GI159" i="9"/>
  <c r="GJ159" i="9"/>
  <c r="GK159" i="9"/>
  <c r="GL159" i="9"/>
  <c r="GM159" i="9"/>
  <c r="GN159" i="9"/>
  <c r="GO159" i="9"/>
  <c r="GP159" i="9"/>
  <c r="GQ159" i="9"/>
  <c r="GR159" i="9"/>
  <c r="GS159" i="9"/>
  <c r="GT159" i="9"/>
  <c r="GU159" i="9"/>
  <c r="GV159" i="9"/>
  <c r="GW159" i="9"/>
  <c r="GX159" i="9"/>
  <c r="GY159" i="9"/>
  <c r="GZ159" i="9"/>
  <c r="HA159" i="9"/>
  <c r="HB159" i="9"/>
  <c r="HC159" i="9"/>
  <c r="HD159" i="9"/>
  <c r="HE159" i="9"/>
  <c r="HF159" i="9"/>
  <c r="HG159" i="9"/>
  <c r="HH159" i="9"/>
  <c r="HI159" i="9"/>
  <c r="HJ159" i="9"/>
  <c r="HK159" i="9"/>
  <c r="HL159" i="9"/>
  <c r="HM159" i="9"/>
  <c r="HN159" i="9"/>
  <c r="HO159" i="9"/>
  <c r="HP159" i="9"/>
  <c r="HQ159" i="9"/>
  <c r="HR159" i="9"/>
  <c r="HS159" i="9"/>
  <c r="HT159" i="9"/>
  <c r="HU159" i="9"/>
  <c r="HV159" i="9"/>
  <c r="HW159" i="9"/>
  <c r="HX159" i="9"/>
  <c r="HY159" i="9"/>
  <c r="HZ159" i="9"/>
  <c r="IA159" i="9"/>
  <c r="IB159" i="9"/>
  <c r="IC159" i="9"/>
  <c r="ID159" i="9"/>
  <c r="IE159" i="9"/>
  <c r="IF159" i="9"/>
  <c r="IG159" i="9"/>
  <c r="IH159" i="9"/>
  <c r="II159" i="9"/>
  <c r="IJ159" i="9"/>
  <c r="IK159" i="9"/>
  <c r="IL159" i="9"/>
  <c r="IM159" i="9"/>
  <c r="IN159" i="9"/>
  <c r="IO159" i="9"/>
  <c r="IP159" i="9"/>
  <c r="IQ159" i="9"/>
  <c r="IR159" i="9"/>
  <c r="IS159" i="9"/>
  <c r="IT159" i="9"/>
  <c r="IU159" i="9"/>
  <c r="IV159" i="9"/>
  <c r="A158" i="9"/>
  <c r="B158" i="9"/>
  <c r="C158" i="9"/>
  <c r="D158" i="9"/>
  <c r="E158" i="9"/>
  <c r="F158" i="9"/>
  <c r="G158" i="9"/>
  <c r="H158" i="9"/>
  <c r="I158" i="9"/>
  <c r="J158" i="9"/>
  <c r="K158" i="9"/>
  <c r="L158" i="9"/>
  <c r="M158" i="9"/>
  <c r="N158" i="9"/>
  <c r="O158" i="9"/>
  <c r="P158" i="9"/>
  <c r="Q158" i="9"/>
  <c r="R158" i="9"/>
  <c r="S158" i="9"/>
  <c r="T158" i="9"/>
  <c r="U158" i="9"/>
  <c r="V158" i="9"/>
  <c r="W158" i="9"/>
  <c r="X158" i="9"/>
  <c r="Y158" i="9"/>
  <c r="Z158" i="9"/>
  <c r="AA158" i="9"/>
  <c r="AB158" i="9"/>
  <c r="AC158" i="9"/>
  <c r="AD158" i="9"/>
  <c r="AE158" i="9"/>
  <c r="AF158" i="9"/>
  <c r="AG158" i="9"/>
  <c r="AH158" i="9"/>
  <c r="AI158" i="9"/>
  <c r="AJ158" i="9"/>
  <c r="AK158" i="9"/>
  <c r="AL158" i="9"/>
  <c r="AM158" i="9"/>
  <c r="AN158" i="9"/>
  <c r="AO158" i="9"/>
  <c r="AP158" i="9"/>
  <c r="AQ158" i="9"/>
  <c r="AR158" i="9"/>
  <c r="AS158" i="9"/>
  <c r="AT158" i="9"/>
  <c r="AU158" i="9"/>
  <c r="AV158" i="9"/>
  <c r="AW158" i="9"/>
  <c r="AX158" i="9"/>
  <c r="AY158" i="9"/>
  <c r="AZ158" i="9"/>
  <c r="BA158" i="9"/>
  <c r="BB158" i="9"/>
  <c r="BC158" i="9"/>
  <c r="BD158" i="9"/>
  <c r="BE158" i="9"/>
  <c r="BF158" i="9"/>
  <c r="BG158" i="9"/>
  <c r="BH158" i="9"/>
  <c r="BI158" i="9"/>
  <c r="BJ158" i="9"/>
  <c r="BK158" i="9"/>
  <c r="BL158" i="9"/>
  <c r="BM158" i="9"/>
  <c r="BN158" i="9"/>
  <c r="BO158" i="9"/>
  <c r="BP158" i="9"/>
  <c r="BQ158" i="9"/>
  <c r="BR158" i="9"/>
  <c r="BS158" i="9"/>
  <c r="BT158" i="9"/>
  <c r="BU158" i="9"/>
  <c r="BV158" i="9"/>
  <c r="BW158" i="9"/>
  <c r="BX158" i="9"/>
  <c r="BY158" i="9"/>
  <c r="BZ158" i="9"/>
  <c r="CA158" i="9"/>
  <c r="CB158" i="9"/>
  <c r="CC158" i="9"/>
  <c r="CD158" i="9"/>
  <c r="CE158" i="9"/>
  <c r="CF158" i="9"/>
  <c r="CG158" i="9"/>
  <c r="CH158" i="9"/>
  <c r="CI158" i="9"/>
  <c r="CJ158" i="9"/>
  <c r="CK158" i="9"/>
  <c r="CL158" i="9"/>
  <c r="CM158" i="9"/>
  <c r="CN158" i="9"/>
  <c r="CO158" i="9"/>
  <c r="CP158" i="9"/>
  <c r="CQ158" i="9"/>
  <c r="CR158" i="9"/>
  <c r="CS158" i="9"/>
  <c r="CT158" i="9"/>
  <c r="CU158" i="9"/>
  <c r="CV158" i="9"/>
  <c r="CW158" i="9"/>
  <c r="CX158" i="9"/>
  <c r="CY158" i="9"/>
  <c r="CZ158" i="9"/>
  <c r="DA158" i="9"/>
  <c r="DB158" i="9"/>
  <c r="DC158" i="9"/>
  <c r="DD158" i="9"/>
  <c r="DE158" i="9"/>
  <c r="DF158" i="9"/>
  <c r="DG158" i="9"/>
  <c r="DH158" i="9"/>
  <c r="DI158" i="9"/>
  <c r="DJ158" i="9"/>
  <c r="DK158" i="9"/>
  <c r="DL158" i="9"/>
  <c r="DM158" i="9"/>
  <c r="DN158" i="9"/>
  <c r="DO158" i="9"/>
  <c r="DP158" i="9"/>
  <c r="DQ158" i="9"/>
  <c r="DR158" i="9"/>
  <c r="DS158" i="9"/>
  <c r="DT158" i="9"/>
  <c r="DU158" i="9"/>
  <c r="DV158" i="9"/>
  <c r="DW158" i="9"/>
  <c r="DX158" i="9"/>
  <c r="DY158" i="9"/>
  <c r="DZ158" i="9"/>
  <c r="EA158" i="9"/>
  <c r="EB158" i="9"/>
  <c r="EC158" i="9"/>
  <c r="ED158" i="9"/>
  <c r="EE158" i="9"/>
  <c r="EF158" i="9"/>
  <c r="EG158" i="9"/>
  <c r="EH158" i="9"/>
  <c r="EI158" i="9"/>
  <c r="EJ158" i="9"/>
  <c r="EK158" i="9"/>
  <c r="EL158" i="9"/>
  <c r="EM158" i="9"/>
  <c r="EN158" i="9"/>
  <c r="EO158" i="9"/>
  <c r="EP158" i="9"/>
  <c r="EQ158" i="9"/>
  <c r="ER158" i="9"/>
  <c r="ES158" i="9"/>
  <c r="ET158" i="9"/>
  <c r="EU158" i="9"/>
  <c r="EV158" i="9"/>
  <c r="EW158" i="9"/>
  <c r="EX158" i="9"/>
  <c r="EY158" i="9"/>
  <c r="EZ158" i="9"/>
  <c r="FA158" i="9"/>
  <c r="FB158" i="9"/>
  <c r="FC158" i="9"/>
  <c r="FD158" i="9"/>
  <c r="FE158" i="9"/>
  <c r="FF158" i="9"/>
  <c r="FG158" i="9"/>
  <c r="FH158" i="9"/>
  <c r="FI158" i="9"/>
  <c r="FJ158" i="9"/>
  <c r="FK158" i="9"/>
  <c r="FL158" i="9"/>
  <c r="FM158" i="9"/>
  <c r="FN158" i="9"/>
  <c r="FO158" i="9"/>
  <c r="FP158" i="9"/>
  <c r="FQ158" i="9"/>
  <c r="FR158" i="9"/>
  <c r="FS158" i="9"/>
  <c r="FT158" i="9"/>
  <c r="FU158" i="9"/>
  <c r="FV158" i="9"/>
  <c r="FW158" i="9"/>
  <c r="FX158" i="9"/>
  <c r="FY158" i="9"/>
  <c r="FZ158" i="9"/>
  <c r="GA158" i="9"/>
  <c r="GB158" i="9"/>
  <c r="GC158" i="9"/>
  <c r="GD158" i="9"/>
  <c r="GE158" i="9"/>
  <c r="GF158" i="9"/>
  <c r="GG158" i="9"/>
  <c r="GH158" i="9"/>
  <c r="GI158" i="9"/>
  <c r="GJ158" i="9"/>
  <c r="GK158" i="9"/>
  <c r="GL158" i="9"/>
  <c r="GM158" i="9"/>
  <c r="GN158" i="9"/>
  <c r="GO158" i="9"/>
  <c r="GP158" i="9"/>
  <c r="GQ158" i="9"/>
  <c r="GR158" i="9"/>
  <c r="GS158" i="9"/>
  <c r="GT158" i="9"/>
  <c r="GU158" i="9"/>
  <c r="GV158" i="9"/>
  <c r="GW158" i="9"/>
  <c r="GX158" i="9"/>
  <c r="GY158" i="9"/>
  <c r="GZ158" i="9"/>
  <c r="HA158" i="9"/>
  <c r="HB158" i="9"/>
  <c r="HC158" i="9"/>
  <c r="HD158" i="9"/>
  <c r="HE158" i="9"/>
  <c r="HF158" i="9"/>
  <c r="HG158" i="9"/>
  <c r="HH158" i="9"/>
  <c r="HI158" i="9"/>
  <c r="HJ158" i="9"/>
  <c r="HK158" i="9"/>
  <c r="HL158" i="9"/>
  <c r="HM158" i="9"/>
  <c r="HN158" i="9"/>
  <c r="HO158" i="9"/>
  <c r="HP158" i="9"/>
  <c r="HQ158" i="9"/>
  <c r="HR158" i="9"/>
  <c r="HS158" i="9"/>
  <c r="HT158" i="9"/>
  <c r="HU158" i="9"/>
  <c r="HV158" i="9"/>
  <c r="HW158" i="9"/>
  <c r="HX158" i="9"/>
  <c r="HY158" i="9"/>
  <c r="HZ158" i="9"/>
  <c r="IA158" i="9"/>
  <c r="IB158" i="9"/>
  <c r="IC158" i="9"/>
  <c r="ID158" i="9"/>
  <c r="IE158" i="9"/>
  <c r="IF158" i="9"/>
  <c r="IG158" i="9"/>
  <c r="IH158" i="9"/>
  <c r="II158" i="9"/>
  <c r="IJ158" i="9"/>
  <c r="IK158" i="9"/>
  <c r="IL158" i="9"/>
  <c r="IM158" i="9"/>
  <c r="IN158" i="9"/>
  <c r="IO158" i="9"/>
  <c r="IP158" i="9"/>
  <c r="IQ158" i="9"/>
  <c r="IR158" i="9"/>
  <c r="IS158" i="9"/>
  <c r="IT158" i="9"/>
  <c r="IU158" i="9"/>
  <c r="IV158" i="9"/>
  <c r="A157" i="9"/>
  <c r="B157" i="9"/>
  <c r="C157" i="9"/>
  <c r="D157" i="9"/>
  <c r="E157" i="9"/>
  <c r="F157" i="9"/>
  <c r="G157" i="9"/>
  <c r="H157" i="9"/>
  <c r="I157" i="9"/>
  <c r="J157" i="9"/>
  <c r="K157" i="9"/>
  <c r="L157" i="9"/>
  <c r="M157" i="9"/>
  <c r="N157" i="9"/>
  <c r="O157" i="9"/>
  <c r="P157" i="9"/>
  <c r="Q157" i="9"/>
  <c r="R157" i="9"/>
  <c r="S157" i="9"/>
  <c r="T157" i="9"/>
  <c r="U157" i="9"/>
  <c r="V157" i="9"/>
  <c r="W157" i="9"/>
  <c r="X157" i="9"/>
  <c r="Y157" i="9"/>
  <c r="Z157" i="9"/>
  <c r="AA157" i="9"/>
  <c r="AB157" i="9"/>
  <c r="AC157" i="9"/>
  <c r="AD157" i="9"/>
  <c r="AE157" i="9"/>
  <c r="AF157" i="9"/>
  <c r="AG157" i="9"/>
  <c r="AH157" i="9"/>
  <c r="AI157" i="9"/>
  <c r="AJ157" i="9"/>
  <c r="AK157" i="9"/>
  <c r="AL157" i="9"/>
  <c r="AM157" i="9"/>
  <c r="AN157" i="9"/>
  <c r="AO157" i="9"/>
  <c r="AP157" i="9"/>
  <c r="AQ157" i="9"/>
  <c r="AR157" i="9"/>
  <c r="AS157" i="9"/>
  <c r="AT157" i="9"/>
  <c r="AU157" i="9"/>
  <c r="AV157" i="9"/>
  <c r="AW157" i="9"/>
  <c r="AX157" i="9"/>
  <c r="AY157" i="9"/>
  <c r="AZ157" i="9"/>
  <c r="BA157" i="9"/>
  <c r="BB157" i="9"/>
  <c r="BC157" i="9"/>
  <c r="BD157" i="9"/>
  <c r="BE157" i="9"/>
  <c r="BF157" i="9"/>
  <c r="BG157" i="9"/>
  <c r="BH157" i="9"/>
  <c r="BI157" i="9"/>
  <c r="BJ157" i="9"/>
  <c r="BK157" i="9"/>
  <c r="BL157" i="9"/>
  <c r="BM157" i="9"/>
  <c r="BN157" i="9"/>
  <c r="BO157" i="9"/>
  <c r="BP157" i="9"/>
  <c r="BQ157" i="9"/>
  <c r="BR157" i="9"/>
  <c r="BS157" i="9"/>
  <c r="BT157" i="9"/>
  <c r="BU157" i="9"/>
  <c r="BV157" i="9"/>
  <c r="BW157" i="9"/>
  <c r="BX157" i="9"/>
  <c r="BY157" i="9"/>
  <c r="BZ157" i="9"/>
  <c r="CA157" i="9"/>
  <c r="CB157" i="9"/>
  <c r="CC157" i="9"/>
  <c r="CD157" i="9"/>
  <c r="CE157" i="9"/>
  <c r="CF157" i="9"/>
  <c r="CG157" i="9"/>
  <c r="CH157" i="9"/>
  <c r="CI157" i="9"/>
  <c r="CJ157" i="9"/>
  <c r="CK157" i="9"/>
  <c r="CL157" i="9"/>
  <c r="CM157" i="9"/>
  <c r="CN157" i="9"/>
  <c r="CO157" i="9"/>
  <c r="CP157" i="9"/>
  <c r="CQ157" i="9"/>
  <c r="CR157" i="9"/>
  <c r="CS157" i="9"/>
  <c r="CT157" i="9"/>
  <c r="CU157" i="9"/>
  <c r="CV157" i="9"/>
  <c r="CW157" i="9"/>
  <c r="CX157" i="9"/>
  <c r="CY157" i="9"/>
  <c r="CZ157" i="9"/>
  <c r="DA157" i="9"/>
  <c r="DB157" i="9"/>
  <c r="DC157" i="9"/>
  <c r="DD157" i="9"/>
  <c r="DE157" i="9"/>
  <c r="DF157" i="9"/>
  <c r="DG157" i="9"/>
  <c r="DH157" i="9"/>
  <c r="DI157" i="9"/>
  <c r="DJ157" i="9"/>
  <c r="DK157" i="9"/>
  <c r="DL157" i="9"/>
  <c r="DM157" i="9"/>
  <c r="DN157" i="9"/>
  <c r="DO157" i="9"/>
  <c r="DP157" i="9"/>
  <c r="DQ157" i="9"/>
  <c r="DR157" i="9"/>
  <c r="DS157" i="9"/>
  <c r="DT157" i="9"/>
  <c r="DU157" i="9"/>
  <c r="DV157" i="9"/>
  <c r="DW157" i="9"/>
  <c r="DX157" i="9"/>
  <c r="DY157" i="9"/>
  <c r="DZ157" i="9"/>
  <c r="EA157" i="9"/>
  <c r="EB157" i="9"/>
  <c r="EC157" i="9"/>
  <c r="ED157" i="9"/>
  <c r="EE157" i="9"/>
  <c r="EF157" i="9"/>
  <c r="EG157" i="9"/>
  <c r="EH157" i="9"/>
  <c r="EI157" i="9"/>
  <c r="EJ157" i="9"/>
  <c r="EK157" i="9"/>
  <c r="EL157" i="9"/>
  <c r="EM157" i="9"/>
  <c r="EN157" i="9"/>
  <c r="EO157" i="9"/>
  <c r="EP157" i="9"/>
  <c r="EQ157" i="9"/>
  <c r="ER157" i="9"/>
  <c r="ES157" i="9"/>
  <c r="ET157" i="9"/>
  <c r="EU157" i="9"/>
  <c r="EV157" i="9"/>
  <c r="EW157" i="9"/>
  <c r="EX157" i="9"/>
  <c r="EY157" i="9"/>
  <c r="EZ157" i="9"/>
  <c r="FA157" i="9"/>
  <c r="FB157" i="9"/>
  <c r="FC157" i="9"/>
  <c r="FD157" i="9"/>
  <c r="FE157" i="9"/>
  <c r="FF157" i="9"/>
  <c r="FG157" i="9"/>
  <c r="FH157" i="9"/>
  <c r="FI157" i="9"/>
  <c r="FJ157" i="9"/>
  <c r="FK157" i="9"/>
  <c r="FL157" i="9"/>
  <c r="FM157" i="9"/>
  <c r="FN157" i="9"/>
  <c r="FO157" i="9"/>
  <c r="FP157" i="9"/>
  <c r="FQ157" i="9"/>
  <c r="FR157" i="9"/>
  <c r="FS157" i="9"/>
  <c r="FT157" i="9"/>
  <c r="FU157" i="9"/>
  <c r="FV157" i="9"/>
  <c r="FW157" i="9"/>
  <c r="FX157" i="9"/>
  <c r="FY157" i="9"/>
  <c r="FZ157" i="9"/>
  <c r="GA157" i="9"/>
  <c r="GB157" i="9"/>
  <c r="GC157" i="9"/>
  <c r="GD157" i="9"/>
  <c r="GE157" i="9"/>
  <c r="GF157" i="9"/>
  <c r="GG157" i="9"/>
  <c r="GH157" i="9"/>
  <c r="GI157" i="9"/>
  <c r="GJ157" i="9"/>
  <c r="GK157" i="9"/>
  <c r="GL157" i="9"/>
  <c r="GM157" i="9"/>
  <c r="GN157" i="9"/>
  <c r="GO157" i="9"/>
  <c r="GP157" i="9"/>
  <c r="GQ157" i="9"/>
  <c r="GR157" i="9"/>
  <c r="GS157" i="9"/>
  <c r="GT157" i="9"/>
  <c r="GU157" i="9"/>
  <c r="GV157" i="9"/>
  <c r="GW157" i="9"/>
  <c r="GX157" i="9"/>
  <c r="GY157" i="9"/>
  <c r="GZ157" i="9"/>
  <c r="HA157" i="9"/>
  <c r="HB157" i="9"/>
  <c r="HC157" i="9"/>
  <c r="HD157" i="9"/>
  <c r="HE157" i="9"/>
  <c r="HF157" i="9"/>
  <c r="HG157" i="9"/>
  <c r="HH157" i="9"/>
  <c r="HI157" i="9"/>
  <c r="HJ157" i="9"/>
  <c r="HK157" i="9"/>
  <c r="HL157" i="9"/>
  <c r="HM157" i="9"/>
  <c r="HN157" i="9"/>
  <c r="HO157" i="9"/>
  <c r="HP157" i="9"/>
  <c r="HQ157" i="9"/>
  <c r="HR157" i="9"/>
  <c r="HS157" i="9"/>
  <c r="HT157" i="9"/>
  <c r="HU157" i="9"/>
  <c r="HV157" i="9"/>
  <c r="HW157" i="9"/>
  <c r="HX157" i="9"/>
  <c r="HY157" i="9"/>
  <c r="HZ157" i="9"/>
  <c r="IA157" i="9"/>
  <c r="IB157" i="9"/>
  <c r="IC157" i="9"/>
  <c r="ID157" i="9"/>
  <c r="IE157" i="9"/>
  <c r="IF157" i="9"/>
  <c r="IG157" i="9"/>
  <c r="IH157" i="9"/>
  <c r="II157" i="9"/>
  <c r="IJ157" i="9"/>
  <c r="IK157" i="9"/>
  <c r="IL157" i="9"/>
  <c r="IM157" i="9"/>
  <c r="IN157" i="9"/>
  <c r="IO157" i="9"/>
  <c r="IP157" i="9"/>
  <c r="IQ157" i="9"/>
  <c r="IR157" i="9"/>
  <c r="IS157" i="9"/>
  <c r="IT157" i="9"/>
  <c r="IU157" i="9"/>
  <c r="IV157" i="9"/>
  <c r="A156" i="9"/>
  <c r="B156" i="9"/>
  <c r="C156" i="9"/>
  <c r="D156" i="9"/>
  <c r="E156" i="9"/>
  <c r="F156" i="9"/>
  <c r="G156" i="9"/>
  <c r="H156" i="9"/>
  <c r="I156" i="9"/>
  <c r="J156" i="9"/>
  <c r="K156" i="9"/>
  <c r="L156" i="9"/>
  <c r="M156" i="9"/>
  <c r="N156" i="9"/>
  <c r="O156" i="9"/>
  <c r="P156" i="9"/>
  <c r="Q156" i="9"/>
  <c r="R156" i="9"/>
  <c r="S156" i="9"/>
  <c r="T156" i="9"/>
  <c r="U156" i="9"/>
  <c r="V156" i="9"/>
  <c r="W156" i="9"/>
  <c r="X156" i="9"/>
  <c r="Y156" i="9"/>
  <c r="Z156" i="9"/>
  <c r="AA156" i="9"/>
  <c r="AB156" i="9"/>
  <c r="AC156" i="9"/>
  <c r="AD156" i="9"/>
  <c r="AE156" i="9"/>
  <c r="AF156" i="9"/>
  <c r="AG156" i="9"/>
  <c r="AH156" i="9"/>
  <c r="AI156" i="9"/>
  <c r="AJ156" i="9"/>
  <c r="AK156" i="9"/>
  <c r="AL156" i="9"/>
  <c r="AM156" i="9"/>
  <c r="AN156" i="9"/>
  <c r="AO156" i="9"/>
  <c r="AP156" i="9"/>
  <c r="AQ156" i="9"/>
  <c r="AR156" i="9"/>
  <c r="AS156" i="9"/>
  <c r="AT156" i="9"/>
  <c r="AU156" i="9"/>
  <c r="AV156" i="9"/>
  <c r="AW156" i="9"/>
  <c r="AX156" i="9"/>
  <c r="AY156" i="9"/>
  <c r="AZ156" i="9"/>
  <c r="BA156" i="9"/>
  <c r="BB156" i="9"/>
  <c r="BC156" i="9"/>
  <c r="BD156" i="9"/>
  <c r="BE156" i="9"/>
  <c r="BF156" i="9"/>
  <c r="BG156" i="9"/>
  <c r="BH156" i="9"/>
  <c r="BI156" i="9"/>
  <c r="BJ156" i="9"/>
  <c r="BK156" i="9"/>
  <c r="BL156" i="9"/>
  <c r="BM156" i="9"/>
  <c r="BN156" i="9"/>
  <c r="BO156" i="9"/>
  <c r="BP156" i="9"/>
  <c r="BQ156" i="9"/>
  <c r="BR156" i="9"/>
  <c r="BS156" i="9"/>
  <c r="BT156" i="9"/>
  <c r="BU156" i="9"/>
  <c r="BV156" i="9"/>
  <c r="BW156" i="9"/>
  <c r="BX156" i="9"/>
  <c r="BY156" i="9"/>
  <c r="BZ156" i="9"/>
  <c r="CA156" i="9"/>
  <c r="CB156" i="9"/>
  <c r="CC156" i="9"/>
  <c r="CD156" i="9"/>
  <c r="CE156" i="9"/>
  <c r="CF156" i="9"/>
  <c r="CG156" i="9"/>
  <c r="CH156" i="9"/>
  <c r="CI156" i="9"/>
  <c r="CJ156" i="9"/>
  <c r="CK156" i="9"/>
  <c r="CL156" i="9"/>
  <c r="CM156" i="9"/>
  <c r="CN156" i="9"/>
  <c r="CO156" i="9"/>
  <c r="CP156" i="9"/>
  <c r="CQ156" i="9"/>
  <c r="CR156" i="9"/>
  <c r="CS156" i="9"/>
  <c r="CT156" i="9"/>
  <c r="CU156" i="9"/>
  <c r="CV156" i="9"/>
  <c r="CW156" i="9"/>
  <c r="CX156" i="9"/>
  <c r="CY156" i="9"/>
  <c r="CZ156" i="9"/>
  <c r="DA156" i="9"/>
  <c r="DB156" i="9"/>
  <c r="DC156" i="9"/>
  <c r="DD156" i="9"/>
  <c r="DE156" i="9"/>
  <c r="DF156" i="9"/>
  <c r="DG156" i="9"/>
  <c r="DH156" i="9"/>
  <c r="DI156" i="9"/>
  <c r="DJ156" i="9"/>
  <c r="DK156" i="9"/>
  <c r="DL156" i="9"/>
  <c r="DM156" i="9"/>
  <c r="DN156" i="9"/>
  <c r="DO156" i="9"/>
  <c r="DP156" i="9"/>
  <c r="DQ156" i="9"/>
  <c r="DR156" i="9"/>
  <c r="DS156" i="9"/>
  <c r="DT156" i="9"/>
  <c r="DU156" i="9"/>
  <c r="DV156" i="9"/>
  <c r="DW156" i="9"/>
  <c r="DX156" i="9"/>
  <c r="DY156" i="9"/>
  <c r="DZ156" i="9"/>
  <c r="EA156" i="9"/>
  <c r="EB156" i="9"/>
  <c r="EC156" i="9"/>
  <c r="ED156" i="9"/>
  <c r="EE156" i="9"/>
  <c r="EF156" i="9"/>
  <c r="EG156" i="9"/>
  <c r="EH156" i="9"/>
  <c r="EI156" i="9"/>
  <c r="EJ156" i="9"/>
  <c r="EK156" i="9"/>
  <c r="EL156" i="9"/>
  <c r="EM156" i="9"/>
  <c r="EN156" i="9"/>
  <c r="EO156" i="9"/>
  <c r="EP156" i="9"/>
  <c r="EQ156" i="9"/>
  <c r="ER156" i="9"/>
  <c r="ES156" i="9"/>
  <c r="ET156" i="9"/>
  <c r="EU156" i="9"/>
  <c r="EV156" i="9"/>
  <c r="EW156" i="9"/>
  <c r="EX156" i="9"/>
  <c r="EY156" i="9"/>
  <c r="EZ156" i="9"/>
  <c r="FA156" i="9"/>
  <c r="FB156" i="9"/>
  <c r="FC156" i="9"/>
  <c r="FD156" i="9"/>
  <c r="FE156" i="9"/>
  <c r="FF156" i="9"/>
  <c r="FG156" i="9"/>
  <c r="FH156" i="9"/>
  <c r="FI156" i="9"/>
  <c r="FJ156" i="9"/>
  <c r="FK156" i="9"/>
  <c r="FL156" i="9"/>
  <c r="FM156" i="9"/>
  <c r="FN156" i="9"/>
  <c r="FO156" i="9"/>
  <c r="FP156" i="9"/>
  <c r="FQ156" i="9"/>
  <c r="FR156" i="9"/>
  <c r="FS156" i="9"/>
  <c r="FT156" i="9"/>
  <c r="FU156" i="9"/>
  <c r="FV156" i="9"/>
  <c r="FW156" i="9"/>
  <c r="FX156" i="9"/>
  <c r="FY156" i="9"/>
  <c r="FZ156" i="9"/>
  <c r="GA156" i="9"/>
  <c r="GB156" i="9"/>
  <c r="GC156" i="9"/>
  <c r="GD156" i="9"/>
  <c r="GE156" i="9"/>
  <c r="GF156" i="9"/>
  <c r="GG156" i="9"/>
  <c r="GH156" i="9"/>
  <c r="GI156" i="9"/>
  <c r="GJ156" i="9"/>
  <c r="GK156" i="9"/>
  <c r="GL156" i="9"/>
  <c r="GM156" i="9"/>
  <c r="GN156" i="9"/>
  <c r="GO156" i="9"/>
  <c r="GP156" i="9"/>
  <c r="GQ156" i="9"/>
  <c r="GR156" i="9"/>
  <c r="GS156" i="9"/>
  <c r="GT156" i="9"/>
  <c r="GU156" i="9"/>
  <c r="GV156" i="9"/>
  <c r="GW156" i="9"/>
  <c r="GX156" i="9"/>
  <c r="GY156" i="9"/>
  <c r="GZ156" i="9"/>
  <c r="HA156" i="9"/>
  <c r="HB156" i="9"/>
  <c r="HC156" i="9"/>
  <c r="HD156" i="9"/>
  <c r="HE156" i="9"/>
  <c r="HF156" i="9"/>
  <c r="HG156" i="9"/>
  <c r="HH156" i="9"/>
  <c r="HI156" i="9"/>
  <c r="HJ156" i="9"/>
  <c r="HK156" i="9"/>
  <c r="HL156" i="9"/>
  <c r="HM156" i="9"/>
  <c r="HN156" i="9"/>
  <c r="HO156" i="9"/>
  <c r="HP156" i="9"/>
  <c r="HQ156" i="9"/>
  <c r="HR156" i="9"/>
  <c r="HS156" i="9"/>
  <c r="HT156" i="9"/>
  <c r="HU156" i="9"/>
  <c r="HV156" i="9"/>
  <c r="HW156" i="9"/>
  <c r="HX156" i="9"/>
  <c r="HY156" i="9"/>
  <c r="HZ156" i="9"/>
  <c r="IA156" i="9"/>
  <c r="IB156" i="9"/>
  <c r="IC156" i="9"/>
  <c r="ID156" i="9"/>
  <c r="IE156" i="9"/>
  <c r="IF156" i="9"/>
  <c r="IG156" i="9"/>
  <c r="IH156" i="9"/>
  <c r="II156" i="9"/>
  <c r="IJ156" i="9"/>
  <c r="IK156" i="9"/>
  <c r="IL156" i="9"/>
  <c r="IM156" i="9"/>
  <c r="IN156" i="9"/>
  <c r="IO156" i="9"/>
  <c r="IP156" i="9"/>
  <c r="IQ156" i="9"/>
  <c r="IR156" i="9"/>
  <c r="IS156" i="9"/>
  <c r="IT156" i="9"/>
  <c r="IU156" i="9"/>
  <c r="IV156" i="9"/>
  <c r="A155" i="9"/>
  <c r="B155" i="9"/>
  <c r="C155" i="9"/>
  <c r="D155" i="9"/>
  <c r="E155" i="9"/>
  <c r="F155" i="9"/>
  <c r="G155" i="9"/>
  <c r="H155" i="9"/>
  <c r="I155" i="9"/>
  <c r="J155" i="9"/>
  <c r="K155" i="9"/>
  <c r="L155" i="9"/>
  <c r="M155" i="9"/>
  <c r="N155" i="9"/>
  <c r="O155" i="9"/>
  <c r="P155" i="9"/>
  <c r="Q155" i="9"/>
  <c r="R155" i="9"/>
  <c r="S155" i="9"/>
  <c r="T155" i="9"/>
  <c r="U155" i="9"/>
  <c r="V155" i="9"/>
  <c r="W155" i="9"/>
  <c r="X155" i="9"/>
  <c r="Y155" i="9"/>
  <c r="Z155" i="9"/>
  <c r="AA155" i="9"/>
  <c r="AB155" i="9"/>
  <c r="AC155" i="9"/>
  <c r="AD155" i="9"/>
  <c r="AE155" i="9"/>
  <c r="AF155" i="9"/>
  <c r="AG155" i="9"/>
  <c r="AH155" i="9"/>
  <c r="AI155" i="9"/>
  <c r="AJ155" i="9"/>
  <c r="AK155" i="9"/>
  <c r="AL155" i="9"/>
  <c r="AM155" i="9"/>
  <c r="AN155" i="9"/>
  <c r="AO155" i="9"/>
  <c r="AP155" i="9"/>
  <c r="AQ155" i="9"/>
  <c r="AR155" i="9"/>
  <c r="AS155" i="9"/>
  <c r="AT155" i="9"/>
  <c r="AU155" i="9"/>
  <c r="AV155" i="9"/>
  <c r="AW155" i="9"/>
  <c r="AX155" i="9"/>
  <c r="AY155" i="9"/>
  <c r="AZ155" i="9"/>
  <c r="BA155" i="9"/>
  <c r="BB155" i="9"/>
  <c r="BC155" i="9"/>
  <c r="BD155" i="9"/>
  <c r="BE155" i="9"/>
  <c r="BF155" i="9"/>
  <c r="BG155" i="9"/>
  <c r="BH155" i="9"/>
  <c r="BI155" i="9"/>
  <c r="BJ155" i="9"/>
  <c r="BK155" i="9"/>
  <c r="BL155" i="9"/>
  <c r="BM155" i="9"/>
  <c r="BN155" i="9"/>
  <c r="BO155" i="9"/>
  <c r="BP155" i="9"/>
  <c r="BQ155" i="9"/>
  <c r="BR155" i="9"/>
  <c r="BS155" i="9"/>
  <c r="BT155" i="9"/>
  <c r="BU155" i="9"/>
  <c r="BV155" i="9"/>
  <c r="BW155" i="9"/>
  <c r="BX155" i="9"/>
  <c r="BY155" i="9"/>
  <c r="BZ155" i="9"/>
  <c r="CA155" i="9"/>
  <c r="CB155" i="9"/>
  <c r="CC155" i="9"/>
  <c r="CD155" i="9"/>
  <c r="CE155" i="9"/>
  <c r="CF155" i="9"/>
  <c r="CG155" i="9"/>
  <c r="CH155" i="9"/>
  <c r="CI155" i="9"/>
  <c r="CJ155" i="9"/>
  <c r="CK155" i="9"/>
  <c r="CL155" i="9"/>
  <c r="CM155" i="9"/>
  <c r="CN155" i="9"/>
  <c r="CO155" i="9"/>
  <c r="CP155" i="9"/>
  <c r="CQ155" i="9"/>
  <c r="CR155" i="9"/>
  <c r="CS155" i="9"/>
  <c r="CT155" i="9"/>
  <c r="CU155" i="9"/>
  <c r="CV155" i="9"/>
  <c r="CW155" i="9"/>
  <c r="CX155" i="9"/>
  <c r="CY155" i="9"/>
  <c r="CZ155" i="9"/>
  <c r="DA155" i="9"/>
  <c r="DB155" i="9"/>
  <c r="DC155" i="9"/>
  <c r="DD155" i="9"/>
  <c r="DE155" i="9"/>
  <c r="DF155" i="9"/>
  <c r="DG155" i="9"/>
  <c r="DH155" i="9"/>
  <c r="DI155" i="9"/>
  <c r="DJ155" i="9"/>
  <c r="DK155" i="9"/>
  <c r="DL155" i="9"/>
  <c r="DM155" i="9"/>
  <c r="DN155" i="9"/>
  <c r="DO155" i="9"/>
  <c r="DP155" i="9"/>
  <c r="DQ155" i="9"/>
  <c r="DR155" i="9"/>
  <c r="DS155" i="9"/>
  <c r="DT155" i="9"/>
  <c r="DU155" i="9"/>
  <c r="DV155" i="9"/>
  <c r="DW155" i="9"/>
  <c r="DX155" i="9"/>
  <c r="DY155" i="9"/>
  <c r="DZ155" i="9"/>
  <c r="EA155" i="9"/>
  <c r="EB155" i="9"/>
  <c r="EC155" i="9"/>
  <c r="ED155" i="9"/>
  <c r="EE155" i="9"/>
  <c r="EF155" i="9"/>
  <c r="EG155" i="9"/>
  <c r="EH155" i="9"/>
  <c r="EI155" i="9"/>
  <c r="EJ155" i="9"/>
  <c r="EK155" i="9"/>
  <c r="EL155" i="9"/>
  <c r="EM155" i="9"/>
  <c r="EN155" i="9"/>
  <c r="EO155" i="9"/>
  <c r="EP155" i="9"/>
  <c r="EQ155" i="9"/>
  <c r="ER155" i="9"/>
  <c r="ES155" i="9"/>
  <c r="ET155" i="9"/>
  <c r="EU155" i="9"/>
  <c r="EV155" i="9"/>
  <c r="EW155" i="9"/>
  <c r="EX155" i="9"/>
  <c r="EY155" i="9"/>
  <c r="EZ155" i="9"/>
  <c r="FA155" i="9"/>
  <c r="FB155" i="9"/>
  <c r="FC155" i="9"/>
  <c r="FD155" i="9"/>
  <c r="FE155" i="9"/>
  <c r="FF155" i="9"/>
  <c r="FG155" i="9"/>
  <c r="FH155" i="9"/>
  <c r="FI155" i="9"/>
  <c r="FJ155" i="9"/>
  <c r="FK155" i="9"/>
  <c r="FL155" i="9"/>
  <c r="FM155" i="9"/>
  <c r="FN155" i="9"/>
  <c r="FO155" i="9"/>
  <c r="FP155" i="9"/>
  <c r="FQ155" i="9"/>
  <c r="FR155" i="9"/>
  <c r="FS155" i="9"/>
  <c r="FT155" i="9"/>
  <c r="FU155" i="9"/>
  <c r="FV155" i="9"/>
  <c r="FW155" i="9"/>
  <c r="FX155" i="9"/>
  <c r="FY155" i="9"/>
  <c r="FZ155" i="9"/>
  <c r="GA155" i="9"/>
  <c r="GB155" i="9"/>
  <c r="GC155" i="9"/>
  <c r="GD155" i="9"/>
  <c r="GE155" i="9"/>
  <c r="GF155" i="9"/>
  <c r="GG155" i="9"/>
  <c r="GH155" i="9"/>
  <c r="GI155" i="9"/>
  <c r="GJ155" i="9"/>
  <c r="GK155" i="9"/>
  <c r="GL155" i="9"/>
  <c r="GM155" i="9"/>
  <c r="GN155" i="9"/>
  <c r="GO155" i="9"/>
  <c r="GP155" i="9"/>
  <c r="GQ155" i="9"/>
  <c r="GR155" i="9"/>
  <c r="GS155" i="9"/>
  <c r="GT155" i="9"/>
  <c r="GU155" i="9"/>
  <c r="GV155" i="9"/>
  <c r="GW155" i="9"/>
  <c r="GX155" i="9"/>
  <c r="GY155" i="9"/>
  <c r="GZ155" i="9"/>
  <c r="HA155" i="9"/>
  <c r="HB155" i="9"/>
  <c r="HC155" i="9"/>
  <c r="HD155" i="9"/>
  <c r="HE155" i="9"/>
  <c r="HF155" i="9"/>
  <c r="HG155" i="9"/>
  <c r="HH155" i="9"/>
  <c r="HI155" i="9"/>
  <c r="HJ155" i="9"/>
  <c r="HK155" i="9"/>
  <c r="HL155" i="9"/>
  <c r="HM155" i="9"/>
  <c r="HN155" i="9"/>
  <c r="HO155" i="9"/>
  <c r="HP155" i="9"/>
  <c r="HQ155" i="9"/>
  <c r="HR155" i="9"/>
  <c r="HS155" i="9"/>
  <c r="HT155" i="9"/>
  <c r="HU155" i="9"/>
  <c r="HV155" i="9"/>
  <c r="HW155" i="9"/>
  <c r="HX155" i="9"/>
  <c r="HY155" i="9"/>
  <c r="HZ155" i="9"/>
  <c r="IA155" i="9"/>
  <c r="IB155" i="9"/>
  <c r="IC155" i="9"/>
  <c r="ID155" i="9"/>
  <c r="IE155" i="9"/>
  <c r="IF155" i="9"/>
  <c r="IG155" i="9"/>
  <c r="IH155" i="9"/>
  <c r="II155" i="9"/>
  <c r="IJ155" i="9"/>
  <c r="IK155" i="9"/>
  <c r="IL155" i="9"/>
  <c r="IM155" i="9"/>
  <c r="IN155" i="9"/>
  <c r="IO155" i="9"/>
  <c r="IP155" i="9"/>
  <c r="IQ155" i="9"/>
  <c r="IR155" i="9"/>
  <c r="IS155" i="9"/>
  <c r="IT155" i="9"/>
  <c r="IU155" i="9"/>
  <c r="IV155" i="9"/>
  <c r="A154" i="9"/>
  <c r="B154" i="9"/>
  <c r="C154" i="9"/>
  <c r="D154" i="9"/>
  <c r="E154" i="9"/>
  <c r="F154" i="9"/>
  <c r="G154" i="9"/>
  <c r="H154" i="9"/>
  <c r="I154" i="9"/>
  <c r="J154" i="9"/>
  <c r="K154" i="9"/>
  <c r="L154" i="9"/>
  <c r="M154" i="9"/>
  <c r="N154" i="9"/>
  <c r="O154" i="9"/>
  <c r="P154" i="9"/>
  <c r="Q154" i="9"/>
  <c r="R154" i="9"/>
  <c r="S154" i="9"/>
  <c r="T154" i="9"/>
  <c r="U154" i="9"/>
  <c r="V154" i="9"/>
  <c r="W154" i="9"/>
  <c r="X154" i="9"/>
  <c r="Y154" i="9"/>
  <c r="Z154" i="9"/>
  <c r="AA154" i="9"/>
  <c r="AB154" i="9"/>
  <c r="AC154" i="9"/>
  <c r="AD154" i="9"/>
  <c r="AE154" i="9"/>
  <c r="AF154" i="9"/>
  <c r="AG154" i="9"/>
  <c r="AH154" i="9"/>
  <c r="AI154" i="9"/>
  <c r="AJ154" i="9"/>
  <c r="AK154" i="9"/>
  <c r="AL154" i="9"/>
  <c r="AM154" i="9"/>
  <c r="AN154" i="9"/>
  <c r="AO154" i="9"/>
  <c r="AP154" i="9"/>
  <c r="AQ154" i="9"/>
  <c r="AR154" i="9"/>
  <c r="AS154" i="9"/>
  <c r="AT154" i="9"/>
  <c r="AU154" i="9"/>
  <c r="AV154" i="9"/>
  <c r="AW154" i="9"/>
  <c r="AX154" i="9"/>
  <c r="AY154" i="9"/>
  <c r="AZ154" i="9"/>
  <c r="BA154" i="9"/>
  <c r="BB154" i="9"/>
  <c r="BC154" i="9"/>
  <c r="BD154" i="9"/>
  <c r="BE154" i="9"/>
  <c r="BF154" i="9"/>
  <c r="BG154" i="9"/>
  <c r="BH154" i="9"/>
  <c r="BI154" i="9"/>
  <c r="BJ154" i="9"/>
  <c r="BK154" i="9"/>
  <c r="BL154" i="9"/>
  <c r="BM154" i="9"/>
  <c r="BN154" i="9"/>
  <c r="BO154" i="9"/>
  <c r="BP154" i="9"/>
  <c r="BQ154" i="9"/>
  <c r="BR154" i="9"/>
  <c r="BS154" i="9"/>
  <c r="BT154" i="9"/>
  <c r="BU154" i="9"/>
  <c r="BV154" i="9"/>
  <c r="BW154" i="9"/>
  <c r="BX154" i="9"/>
  <c r="BY154" i="9"/>
  <c r="BZ154" i="9"/>
  <c r="CA154" i="9"/>
  <c r="CB154" i="9"/>
  <c r="CC154" i="9"/>
  <c r="CD154" i="9"/>
  <c r="CE154" i="9"/>
  <c r="CF154" i="9"/>
  <c r="CG154" i="9"/>
  <c r="CH154" i="9"/>
  <c r="CI154" i="9"/>
  <c r="CJ154" i="9"/>
  <c r="CK154" i="9"/>
  <c r="CL154" i="9"/>
  <c r="CM154" i="9"/>
  <c r="CN154" i="9"/>
  <c r="CO154" i="9"/>
  <c r="CP154" i="9"/>
  <c r="CQ154" i="9"/>
  <c r="CR154" i="9"/>
  <c r="CS154" i="9"/>
  <c r="CT154" i="9"/>
  <c r="CU154" i="9"/>
  <c r="CV154" i="9"/>
  <c r="CW154" i="9"/>
  <c r="CX154" i="9"/>
  <c r="CY154" i="9"/>
  <c r="CZ154" i="9"/>
  <c r="DA154" i="9"/>
  <c r="DB154" i="9"/>
  <c r="DC154" i="9"/>
  <c r="DD154" i="9"/>
  <c r="DE154" i="9"/>
  <c r="DF154" i="9"/>
  <c r="DG154" i="9"/>
  <c r="DH154" i="9"/>
  <c r="DI154" i="9"/>
  <c r="DJ154" i="9"/>
  <c r="DK154" i="9"/>
  <c r="DL154" i="9"/>
  <c r="DM154" i="9"/>
  <c r="DN154" i="9"/>
  <c r="DO154" i="9"/>
  <c r="DP154" i="9"/>
  <c r="DQ154" i="9"/>
  <c r="DR154" i="9"/>
  <c r="DS154" i="9"/>
  <c r="DT154" i="9"/>
  <c r="DU154" i="9"/>
  <c r="DV154" i="9"/>
  <c r="DW154" i="9"/>
  <c r="DX154" i="9"/>
  <c r="DY154" i="9"/>
  <c r="DZ154" i="9"/>
  <c r="EA154" i="9"/>
  <c r="EB154" i="9"/>
  <c r="EC154" i="9"/>
  <c r="ED154" i="9"/>
  <c r="EE154" i="9"/>
  <c r="EF154" i="9"/>
  <c r="EG154" i="9"/>
  <c r="EH154" i="9"/>
  <c r="EI154" i="9"/>
  <c r="EJ154" i="9"/>
  <c r="EK154" i="9"/>
  <c r="EL154" i="9"/>
  <c r="EM154" i="9"/>
  <c r="EN154" i="9"/>
  <c r="EO154" i="9"/>
  <c r="EP154" i="9"/>
  <c r="EQ154" i="9"/>
  <c r="ER154" i="9"/>
  <c r="ES154" i="9"/>
  <c r="ET154" i="9"/>
  <c r="EU154" i="9"/>
  <c r="EV154" i="9"/>
  <c r="EW154" i="9"/>
  <c r="EX154" i="9"/>
  <c r="EY154" i="9"/>
  <c r="EZ154" i="9"/>
  <c r="FA154" i="9"/>
  <c r="FB154" i="9"/>
  <c r="FC154" i="9"/>
  <c r="FD154" i="9"/>
  <c r="FE154" i="9"/>
  <c r="FF154" i="9"/>
  <c r="FG154" i="9"/>
  <c r="FH154" i="9"/>
  <c r="FI154" i="9"/>
  <c r="FJ154" i="9"/>
  <c r="FK154" i="9"/>
  <c r="FL154" i="9"/>
  <c r="FM154" i="9"/>
  <c r="FN154" i="9"/>
  <c r="FO154" i="9"/>
  <c r="FP154" i="9"/>
  <c r="FQ154" i="9"/>
  <c r="FR154" i="9"/>
  <c r="FS154" i="9"/>
  <c r="FT154" i="9"/>
  <c r="FU154" i="9"/>
  <c r="FV154" i="9"/>
  <c r="FW154" i="9"/>
  <c r="FX154" i="9"/>
  <c r="FY154" i="9"/>
  <c r="FZ154" i="9"/>
  <c r="GA154" i="9"/>
  <c r="GB154" i="9"/>
  <c r="GC154" i="9"/>
  <c r="GD154" i="9"/>
  <c r="GE154" i="9"/>
  <c r="GF154" i="9"/>
  <c r="GG154" i="9"/>
  <c r="GH154" i="9"/>
  <c r="GI154" i="9"/>
  <c r="GJ154" i="9"/>
  <c r="GK154" i="9"/>
  <c r="GL154" i="9"/>
  <c r="GM154" i="9"/>
  <c r="GN154" i="9"/>
  <c r="GO154" i="9"/>
  <c r="GP154" i="9"/>
  <c r="GQ154" i="9"/>
  <c r="GR154" i="9"/>
  <c r="GS154" i="9"/>
  <c r="GT154" i="9"/>
  <c r="GU154" i="9"/>
  <c r="GV154" i="9"/>
  <c r="GW154" i="9"/>
  <c r="GX154" i="9"/>
  <c r="GY154" i="9"/>
  <c r="GZ154" i="9"/>
  <c r="HA154" i="9"/>
  <c r="HB154" i="9"/>
  <c r="HC154" i="9"/>
  <c r="HD154" i="9"/>
  <c r="HE154" i="9"/>
  <c r="HF154" i="9"/>
  <c r="HG154" i="9"/>
  <c r="HH154" i="9"/>
  <c r="HI154" i="9"/>
  <c r="HJ154" i="9"/>
  <c r="HK154" i="9"/>
  <c r="HL154" i="9"/>
  <c r="HM154" i="9"/>
  <c r="HN154" i="9"/>
  <c r="HO154" i="9"/>
  <c r="HP154" i="9"/>
  <c r="HQ154" i="9"/>
  <c r="HR154" i="9"/>
  <c r="HS154" i="9"/>
  <c r="HT154" i="9"/>
  <c r="HU154" i="9"/>
  <c r="HV154" i="9"/>
  <c r="HW154" i="9"/>
  <c r="HX154" i="9"/>
  <c r="HY154" i="9"/>
  <c r="HZ154" i="9"/>
  <c r="IA154" i="9"/>
  <c r="IB154" i="9"/>
  <c r="IC154" i="9"/>
  <c r="ID154" i="9"/>
  <c r="IE154" i="9"/>
  <c r="IF154" i="9"/>
  <c r="IG154" i="9"/>
  <c r="IH154" i="9"/>
  <c r="II154" i="9"/>
  <c r="IJ154" i="9"/>
  <c r="IK154" i="9"/>
  <c r="IL154" i="9"/>
  <c r="IM154" i="9"/>
  <c r="IN154" i="9"/>
  <c r="IO154" i="9"/>
  <c r="IP154" i="9"/>
  <c r="IQ154" i="9"/>
  <c r="IR154" i="9"/>
  <c r="IS154" i="9"/>
  <c r="IT154" i="9"/>
  <c r="IU154" i="9"/>
  <c r="IV154" i="9"/>
  <c r="A153" i="9"/>
  <c r="B153" i="9"/>
  <c r="C153" i="9"/>
  <c r="D153" i="9"/>
  <c r="E153" i="9"/>
  <c r="F153" i="9"/>
  <c r="G153" i="9"/>
  <c r="H153" i="9"/>
  <c r="I153" i="9"/>
  <c r="J153" i="9"/>
  <c r="K153" i="9"/>
  <c r="L153" i="9"/>
  <c r="M153" i="9"/>
  <c r="N153" i="9"/>
  <c r="O153" i="9"/>
  <c r="P153" i="9"/>
  <c r="Q153" i="9"/>
  <c r="R153" i="9"/>
  <c r="S153" i="9"/>
  <c r="T153" i="9"/>
  <c r="U153" i="9"/>
  <c r="V153" i="9"/>
  <c r="W153" i="9"/>
  <c r="X153" i="9"/>
  <c r="Y153" i="9"/>
  <c r="Z153" i="9"/>
  <c r="AA153" i="9"/>
  <c r="AB153" i="9"/>
  <c r="AC153" i="9"/>
  <c r="AD153" i="9"/>
  <c r="AE153" i="9"/>
  <c r="AF153" i="9"/>
  <c r="AG153" i="9"/>
  <c r="AH153" i="9"/>
  <c r="AI153" i="9"/>
  <c r="AJ153" i="9"/>
  <c r="AK153" i="9"/>
  <c r="AL153" i="9"/>
  <c r="AM153" i="9"/>
  <c r="AN153" i="9"/>
  <c r="AO153" i="9"/>
  <c r="AP153" i="9"/>
  <c r="AQ153" i="9"/>
  <c r="AR153" i="9"/>
  <c r="AS153" i="9"/>
  <c r="AT153" i="9"/>
  <c r="AU153" i="9"/>
  <c r="AV153" i="9"/>
  <c r="AW153" i="9"/>
  <c r="AX153" i="9"/>
  <c r="AY153" i="9"/>
  <c r="AZ153" i="9"/>
  <c r="BA153" i="9"/>
  <c r="BB153" i="9"/>
  <c r="BC153" i="9"/>
  <c r="BD153" i="9"/>
  <c r="BE153" i="9"/>
  <c r="BF153" i="9"/>
  <c r="BG153" i="9"/>
  <c r="BH153" i="9"/>
  <c r="BI153" i="9"/>
  <c r="BJ153" i="9"/>
  <c r="BK153" i="9"/>
  <c r="BL153" i="9"/>
  <c r="BM153" i="9"/>
  <c r="BN153" i="9"/>
  <c r="BO153" i="9"/>
  <c r="BP153" i="9"/>
  <c r="BQ153" i="9"/>
  <c r="BR153" i="9"/>
  <c r="BS153" i="9"/>
  <c r="BT153" i="9"/>
  <c r="BU153" i="9"/>
  <c r="BV153" i="9"/>
  <c r="BW153" i="9"/>
  <c r="BX153" i="9"/>
  <c r="BY153" i="9"/>
  <c r="BZ153" i="9"/>
  <c r="CA153" i="9"/>
  <c r="CB153" i="9"/>
  <c r="CC153" i="9"/>
  <c r="CD153" i="9"/>
  <c r="CE153" i="9"/>
  <c r="CF153" i="9"/>
  <c r="CG153" i="9"/>
  <c r="CH153" i="9"/>
  <c r="CI153" i="9"/>
  <c r="CJ153" i="9"/>
  <c r="CK153" i="9"/>
  <c r="CL153" i="9"/>
  <c r="CM153" i="9"/>
  <c r="CN153" i="9"/>
  <c r="CO153" i="9"/>
  <c r="CP153" i="9"/>
  <c r="CQ153" i="9"/>
  <c r="CR153" i="9"/>
  <c r="CS153" i="9"/>
  <c r="CT153" i="9"/>
  <c r="CU153" i="9"/>
  <c r="CV153" i="9"/>
  <c r="CW153" i="9"/>
  <c r="CX153" i="9"/>
  <c r="CY153" i="9"/>
  <c r="CZ153" i="9"/>
  <c r="DA153" i="9"/>
  <c r="DB153" i="9"/>
  <c r="DC153" i="9"/>
  <c r="DD153" i="9"/>
  <c r="DE153" i="9"/>
  <c r="DF153" i="9"/>
  <c r="DG153" i="9"/>
  <c r="DH153" i="9"/>
  <c r="DI153" i="9"/>
  <c r="DJ153" i="9"/>
  <c r="DK153" i="9"/>
  <c r="DL153" i="9"/>
  <c r="DM153" i="9"/>
  <c r="DN153" i="9"/>
  <c r="DO153" i="9"/>
  <c r="DP153" i="9"/>
  <c r="DQ153" i="9"/>
  <c r="DR153" i="9"/>
  <c r="DS153" i="9"/>
  <c r="DT153" i="9"/>
  <c r="DU153" i="9"/>
  <c r="DV153" i="9"/>
  <c r="DW153" i="9"/>
  <c r="DX153" i="9"/>
  <c r="DY153" i="9"/>
  <c r="DZ153" i="9"/>
  <c r="EA153" i="9"/>
  <c r="EB153" i="9"/>
  <c r="EC153" i="9"/>
  <c r="ED153" i="9"/>
  <c r="EE153" i="9"/>
  <c r="EF153" i="9"/>
  <c r="EG153" i="9"/>
  <c r="EH153" i="9"/>
  <c r="EI153" i="9"/>
  <c r="EJ153" i="9"/>
  <c r="EK153" i="9"/>
  <c r="EL153" i="9"/>
  <c r="EM153" i="9"/>
  <c r="EN153" i="9"/>
  <c r="EO153" i="9"/>
  <c r="EP153" i="9"/>
  <c r="EQ153" i="9"/>
  <c r="ER153" i="9"/>
  <c r="ES153" i="9"/>
  <c r="ET153" i="9"/>
  <c r="EU153" i="9"/>
  <c r="EV153" i="9"/>
  <c r="EW153" i="9"/>
  <c r="EX153" i="9"/>
  <c r="EY153" i="9"/>
  <c r="EZ153" i="9"/>
  <c r="FA153" i="9"/>
  <c r="FB153" i="9"/>
  <c r="FC153" i="9"/>
  <c r="FD153" i="9"/>
  <c r="FE153" i="9"/>
  <c r="FF153" i="9"/>
  <c r="FG153" i="9"/>
  <c r="FH153" i="9"/>
  <c r="FI153" i="9"/>
  <c r="FJ153" i="9"/>
  <c r="FK153" i="9"/>
  <c r="FL153" i="9"/>
  <c r="FM153" i="9"/>
  <c r="FN153" i="9"/>
  <c r="FO153" i="9"/>
  <c r="FP153" i="9"/>
  <c r="FQ153" i="9"/>
  <c r="FR153" i="9"/>
  <c r="FS153" i="9"/>
  <c r="FT153" i="9"/>
  <c r="FU153" i="9"/>
  <c r="FV153" i="9"/>
  <c r="FW153" i="9"/>
  <c r="FX153" i="9"/>
  <c r="FY153" i="9"/>
  <c r="FZ153" i="9"/>
  <c r="GA153" i="9"/>
  <c r="GB153" i="9"/>
  <c r="GC153" i="9"/>
  <c r="GD153" i="9"/>
  <c r="GE153" i="9"/>
  <c r="GF153" i="9"/>
  <c r="GG153" i="9"/>
  <c r="GH153" i="9"/>
  <c r="GI153" i="9"/>
  <c r="GJ153" i="9"/>
  <c r="GK153" i="9"/>
  <c r="GL153" i="9"/>
  <c r="GM153" i="9"/>
  <c r="GN153" i="9"/>
  <c r="GO153" i="9"/>
  <c r="GP153" i="9"/>
  <c r="GQ153" i="9"/>
  <c r="GR153" i="9"/>
  <c r="GS153" i="9"/>
  <c r="GT153" i="9"/>
  <c r="GU153" i="9"/>
  <c r="GV153" i="9"/>
  <c r="GW153" i="9"/>
  <c r="GX153" i="9"/>
  <c r="GY153" i="9"/>
  <c r="GZ153" i="9"/>
  <c r="HA153" i="9"/>
  <c r="HB153" i="9"/>
  <c r="HC153" i="9"/>
  <c r="HD153" i="9"/>
  <c r="HE153" i="9"/>
  <c r="HF153" i="9"/>
  <c r="HG153" i="9"/>
  <c r="HH153" i="9"/>
  <c r="HI153" i="9"/>
  <c r="HJ153" i="9"/>
  <c r="HK153" i="9"/>
  <c r="HL153" i="9"/>
  <c r="HM153" i="9"/>
  <c r="HN153" i="9"/>
  <c r="HO153" i="9"/>
  <c r="HP153" i="9"/>
  <c r="HQ153" i="9"/>
  <c r="HR153" i="9"/>
  <c r="HS153" i="9"/>
  <c r="HT153" i="9"/>
  <c r="HU153" i="9"/>
  <c r="HV153" i="9"/>
  <c r="HW153" i="9"/>
  <c r="HX153" i="9"/>
  <c r="HY153" i="9"/>
  <c r="HZ153" i="9"/>
  <c r="IA153" i="9"/>
  <c r="IB153" i="9"/>
  <c r="IC153" i="9"/>
  <c r="ID153" i="9"/>
  <c r="IE153" i="9"/>
  <c r="IF153" i="9"/>
  <c r="IG153" i="9"/>
  <c r="IH153" i="9"/>
  <c r="II153" i="9"/>
  <c r="IJ153" i="9"/>
  <c r="IK153" i="9"/>
  <c r="IL153" i="9"/>
  <c r="IM153" i="9"/>
  <c r="IN153" i="9"/>
  <c r="IO153" i="9"/>
  <c r="IP153" i="9"/>
  <c r="IQ153" i="9"/>
  <c r="IR153" i="9"/>
  <c r="IS153" i="9"/>
  <c r="IT153" i="9"/>
  <c r="IU153" i="9"/>
  <c r="IV153" i="9"/>
  <c r="A152" i="9"/>
  <c r="B152" i="9"/>
  <c r="C152" i="9"/>
  <c r="D152" i="9"/>
  <c r="E152" i="9"/>
  <c r="F152" i="9"/>
  <c r="G152" i="9"/>
  <c r="H152" i="9"/>
  <c r="I152" i="9"/>
  <c r="J152" i="9"/>
  <c r="K152" i="9"/>
  <c r="L152" i="9"/>
  <c r="M152" i="9"/>
  <c r="N152" i="9"/>
  <c r="O152" i="9"/>
  <c r="P152" i="9"/>
  <c r="Q152" i="9"/>
  <c r="R152" i="9"/>
  <c r="S152" i="9"/>
  <c r="T152" i="9"/>
  <c r="U152" i="9"/>
  <c r="V152" i="9"/>
  <c r="W152" i="9"/>
  <c r="X152" i="9"/>
  <c r="Y152" i="9"/>
  <c r="Z152" i="9"/>
  <c r="AA152" i="9"/>
  <c r="AB152" i="9"/>
  <c r="AC152" i="9"/>
  <c r="AD152" i="9"/>
  <c r="AE152" i="9"/>
  <c r="AF152" i="9"/>
  <c r="AG152" i="9"/>
  <c r="AH152" i="9"/>
  <c r="AI152" i="9"/>
  <c r="AJ152" i="9"/>
  <c r="AK152" i="9"/>
  <c r="AL152" i="9"/>
  <c r="AM152" i="9"/>
  <c r="AN152" i="9"/>
  <c r="AO152" i="9"/>
  <c r="AP152" i="9"/>
  <c r="AQ152" i="9"/>
  <c r="AR152" i="9"/>
  <c r="AS152" i="9"/>
  <c r="AT152" i="9"/>
  <c r="AU152" i="9"/>
  <c r="AV152" i="9"/>
  <c r="AW152" i="9"/>
  <c r="AX152" i="9"/>
  <c r="AY152" i="9"/>
  <c r="AZ152" i="9"/>
  <c r="BA152" i="9"/>
  <c r="BB152" i="9"/>
  <c r="BC152" i="9"/>
  <c r="BD152" i="9"/>
  <c r="BE152" i="9"/>
  <c r="BF152" i="9"/>
  <c r="BG152" i="9"/>
  <c r="BH152" i="9"/>
  <c r="BI152" i="9"/>
  <c r="BJ152" i="9"/>
  <c r="BK152" i="9"/>
  <c r="BL152" i="9"/>
  <c r="BM152" i="9"/>
  <c r="BN152" i="9"/>
  <c r="BO152" i="9"/>
  <c r="BP152" i="9"/>
  <c r="BQ152" i="9"/>
  <c r="BR152" i="9"/>
  <c r="BS152" i="9"/>
  <c r="BT152" i="9"/>
  <c r="BU152" i="9"/>
  <c r="BV152" i="9"/>
  <c r="BW152" i="9"/>
  <c r="BX152" i="9"/>
  <c r="BY152" i="9"/>
  <c r="BZ152" i="9"/>
  <c r="CA152" i="9"/>
  <c r="CB152" i="9"/>
  <c r="CC152" i="9"/>
  <c r="CD152" i="9"/>
  <c r="CE152" i="9"/>
  <c r="CF152" i="9"/>
  <c r="CG152" i="9"/>
  <c r="CH152" i="9"/>
  <c r="CI152" i="9"/>
  <c r="CJ152" i="9"/>
  <c r="CK152" i="9"/>
  <c r="CL152" i="9"/>
  <c r="CM152" i="9"/>
  <c r="CN152" i="9"/>
  <c r="CO152" i="9"/>
  <c r="CP152" i="9"/>
  <c r="CQ152" i="9"/>
  <c r="CR152" i="9"/>
  <c r="CS152" i="9"/>
  <c r="CT152" i="9"/>
  <c r="CU152" i="9"/>
  <c r="CV152" i="9"/>
  <c r="CW152" i="9"/>
  <c r="CX152" i="9"/>
  <c r="CY152" i="9"/>
  <c r="CZ152" i="9"/>
  <c r="DA152" i="9"/>
  <c r="DB152" i="9"/>
  <c r="DC152" i="9"/>
  <c r="DD152" i="9"/>
  <c r="DE152" i="9"/>
  <c r="DF152" i="9"/>
  <c r="DG152" i="9"/>
  <c r="DH152" i="9"/>
  <c r="DI152" i="9"/>
  <c r="DJ152" i="9"/>
  <c r="DK152" i="9"/>
  <c r="DL152" i="9"/>
  <c r="DM152" i="9"/>
  <c r="DN152" i="9"/>
  <c r="DO152" i="9"/>
  <c r="DP152" i="9"/>
  <c r="DQ152" i="9"/>
  <c r="DR152" i="9"/>
  <c r="DS152" i="9"/>
  <c r="DT152" i="9"/>
  <c r="DU152" i="9"/>
  <c r="DV152" i="9"/>
  <c r="DW152" i="9"/>
  <c r="DX152" i="9"/>
  <c r="DY152" i="9"/>
  <c r="DZ152" i="9"/>
  <c r="EA152" i="9"/>
  <c r="EB152" i="9"/>
  <c r="EC152" i="9"/>
  <c r="ED152" i="9"/>
  <c r="EE152" i="9"/>
  <c r="EF152" i="9"/>
  <c r="EG152" i="9"/>
  <c r="EH152" i="9"/>
  <c r="EI152" i="9"/>
  <c r="EJ152" i="9"/>
  <c r="EK152" i="9"/>
  <c r="EL152" i="9"/>
  <c r="EM152" i="9"/>
  <c r="EN152" i="9"/>
  <c r="EO152" i="9"/>
  <c r="EP152" i="9"/>
  <c r="EQ152" i="9"/>
  <c r="ER152" i="9"/>
  <c r="ES152" i="9"/>
  <c r="ET152" i="9"/>
  <c r="EU152" i="9"/>
  <c r="EV152" i="9"/>
  <c r="EW152" i="9"/>
  <c r="EX152" i="9"/>
  <c r="EY152" i="9"/>
  <c r="EZ152" i="9"/>
  <c r="FA152" i="9"/>
  <c r="FB152" i="9"/>
  <c r="FC152" i="9"/>
  <c r="FD152" i="9"/>
  <c r="FE152" i="9"/>
  <c r="FF152" i="9"/>
  <c r="FG152" i="9"/>
  <c r="FH152" i="9"/>
  <c r="FI152" i="9"/>
  <c r="FJ152" i="9"/>
  <c r="FK152" i="9"/>
  <c r="FL152" i="9"/>
  <c r="FM152" i="9"/>
  <c r="FN152" i="9"/>
  <c r="FO152" i="9"/>
  <c r="FP152" i="9"/>
  <c r="FQ152" i="9"/>
  <c r="FR152" i="9"/>
  <c r="FS152" i="9"/>
  <c r="FT152" i="9"/>
  <c r="FU152" i="9"/>
  <c r="FV152" i="9"/>
  <c r="FW152" i="9"/>
  <c r="FX152" i="9"/>
  <c r="FY152" i="9"/>
  <c r="FZ152" i="9"/>
  <c r="GA152" i="9"/>
  <c r="GB152" i="9"/>
  <c r="GC152" i="9"/>
  <c r="GD152" i="9"/>
  <c r="GE152" i="9"/>
  <c r="GF152" i="9"/>
  <c r="GG152" i="9"/>
  <c r="GH152" i="9"/>
  <c r="GI152" i="9"/>
  <c r="GJ152" i="9"/>
  <c r="GK152" i="9"/>
  <c r="GL152" i="9"/>
  <c r="GM152" i="9"/>
  <c r="GN152" i="9"/>
  <c r="GO152" i="9"/>
  <c r="GP152" i="9"/>
  <c r="GQ152" i="9"/>
  <c r="GR152" i="9"/>
  <c r="GS152" i="9"/>
  <c r="GT152" i="9"/>
  <c r="GU152" i="9"/>
  <c r="GV152" i="9"/>
  <c r="GW152" i="9"/>
  <c r="GX152" i="9"/>
  <c r="GY152" i="9"/>
  <c r="GZ152" i="9"/>
  <c r="HA152" i="9"/>
  <c r="HB152" i="9"/>
  <c r="HC152" i="9"/>
  <c r="HD152" i="9"/>
  <c r="HE152" i="9"/>
  <c r="HF152" i="9"/>
  <c r="HG152" i="9"/>
  <c r="HH152" i="9"/>
  <c r="HI152" i="9"/>
  <c r="HJ152" i="9"/>
  <c r="HK152" i="9"/>
  <c r="HL152" i="9"/>
  <c r="HM152" i="9"/>
  <c r="HN152" i="9"/>
  <c r="HO152" i="9"/>
  <c r="HP152" i="9"/>
  <c r="HQ152" i="9"/>
  <c r="HR152" i="9"/>
  <c r="HS152" i="9"/>
  <c r="HT152" i="9"/>
  <c r="HU152" i="9"/>
  <c r="HV152" i="9"/>
  <c r="HW152" i="9"/>
  <c r="HX152" i="9"/>
  <c r="HY152" i="9"/>
  <c r="HZ152" i="9"/>
  <c r="IA152" i="9"/>
  <c r="IB152" i="9"/>
  <c r="IC152" i="9"/>
  <c r="ID152" i="9"/>
  <c r="IE152" i="9"/>
  <c r="IF152" i="9"/>
  <c r="IG152" i="9"/>
  <c r="IH152" i="9"/>
  <c r="II152" i="9"/>
  <c r="IJ152" i="9"/>
  <c r="IK152" i="9"/>
  <c r="IL152" i="9"/>
  <c r="IM152" i="9"/>
  <c r="IN152" i="9"/>
  <c r="IO152" i="9"/>
  <c r="IP152" i="9"/>
  <c r="IQ152" i="9"/>
  <c r="IR152" i="9"/>
  <c r="IS152" i="9"/>
  <c r="IT152" i="9"/>
  <c r="IU152" i="9"/>
  <c r="IV152" i="9"/>
  <c r="A151" i="9"/>
  <c r="B151" i="9"/>
  <c r="C151" i="9"/>
  <c r="D151" i="9"/>
  <c r="E151" i="9"/>
  <c r="F151" i="9"/>
  <c r="G151" i="9"/>
  <c r="H151" i="9"/>
  <c r="I151" i="9"/>
  <c r="J151" i="9"/>
  <c r="K151" i="9"/>
  <c r="L151" i="9"/>
  <c r="M151" i="9"/>
  <c r="N151" i="9"/>
  <c r="O151" i="9"/>
  <c r="P151" i="9"/>
  <c r="Q151" i="9"/>
  <c r="R151" i="9"/>
  <c r="S151" i="9"/>
  <c r="T151" i="9"/>
  <c r="U151" i="9"/>
  <c r="V151" i="9"/>
  <c r="W151" i="9"/>
  <c r="X151" i="9"/>
  <c r="Y151" i="9"/>
  <c r="Z151" i="9"/>
  <c r="AA151" i="9"/>
  <c r="AB151" i="9"/>
  <c r="AC151" i="9"/>
  <c r="AD151" i="9"/>
  <c r="AE151" i="9"/>
  <c r="AF151" i="9"/>
  <c r="AG151" i="9"/>
  <c r="AH151" i="9"/>
  <c r="AI151" i="9"/>
  <c r="AJ151" i="9"/>
  <c r="AK151" i="9"/>
  <c r="AL151" i="9"/>
  <c r="AM151" i="9"/>
  <c r="AN151" i="9"/>
  <c r="AO151" i="9"/>
  <c r="AP151" i="9"/>
  <c r="AQ151" i="9"/>
  <c r="AR151" i="9"/>
  <c r="AS151" i="9"/>
  <c r="AT151" i="9"/>
  <c r="AU151" i="9"/>
  <c r="AV151" i="9"/>
  <c r="AW151" i="9"/>
  <c r="AX151" i="9"/>
  <c r="AY151" i="9"/>
  <c r="AZ151" i="9"/>
  <c r="BA151" i="9"/>
  <c r="BB151" i="9"/>
  <c r="BC151" i="9"/>
  <c r="BD151" i="9"/>
  <c r="BE151" i="9"/>
  <c r="BF151" i="9"/>
  <c r="BG151" i="9"/>
  <c r="BH151" i="9"/>
  <c r="BI151" i="9"/>
  <c r="BJ151" i="9"/>
  <c r="BK151" i="9"/>
  <c r="BL151" i="9"/>
  <c r="BM151" i="9"/>
  <c r="BN151" i="9"/>
  <c r="BO151" i="9"/>
  <c r="BP151" i="9"/>
  <c r="BQ151" i="9"/>
  <c r="BR151" i="9"/>
  <c r="BS151" i="9"/>
  <c r="BT151" i="9"/>
  <c r="BU151" i="9"/>
  <c r="BV151" i="9"/>
  <c r="BW151" i="9"/>
  <c r="BX151" i="9"/>
  <c r="BY151" i="9"/>
  <c r="BZ151" i="9"/>
  <c r="CA151" i="9"/>
  <c r="CB151" i="9"/>
  <c r="CC151" i="9"/>
  <c r="CD151" i="9"/>
  <c r="CE151" i="9"/>
  <c r="CF151" i="9"/>
  <c r="CG151" i="9"/>
  <c r="CH151" i="9"/>
  <c r="CI151" i="9"/>
  <c r="CJ151" i="9"/>
  <c r="CK151" i="9"/>
  <c r="CL151" i="9"/>
  <c r="CM151" i="9"/>
  <c r="CN151" i="9"/>
  <c r="CO151" i="9"/>
  <c r="CP151" i="9"/>
  <c r="CQ151" i="9"/>
  <c r="CR151" i="9"/>
  <c r="CS151" i="9"/>
  <c r="CT151" i="9"/>
  <c r="CU151" i="9"/>
  <c r="CV151" i="9"/>
  <c r="CW151" i="9"/>
  <c r="CX151" i="9"/>
  <c r="CY151" i="9"/>
  <c r="CZ151" i="9"/>
  <c r="DA151" i="9"/>
  <c r="DB151" i="9"/>
  <c r="DC151" i="9"/>
  <c r="DD151" i="9"/>
  <c r="DE151" i="9"/>
  <c r="DF151" i="9"/>
  <c r="DG151" i="9"/>
  <c r="DH151" i="9"/>
  <c r="DI151" i="9"/>
  <c r="DJ151" i="9"/>
  <c r="DK151" i="9"/>
  <c r="DL151" i="9"/>
  <c r="DM151" i="9"/>
  <c r="DN151" i="9"/>
  <c r="DO151" i="9"/>
  <c r="DP151" i="9"/>
  <c r="DQ151" i="9"/>
  <c r="DR151" i="9"/>
  <c r="DS151" i="9"/>
  <c r="DT151" i="9"/>
  <c r="DU151" i="9"/>
  <c r="DV151" i="9"/>
  <c r="DW151" i="9"/>
  <c r="DX151" i="9"/>
  <c r="DY151" i="9"/>
  <c r="DZ151" i="9"/>
  <c r="EA151" i="9"/>
  <c r="EB151" i="9"/>
  <c r="EC151" i="9"/>
  <c r="ED151" i="9"/>
  <c r="EE151" i="9"/>
  <c r="EF151" i="9"/>
  <c r="EG151" i="9"/>
  <c r="EH151" i="9"/>
  <c r="EI151" i="9"/>
  <c r="EJ151" i="9"/>
  <c r="EK151" i="9"/>
  <c r="EL151" i="9"/>
  <c r="EM151" i="9"/>
  <c r="EN151" i="9"/>
  <c r="EO151" i="9"/>
  <c r="EP151" i="9"/>
  <c r="EQ151" i="9"/>
  <c r="ER151" i="9"/>
  <c r="ES151" i="9"/>
  <c r="ET151" i="9"/>
  <c r="EU151" i="9"/>
  <c r="EV151" i="9"/>
  <c r="EW151" i="9"/>
  <c r="EX151" i="9"/>
  <c r="EY151" i="9"/>
  <c r="EZ151" i="9"/>
  <c r="FA151" i="9"/>
  <c r="FB151" i="9"/>
  <c r="FC151" i="9"/>
  <c r="FD151" i="9"/>
  <c r="FE151" i="9"/>
  <c r="FF151" i="9"/>
  <c r="FG151" i="9"/>
  <c r="FH151" i="9"/>
  <c r="FI151" i="9"/>
  <c r="FJ151" i="9"/>
  <c r="FK151" i="9"/>
  <c r="FL151" i="9"/>
  <c r="FM151" i="9"/>
  <c r="FN151" i="9"/>
  <c r="FO151" i="9"/>
  <c r="FP151" i="9"/>
  <c r="FQ151" i="9"/>
  <c r="FR151" i="9"/>
  <c r="FS151" i="9"/>
  <c r="FT151" i="9"/>
  <c r="FU151" i="9"/>
  <c r="FV151" i="9"/>
  <c r="FW151" i="9"/>
  <c r="FX151" i="9"/>
  <c r="FY151" i="9"/>
  <c r="FZ151" i="9"/>
  <c r="GA151" i="9"/>
  <c r="GB151" i="9"/>
  <c r="GC151" i="9"/>
  <c r="GD151" i="9"/>
  <c r="GE151" i="9"/>
  <c r="GF151" i="9"/>
  <c r="GG151" i="9"/>
  <c r="GH151" i="9"/>
  <c r="GI151" i="9"/>
  <c r="GJ151" i="9"/>
  <c r="GK151" i="9"/>
  <c r="GL151" i="9"/>
  <c r="GM151" i="9"/>
  <c r="GN151" i="9"/>
  <c r="GO151" i="9"/>
  <c r="GP151" i="9"/>
  <c r="GQ151" i="9"/>
  <c r="GR151" i="9"/>
  <c r="GS151" i="9"/>
  <c r="GT151" i="9"/>
  <c r="GU151" i="9"/>
  <c r="GV151" i="9"/>
  <c r="GW151" i="9"/>
  <c r="GX151" i="9"/>
  <c r="GY151" i="9"/>
  <c r="GZ151" i="9"/>
  <c r="HA151" i="9"/>
  <c r="HB151" i="9"/>
  <c r="HC151" i="9"/>
  <c r="HD151" i="9"/>
  <c r="HE151" i="9"/>
  <c r="HF151" i="9"/>
  <c r="HG151" i="9"/>
  <c r="HH151" i="9"/>
  <c r="HI151" i="9"/>
  <c r="HJ151" i="9"/>
  <c r="HK151" i="9"/>
  <c r="HL151" i="9"/>
  <c r="HM151" i="9"/>
  <c r="HN151" i="9"/>
  <c r="HO151" i="9"/>
  <c r="HP151" i="9"/>
  <c r="HQ151" i="9"/>
  <c r="HR151" i="9"/>
  <c r="HS151" i="9"/>
  <c r="HT151" i="9"/>
  <c r="HU151" i="9"/>
  <c r="HV151" i="9"/>
  <c r="HW151" i="9"/>
  <c r="HX151" i="9"/>
  <c r="HY151" i="9"/>
  <c r="HZ151" i="9"/>
  <c r="IA151" i="9"/>
  <c r="IB151" i="9"/>
  <c r="IC151" i="9"/>
  <c r="ID151" i="9"/>
  <c r="IE151" i="9"/>
  <c r="IF151" i="9"/>
  <c r="IG151" i="9"/>
  <c r="IH151" i="9"/>
  <c r="II151" i="9"/>
  <c r="IJ151" i="9"/>
  <c r="IK151" i="9"/>
  <c r="IL151" i="9"/>
  <c r="IM151" i="9"/>
  <c r="IN151" i="9"/>
  <c r="IO151" i="9"/>
  <c r="IP151" i="9"/>
  <c r="IQ151" i="9"/>
  <c r="IR151" i="9"/>
  <c r="IS151" i="9"/>
  <c r="IT151" i="9"/>
  <c r="IU151" i="9"/>
  <c r="IV151" i="9"/>
  <c r="A150" i="9"/>
  <c r="B150" i="9"/>
  <c r="C150" i="9"/>
  <c r="D150" i="9"/>
  <c r="E150" i="9"/>
  <c r="F150" i="9"/>
  <c r="G150" i="9"/>
  <c r="H150" i="9"/>
  <c r="I150" i="9"/>
  <c r="J150" i="9"/>
  <c r="K150" i="9"/>
  <c r="L150" i="9"/>
  <c r="M150" i="9"/>
  <c r="N150" i="9"/>
  <c r="O150" i="9"/>
  <c r="P150" i="9"/>
  <c r="Q150" i="9"/>
  <c r="R150" i="9"/>
  <c r="S150" i="9"/>
  <c r="T150" i="9"/>
  <c r="U150" i="9"/>
  <c r="V150" i="9"/>
  <c r="W150" i="9"/>
  <c r="X150" i="9"/>
  <c r="Y150" i="9"/>
  <c r="Z150" i="9"/>
  <c r="AA150" i="9"/>
  <c r="AB150" i="9"/>
  <c r="AC150" i="9"/>
  <c r="AD150" i="9"/>
  <c r="AE150" i="9"/>
  <c r="AF150" i="9"/>
  <c r="AG150" i="9"/>
  <c r="AH150" i="9"/>
  <c r="AI150" i="9"/>
  <c r="AJ150" i="9"/>
  <c r="AK150" i="9"/>
  <c r="AL150" i="9"/>
  <c r="AM150" i="9"/>
  <c r="AN150" i="9"/>
  <c r="AO150" i="9"/>
  <c r="AP150" i="9"/>
  <c r="AQ150" i="9"/>
  <c r="AR150" i="9"/>
  <c r="AS150" i="9"/>
  <c r="AT150" i="9"/>
  <c r="AU150" i="9"/>
  <c r="AV150" i="9"/>
  <c r="AW150" i="9"/>
  <c r="AX150" i="9"/>
  <c r="AY150" i="9"/>
  <c r="AZ150" i="9"/>
  <c r="BA150" i="9"/>
  <c r="BB150" i="9"/>
  <c r="BC150" i="9"/>
  <c r="BD150" i="9"/>
  <c r="BE150" i="9"/>
  <c r="BF150" i="9"/>
  <c r="BG150" i="9"/>
  <c r="BH150" i="9"/>
  <c r="BI150" i="9"/>
  <c r="BJ150" i="9"/>
  <c r="BK150" i="9"/>
  <c r="BL150" i="9"/>
  <c r="BM150" i="9"/>
  <c r="BN150" i="9"/>
  <c r="BO150" i="9"/>
  <c r="BP150" i="9"/>
  <c r="BQ150" i="9"/>
  <c r="BR150" i="9"/>
  <c r="BS150" i="9"/>
  <c r="BT150" i="9"/>
  <c r="BU150" i="9"/>
  <c r="BV150" i="9"/>
  <c r="BW150" i="9"/>
  <c r="BX150" i="9"/>
  <c r="BY150" i="9"/>
  <c r="BZ150" i="9"/>
  <c r="CA150" i="9"/>
  <c r="CB150" i="9"/>
  <c r="CC150" i="9"/>
  <c r="CD150" i="9"/>
  <c r="CE150" i="9"/>
  <c r="CF150" i="9"/>
  <c r="CG150" i="9"/>
  <c r="CH150" i="9"/>
  <c r="CI150" i="9"/>
  <c r="CJ150" i="9"/>
  <c r="CK150" i="9"/>
  <c r="CL150" i="9"/>
  <c r="CM150" i="9"/>
  <c r="CN150" i="9"/>
  <c r="CO150" i="9"/>
  <c r="CP150" i="9"/>
  <c r="CQ150" i="9"/>
  <c r="CR150" i="9"/>
  <c r="CS150" i="9"/>
  <c r="CT150" i="9"/>
  <c r="CU150" i="9"/>
  <c r="CV150" i="9"/>
  <c r="CW150" i="9"/>
  <c r="CX150" i="9"/>
  <c r="CY150" i="9"/>
  <c r="CZ150" i="9"/>
  <c r="DA150" i="9"/>
  <c r="DB150" i="9"/>
  <c r="DC150" i="9"/>
  <c r="DD150" i="9"/>
  <c r="DE150" i="9"/>
  <c r="DF150" i="9"/>
  <c r="DG150" i="9"/>
  <c r="DH150" i="9"/>
  <c r="DI150" i="9"/>
  <c r="DJ150" i="9"/>
  <c r="DK150" i="9"/>
  <c r="DL150" i="9"/>
  <c r="DM150" i="9"/>
  <c r="DN150" i="9"/>
  <c r="DO150" i="9"/>
  <c r="DP150" i="9"/>
  <c r="DQ150" i="9"/>
  <c r="DR150" i="9"/>
  <c r="DS150" i="9"/>
  <c r="DT150" i="9"/>
  <c r="DU150" i="9"/>
  <c r="DV150" i="9"/>
  <c r="DW150" i="9"/>
  <c r="DX150" i="9"/>
  <c r="DY150" i="9"/>
  <c r="DZ150" i="9"/>
  <c r="EA150" i="9"/>
  <c r="EB150" i="9"/>
  <c r="EC150" i="9"/>
  <c r="ED150" i="9"/>
  <c r="EE150" i="9"/>
  <c r="EF150" i="9"/>
  <c r="EG150" i="9"/>
  <c r="EH150" i="9"/>
  <c r="EI150" i="9"/>
  <c r="EJ150" i="9"/>
  <c r="EK150" i="9"/>
  <c r="EL150" i="9"/>
  <c r="EM150" i="9"/>
  <c r="EN150" i="9"/>
  <c r="EO150" i="9"/>
  <c r="EP150" i="9"/>
  <c r="EQ150" i="9"/>
  <c r="ER150" i="9"/>
  <c r="ES150" i="9"/>
  <c r="ET150" i="9"/>
  <c r="EU150" i="9"/>
  <c r="EV150" i="9"/>
  <c r="EW150" i="9"/>
  <c r="EX150" i="9"/>
  <c r="EY150" i="9"/>
  <c r="EZ150" i="9"/>
  <c r="FA150" i="9"/>
  <c r="FB150" i="9"/>
  <c r="FC150" i="9"/>
  <c r="FD150" i="9"/>
  <c r="FE150" i="9"/>
  <c r="FF150" i="9"/>
  <c r="FG150" i="9"/>
  <c r="FH150" i="9"/>
  <c r="FI150" i="9"/>
  <c r="FJ150" i="9"/>
  <c r="FK150" i="9"/>
  <c r="FL150" i="9"/>
  <c r="FM150" i="9"/>
  <c r="FN150" i="9"/>
  <c r="FO150" i="9"/>
  <c r="FP150" i="9"/>
  <c r="FQ150" i="9"/>
  <c r="FR150" i="9"/>
  <c r="FS150" i="9"/>
  <c r="FT150" i="9"/>
  <c r="FU150" i="9"/>
  <c r="FV150" i="9"/>
  <c r="FW150" i="9"/>
  <c r="FX150" i="9"/>
  <c r="FY150" i="9"/>
  <c r="FZ150" i="9"/>
  <c r="GA150" i="9"/>
  <c r="GB150" i="9"/>
  <c r="GC150" i="9"/>
  <c r="GD150" i="9"/>
  <c r="GE150" i="9"/>
  <c r="GF150" i="9"/>
  <c r="GG150" i="9"/>
  <c r="GH150" i="9"/>
  <c r="GI150" i="9"/>
  <c r="GJ150" i="9"/>
  <c r="GK150" i="9"/>
  <c r="GL150" i="9"/>
  <c r="GM150" i="9"/>
  <c r="GN150" i="9"/>
  <c r="GO150" i="9"/>
  <c r="GP150" i="9"/>
  <c r="GQ150" i="9"/>
  <c r="GR150" i="9"/>
  <c r="GS150" i="9"/>
  <c r="GT150" i="9"/>
  <c r="GU150" i="9"/>
  <c r="GV150" i="9"/>
  <c r="GW150" i="9"/>
  <c r="GX150" i="9"/>
  <c r="GY150" i="9"/>
  <c r="GZ150" i="9"/>
  <c r="HA150" i="9"/>
  <c r="HB150" i="9"/>
  <c r="HC150" i="9"/>
  <c r="HD150" i="9"/>
  <c r="HE150" i="9"/>
  <c r="HF150" i="9"/>
  <c r="HG150" i="9"/>
  <c r="HH150" i="9"/>
  <c r="HI150" i="9"/>
  <c r="HJ150" i="9"/>
  <c r="HK150" i="9"/>
  <c r="HL150" i="9"/>
  <c r="HM150" i="9"/>
  <c r="HN150" i="9"/>
  <c r="HO150" i="9"/>
  <c r="HP150" i="9"/>
  <c r="HQ150" i="9"/>
  <c r="HR150" i="9"/>
  <c r="HS150" i="9"/>
  <c r="HT150" i="9"/>
  <c r="HU150" i="9"/>
  <c r="HV150" i="9"/>
  <c r="HW150" i="9"/>
  <c r="HX150" i="9"/>
  <c r="HY150" i="9"/>
  <c r="HZ150" i="9"/>
  <c r="IA150" i="9"/>
  <c r="IB150" i="9"/>
  <c r="IC150" i="9"/>
  <c r="ID150" i="9"/>
  <c r="IE150" i="9"/>
  <c r="IF150" i="9"/>
  <c r="IG150" i="9"/>
  <c r="IH150" i="9"/>
  <c r="II150" i="9"/>
  <c r="IJ150" i="9"/>
  <c r="IK150" i="9"/>
  <c r="IL150" i="9"/>
  <c r="IM150" i="9"/>
  <c r="IN150" i="9"/>
  <c r="IO150" i="9"/>
  <c r="IP150" i="9"/>
  <c r="IQ150" i="9"/>
  <c r="IR150" i="9"/>
  <c r="IS150" i="9"/>
  <c r="IT150" i="9"/>
  <c r="IU150" i="9"/>
  <c r="IV150" i="9"/>
  <c r="A149" i="9"/>
  <c r="B149" i="9"/>
  <c r="C149" i="9"/>
  <c r="D149" i="9"/>
  <c r="E149" i="9"/>
  <c r="F149" i="9"/>
  <c r="G149" i="9"/>
  <c r="H149" i="9"/>
  <c r="I149" i="9"/>
  <c r="J149" i="9"/>
  <c r="K149" i="9"/>
  <c r="L149" i="9"/>
  <c r="M149" i="9"/>
  <c r="N149" i="9"/>
  <c r="O149" i="9"/>
  <c r="P149" i="9"/>
  <c r="Q149" i="9"/>
  <c r="R149" i="9"/>
  <c r="S149" i="9"/>
  <c r="T149" i="9"/>
  <c r="U149" i="9"/>
  <c r="V149" i="9"/>
  <c r="W149" i="9"/>
  <c r="X149" i="9"/>
  <c r="Y149" i="9"/>
  <c r="Z149" i="9"/>
  <c r="AA149" i="9"/>
  <c r="AB149" i="9"/>
  <c r="AC149" i="9"/>
  <c r="AD149" i="9"/>
  <c r="AE149" i="9"/>
  <c r="AF149" i="9"/>
  <c r="AG149" i="9"/>
  <c r="AH149" i="9"/>
  <c r="AI149" i="9"/>
  <c r="AJ149" i="9"/>
  <c r="AK149" i="9"/>
  <c r="AL149" i="9"/>
  <c r="AM149" i="9"/>
  <c r="AN149" i="9"/>
  <c r="AO149" i="9"/>
  <c r="AP149" i="9"/>
  <c r="AQ149" i="9"/>
  <c r="AR149" i="9"/>
  <c r="AS149" i="9"/>
  <c r="AT149" i="9"/>
  <c r="AU149" i="9"/>
  <c r="AV149" i="9"/>
  <c r="AW149" i="9"/>
  <c r="AX149" i="9"/>
  <c r="AY149" i="9"/>
  <c r="AZ149" i="9"/>
  <c r="BA149" i="9"/>
  <c r="BB149" i="9"/>
  <c r="BC149" i="9"/>
  <c r="BD149" i="9"/>
  <c r="BE149" i="9"/>
  <c r="BF149" i="9"/>
  <c r="BG149" i="9"/>
  <c r="BH149" i="9"/>
  <c r="BI149" i="9"/>
  <c r="BJ149" i="9"/>
  <c r="BK149" i="9"/>
  <c r="BL149" i="9"/>
  <c r="BM149" i="9"/>
  <c r="BN149" i="9"/>
  <c r="BO149" i="9"/>
  <c r="BP149" i="9"/>
  <c r="BQ149" i="9"/>
  <c r="BR149" i="9"/>
  <c r="BS149" i="9"/>
  <c r="BT149" i="9"/>
  <c r="BU149" i="9"/>
  <c r="BV149" i="9"/>
  <c r="BW149" i="9"/>
  <c r="BX149" i="9"/>
  <c r="BY149" i="9"/>
  <c r="BZ149" i="9"/>
  <c r="CA149" i="9"/>
  <c r="CB149" i="9"/>
  <c r="CC149" i="9"/>
  <c r="CD149" i="9"/>
  <c r="CE149" i="9"/>
  <c r="CF149" i="9"/>
  <c r="CG149" i="9"/>
  <c r="CH149" i="9"/>
  <c r="CI149" i="9"/>
  <c r="CJ149" i="9"/>
  <c r="CK149" i="9"/>
  <c r="CL149" i="9"/>
  <c r="CM149" i="9"/>
  <c r="CN149" i="9"/>
  <c r="CO149" i="9"/>
  <c r="CP149" i="9"/>
  <c r="CQ149" i="9"/>
  <c r="CR149" i="9"/>
  <c r="CS149" i="9"/>
  <c r="CT149" i="9"/>
  <c r="CU149" i="9"/>
  <c r="CV149" i="9"/>
  <c r="CW149" i="9"/>
  <c r="CX149" i="9"/>
  <c r="CY149" i="9"/>
  <c r="CZ149" i="9"/>
  <c r="DA149" i="9"/>
  <c r="DB149" i="9"/>
  <c r="DC149" i="9"/>
  <c r="DD149" i="9"/>
  <c r="DE149" i="9"/>
  <c r="DF149" i="9"/>
  <c r="DG149" i="9"/>
  <c r="DH149" i="9"/>
  <c r="DI149" i="9"/>
  <c r="DJ149" i="9"/>
  <c r="DK149" i="9"/>
  <c r="DL149" i="9"/>
  <c r="DM149" i="9"/>
  <c r="DN149" i="9"/>
  <c r="DO149" i="9"/>
  <c r="DP149" i="9"/>
  <c r="DQ149" i="9"/>
  <c r="DR149" i="9"/>
  <c r="DS149" i="9"/>
  <c r="DT149" i="9"/>
  <c r="DU149" i="9"/>
  <c r="DV149" i="9"/>
  <c r="DW149" i="9"/>
  <c r="DX149" i="9"/>
  <c r="DY149" i="9"/>
  <c r="DZ149" i="9"/>
  <c r="EA149" i="9"/>
  <c r="EB149" i="9"/>
  <c r="EC149" i="9"/>
  <c r="ED149" i="9"/>
  <c r="EE149" i="9"/>
  <c r="EF149" i="9"/>
  <c r="EG149" i="9"/>
  <c r="EH149" i="9"/>
  <c r="EI149" i="9"/>
  <c r="EJ149" i="9"/>
  <c r="EK149" i="9"/>
  <c r="EL149" i="9"/>
  <c r="EM149" i="9"/>
  <c r="EN149" i="9"/>
  <c r="EO149" i="9"/>
  <c r="EP149" i="9"/>
  <c r="EQ149" i="9"/>
  <c r="ER149" i="9"/>
  <c r="ES149" i="9"/>
  <c r="ET149" i="9"/>
  <c r="EU149" i="9"/>
  <c r="EV149" i="9"/>
  <c r="EW149" i="9"/>
  <c r="EX149" i="9"/>
  <c r="EY149" i="9"/>
  <c r="EZ149" i="9"/>
  <c r="FA149" i="9"/>
  <c r="FB149" i="9"/>
  <c r="FC149" i="9"/>
  <c r="FD149" i="9"/>
  <c r="FE149" i="9"/>
  <c r="FF149" i="9"/>
  <c r="FG149" i="9"/>
  <c r="FH149" i="9"/>
  <c r="FI149" i="9"/>
  <c r="FJ149" i="9"/>
  <c r="FK149" i="9"/>
  <c r="FL149" i="9"/>
  <c r="FM149" i="9"/>
  <c r="FN149" i="9"/>
  <c r="FO149" i="9"/>
  <c r="FP149" i="9"/>
  <c r="FQ149" i="9"/>
  <c r="FR149" i="9"/>
  <c r="FS149" i="9"/>
  <c r="FT149" i="9"/>
  <c r="FU149" i="9"/>
  <c r="FV149" i="9"/>
  <c r="FW149" i="9"/>
  <c r="FX149" i="9"/>
  <c r="FY149" i="9"/>
  <c r="FZ149" i="9"/>
  <c r="GA149" i="9"/>
  <c r="GB149" i="9"/>
  <c r="GC149" i="9"/>
  <c r="GD149" i="9"/>
  <c r="GE149" i="9"/>
  <c r="GF149" i="9"/>
  <c r="GG149" i="9"/>
  <c r="GH149" i="9"/>
  <c r="GI149" i="9"/>
  <c r="GJ149" i="9"/>
  <c r="GK149" i="9"/>
  <c r="GL149" i="9"/>
  <c r="GM149" i="9"/>
  <c r="GN149" i="9"/>
  <c r="GO149" i="9"/>
  <c r="GP149" i="9"/>
  <c r="GQ149" i="9"/>
  <c r="GR149" i="9"/>
  <c r="GS149" i="9"/>
  <c r="GT149" i="9"/>
  <c r="GU149" i="9"/>
  <c r="GV149" i="9"/>
  <c r="GW149" i="9"/>
  <c r="GX149" i="9"/>
  <c r="GY149" i="9"/>
  <c r="GZ149" i="9"/>
  <c r="HA149" i="9"/>
  <c r="HB149" i="9"/>
  <c r="HC149" i="9"/>
  <c r="HD149" i="9"/>
  <c r="HE149" i="9"/>
  <c r="HF149" i="9"/>
  <c r="HG149" i="9"/>
  <c r="HH149" i="9"/>
  <c r="HI149" i="9"/>
  <c r="HJ149" i="9"/>
  <c r="HK149" i="9"/>
  <c r="HL149" i="9"/>
  <c r="HM149" i="9"/>
  <c r="HN149" i="9"/>
  <c r="HO149" i="9"/>
  <c r="HP149" i="9"/>
  <c r="HQ149" i="9"/>
  <c r="HR149" i="9"/>
  <c r="HS149" i="9"/>
  <c r="HT149" i="9"/>
  <c r="HU149" i="9"/>
  <c r="HV149" i="9"/>
  <c r="HW149" i="9"/>
  <c r="HX149" i="9"/>
  <c r="HY149" i="9"/>
  <c r="HZ149" i="9"/>
  <c r="IA149" i="9"/>
  <c r="IB149" i="9"/>
  <c r="IC149" i="9"/>
  <c r="ID149" i="9"/>
  <c r="IE149" i="9"/>
  <c r="IF149" i="9"/>
  <c r="IG149" i="9"/>
  <c r="IH149" i="9"/>
  <c r="II149" i="9"/>
  <c r="IJ149" i="9"/>
  <c r="IK149" i="9"/>
  <c r="IL149" i="9"/>
  <c r="IM149" i="9"/>
  <c r="IN149" i="9"/>
  <c r="IO149" i="9"/>
  <c r="IP149" i="9"/>
  <c r="IQ149" i="9"/>
  <c r="IR149" i="9"/>
  <c r="IS149" i="9"/>
  <c r="IT149" i="9"/>
  <c r="IU149" i="9"/>
  <c r="IV149" i="9"/>
  <c r="A148" i="9"/>
  <c r="B148" i="9"/>
  <c r="C148" i="9"/>
  <c r="D148" i="9"/>
  <c r="E148" i="9"/>
  <c r="F148" i="9"/>
  <c r="G148" i="9"/>
  <c r="H148" i="9"/>
  <c r="I148" i="9"/>
  <c r="J148" i="9"/>
  <c r="K148" i="9"/>
  <c r="L148" i="9"/>
  <c r="M148" i="9"/>
  <c r="N148" i="9"/>
  <c r="O148" i="9"/>
  <c r="P148" i="9"/>
  <c r="Q148" i="9"/>
  <c r="R148" i="9"/>
  <c r="S148" i="9"/>
  <c r="T148" i="9"/>
  <c r="U148" i="9"/>
  <c r="V148" i="9"/>
  <c r="W148" i="9"/>
  <c r="X148" i="9"/>
  <c r="Y148" i="9"/>
  <c r="Z148" i="9"/>
  <c r="AA148" i="9"/>
  <c r="AB148" i="9"/>
  <c r="AC148" i="9"/>
  <c r="AD148" i="9"/>
  <c r="AE148" i="9"/>
  <c r="AF148" i="9"/>
  <c r="AG148" i="9"/>
  <c r="AH148" i="9"/>
  <c r="AI148" i="9"/>
  <c r="AJ148" i="9"/>
  <c r="AK148" i="9"/>
  <c r="AL148" i="9"/>
  <c r="AM148" i="9"/>
  <c r="AN148" i="9"/>
  <c r="AO148" i="9"/>
  <c r="AP148" i="9"/>
  <c r="AQ148" i="9"/>
  <c r="AR148" i="9"/>
  <c r="AS148" i="9"/>
  <c r="AT148" i="9"/>
  <c r="AU148" i="9"/>
  <c r="AV148" i="9"/>
  <c r="AW148" i="9"/>
  <c r="AX148" i="9"/>
  <c r="AY148" i="9"/>
  <c r="AZ148" i="9"/>
  <c r="BA148" i="9"/>
  <c r="BB148" i="9"/>
  <c r="BC148" i="9"/>
  <c r="BD148" i="9"/>
  <c r="BE148" i="9"/>
  <c r="BF148" i="9"/>
  <c r="BG148" i="9"/>
  <c r="BH148" i="9"/>
  <c r="BI148" i="9"/>
  <c r="BJ148" i="9"/>
  <c r="BK148" i="9"/>
  <c r="BL148" i="9"/>
  <c r="BM148" i="9"/>
  <c r="BN148" i="9"/>
  <c r="BO148" i="9"/>
  <c r="BP148" i="9"/>
  <c r="BQ148" i="9"/>
  <c r="BR148" i="9"/>
  <c r="BS148" i="9"/>
  <c r="BT148" i="9"/>
  <c r="BU148" i="9"/>
  <c r="BV148" i="9"/>
  <c r="BW148" i="9"/>
  <c r="BX148" i="9"/>
  <c r="BY148" i="9"/>
  <c r="BZ148" i="9"/>
  <c r="CA148" i="9"/>
  <c r="CB148" i="9"/>
  <c r="CC148" i="9"/>
  <c r="CD148" i="9"/>
  <c r="CE148" i="9"/>
  <c r="CF148" i="9"/>
  <c r="CG148" i="9"/>
  <c r="CH148" i="9"/>
  <c r="CI148" i="9"/>
  <c r="CJ148" i="9"/>
  <c r="CK148" i="9"/>
  <c r="CL148" i="9"/>
  <c r="CM148" i="9"/>
  <c r="CN148" i="9"/>
  <c r="CO148" i="9"/>
  <c r="CP148" i="9"/>
  <c r="CQ148" i="9"/>
  <c r="CR148" i="9"/>
  <c r="CS148" i="9"/>
  <c r="CT148" i="9"/>
  <c r="CU148" i="9"/>
  <c r="CV148" i="9"/>
  <c r="CW148" i="9"/>
  <c r="CX148" i="9"/>
  <c r="CY148" i="9"/>
  <c r="CZ148" i="9"/>
  <c r="DA148" i="9"/>
  <c r="DB148" i="9"/>
  <c r="DC148" i="9"/>
  <c r="DD148" i="9"/>
  <c r="DE148" i="9"/>
  <c r="DF148" i="9"/>
  <c r="DG148" i="9"/>
  <c r="DH148" i="9"/>
  <c r="DI148" i="9"/>
  <c r="DJ148" i="9"/>
  <c r="DK148" i="9"/>
  <c r="DL148" i="9"/>
  <c r="DM148" i="9"/>
  <c r="DN148" i="9"/>
  <c r="DO148" i="9"/>
  <c r="DP148" i="9"/>
  <c r="DQ148" i="9"/>
  <c r="DR148" i="9"/>
  <c r="DS148" i="9"/>
  <c r="DT148" i="9"/>
  <c r="DU148" i="9"/>
  <c r="DV148" i="9"/>
  <c r="DW148" i="9"/>
  <c r="DX148" i="9"/>
  <c r="DY148" i="9"/>
  <c r="DZ148" i="9"/>
  <c r="EA148" i="9"/>
  <c r="EB148" i="9"/>
  <c r="EC148" i="9"/>
  <c r="ED148" i="9"/>
  <c r="EE148" i="9"/>
  <c r="EF148" i="9"/>
  <c r="EG148" i="9"/>
  <c r="EH148" i="9"/>
  <c r="EI148" i="9"/>
  <c r="EJ148" i="9"/>
  <c r="EK148" i="9"/>
  <c r="EL148" i="9"/>
  <c r="EM148" i="9"/>
  <c r="EN148" i="9"/>
  <c r="EO148" i="9"/>
  <c r="EP148" i="9"/>
  <c r="EQ148" i="9"/>
  <c r="ER148" i="9"/>
  <c r="ES148" i="9"/>
  <c r="ET148" i="9"/>
  <c r="EU148" i="9"/>
  <c r="EV148" i="9"/>
  <c r="EW148" i="9"/>
  <c r="EX148" i="9"/>
  <c r="EY148" i="9"/>
  <c r="EZ148" i="9"/>
  <c r="FA148" i="9"/>
  <c r="FB148" i="9"/>
  <c r="FC148" i="9"/>
  <c r="FD148" i="9"/>
  <c r="FE148" i="9"/>
  <c r="FF148" i="9"/>
  <c r="FG148" i="9"/>
  <c r="FH148" i="9"/>
  <c r="FI148" i="9"/>
  <c r="FJ148" i="9"/>
  <c r="FK148" i="9"/>
  <c r="FL148" i="9"/>
  <c r="FM148" i="9"/>
  <c r="FN148" i="9"/>
  <c r="FO148" i="9"/>
  <c r="FP148" i="9"/>
  <c r="FQ148" i="9"/>
  <c r="FR148" i="9"/>
  <c r="FS148" i="9"/>
  <c r="FT148" i="9"/>
  <c r="FU148" i="9"/>
  <c r="FV148" i="9"/>
  <c r="FW148" i="9"/>
  <c r="FX148" i="9"/>
  <c r="FY148" i="9"/>
  <c r="FZ148" i="9"/>
  <c r="GA148" i="9"/>
  <c r="GB148" i="9"/>
  <c r="GC148" i="9"/>
  <c r="GD148" i="9"/>
  <c r="GE148" i="9"/>
  <c r="GF148" i="9"/>
  <c r="GG148" i="9"/>
  <c r="GH148" i="9"/>
  <c r="GI148" i="9"/>
  <c r="GJ148" i="9"/>
  <c r="GK148" i="9"/>
  <c r="GL148" i="9"/>
  <c r="GM148" i="9"/>
  <c r="GN148" i="9"/>
  <c r="GO148" i="9"/>
  <c r="GP148" i="9"/>
  <c r="GQ148" i="9"/>
  <c r="GR148" i="9"/>
  <c r="GS148" i="9"/>
  <c r="GT148" i="9"/>
  <c r="GU148" i="9"/>
  <c r="GV148" i="9"/>
  <c r="GW148" i="9"/>
  <c r="GX148" i="9"/>
  <c r="GY148" i="9"/>
  <c r="GZ148" i="9"/>
  <c r="HA148" i="9"/>
  <c r="HB148" i="9"/>
  <c r="HC148" i="9"/>
  <c r="HD148" i="9"/>
  <c r="HE148" i="9"/>
  <c r="HF148" i="9"/>
  <c r="HG148" i="9"/>
  <c r="HH148" i="9"/>
  <c r="HI148" i="9"/>
  <c r="HJ148" i="9"/>
  <c r="HK148" i="9"/>
  <c r="HL148" i="9"/>
  <c r="HM148" i="9"/>
  <c r="HN148" i="9"/>
  <c r="HO148" i="9"/>
  <c r="HP148" i="9"/>
  <c r="HQ148" i="9"/>
  <c r="HR148" i="9"/>
  <c r="HS148" i="9"/>
  <c r="HT148" i="9"/>
  <c r="HU148" i="9"/>
  <c r="HV148" i="9"/>
  <c r="HW148" i="9"/>
  <c r="HX148" i="9"/>
  <c r="HY148" i="9"/>
  <c r="HZ148" i="9"/>
  <c r="IA148" i="9"/>
  <c r="IB148" i="9"/>
  <c r="IC148" i="9"/>
  <c r="ID148" i="9"/>
  <c r="IE148" i="9"/>
  <c r="IF148" i="9"/>
  <c r="IG148" i="9"/>
  <c r="IH148" i="9"/>
  <c r="II148" i="9"/>
  <c r="IJ148" i="9"/>
  <c r="IK148" i="9"/>
  <c r="IL148" i="9"/>
  <c r="IM148" i="9"/>
  <c r="IN148" i="9"/>
  <c r="IO148" i="9"/>
  <c r="IP148" i="9"/>
  <c r="IQ148" i="9"/>
  <c r="IR148" i="9"/>
  <c r="IS148" i="9"/>
  <c r="IT148" i="9"/>
  <c r="IU148" i="9"/>
  <c r="IV148" i="9"/>
  <c r="A147" i="9"/>
  <c r="B147" i="9"/>
  <c r="C147" i="9"/>
  <c r="D147" i="9"/>
  <c r="E147" i="9"/>
  <c r="F147" i="9"/>
  <c r="G147" i="9"/>
  <c r="H147" i="9"/>
  <c r="I147" i="9"/>
  <c r="J147" i="9"/>
  <c r="K147" i="9"/>
  <c r="L147" i="9"/>
  <c r="M147" i="9"/>
  <c r="N147" i="9"/>
  <c r="O147" i="9"/>
  <c r="P147" i="9"/>
  <c r="Q147" i="9"/>
  <c r="R147" i="9"/>
  <c r="S147" i="9"/>
  <c r="T147" i="9"/>
  <c r="U147" i="9"/>
  <c r="V147" i="9"/>
  <c r="W147" i="9"/>
  <c r="X147" i="9"/>
  <c r="Y147" i="9"/>
  <c r="Z147" i="9"/>
  <c r="AA147" i="9"/>
  <c r="AB147" i="9"/>
  <c r="AC147" i="9"/>
  <c r="AD147" i="9"/>
  <c r="AE147" i="9"/>
  <c r="AF147" i="9"/>
  <c r="AG147" i="9"/>
  <c r="AH147" i="9"/>
  <c r="AI147" i="9"/>
  <c r="AJ147" i="9"/>
  <c r="AK147" i="9"/>
  <c r="AL147" i="9"/>
  <c r="AM147" i="9"/>
  <c r="AN147" i="9"/>
  <c r="AO147" i="9"/>
  <c r="AP147" i="9"/>
  <c r="AQ147" i="9"/>
  <c r="AR147" i="9"/>
  <c r="AS147" i="9"/>
  <c r="AT147" i="9"/>
  <c r="AU147" i="9"/>
  <c r="AV147" i="9"/>
  <c r="AW147" i="9"/>
  <c r="AX147" i="9"/>
  <c r="AY147" i="9"/>
  <c r="AZ147" i="9"/>
  <c r="BA147" i="9"/>
  <c r="BB147" i="9"/>
  <c r="BC147" i="9"/>
  <c r="BD147" i="9"/>
  <c r="BE147" i="9"/>
  <c r="BF147" i="9"/>
  <c r="BG147" i="9"/>
  <c r="BH147" i="9"/>
  <c r="BI147" i="9"/>
  <c r="BJ147" i="9"/>
  <c r="BK147" i="9"/>
  <c r="BL147" i="9"/>
  <c r="BM147" i="9"/>
  <c r="BN147" i="9"/>
  <c r="BO147" i="9"/>
  <c r="BP147" i="9"/>
  <c r="BQ147" i="9"/>
  <c r="BR147" i="9"/>
  <c r="BS147" i="9"/>
  <c r="BT147" i="9"/>
  <c r="BU147" i="9"/>
  <c r="BV147" i="9"/>
  <c r="BW147" i="9"/>
  <c r="BX147" i="9"/>
  <c r="BY147" i="9"/>
  <c r="BZ147" i="9"/>
  <c r="CA147" i="9"/>
  <c r="CB147" i="9"/>
  <c r="CC147" i="9"/>
  <c r="CD147" i="9"/>
  <c r="CE147" i="9"/>
  <c r="CF147" i="9"/>
  <c r="CG147" i="9"/>
  <c r="CH147" i="9"/>
  <c r="CI147" i="9"/>
  <c r="CJ147" i="9"/>
  <c r="CK147" i="9"/>
  <c r="CL147" i="9"/>
  <c r="CM147" i="9"/>
  <c r="CN147" i="9"/>
  <c r="CO147" i="9"/>
  <c r="CP147" i="9"/>
  <c r="CQ147" i="9"/>
  <c r="CR147" i="9"/>
  <c r="CS147" i="9"/>
  <c r="CT147" i="9"/>
  <c r="CU147" i="9"/>
  <c r="CV147" i="9"/>
  <c r="CW147" i="9"/>
  <c r="CX147" i="9"/>
  <c r="CY147" i="9"/>
  <c r="CZ147" i="9"/>
  <c r="DA147" i="9"/>
  <c r="DB147" i="9"/>
  <c r="DC147" i="9"/>
  <c r="DD147" i="9"/>
  <c r="DE147" i="9"/>
  <c r="DF147" i="9"/>
  <c r="DG147" i="9"/>
  <c r="DH147" i="9"/>
  <c r="DI147" i="9"/>
  <c r="DJ147" i="9"/>
  <c r="DK147" i="9"/>
  <c r="DL147" i="9"/>
  <c r="DM147" i="9"/>
  <c r="DN147" i="9"/>
  <c r="DO147" i="9"/>
  <c r="DP147" i="9"/>
  <c r="DQ147" i="9"/>
  <c r="DR147" i="9"/>
  <c r="DS147" i="9"/>
  <c r="DT147" i="9"/>
  <c r="DU147" i="9"/>
  <c r="DV147" i="9"/>
  <c r="DW147" i="9"/>
  <c r="DX147" i="9"/>
  <c r="DY147" i="9"/>
  <c r="DZ147" i="9"/>
  <c r="EA147" i="9"/>
  <c r="EB147" i="9"/>
  <c r="EC147" i="9"/>
  <c r="ED147" i="9"/>
  <c r="EE147" i="9"/>
  <c r="EF147" i="9"/>
  <c r="EG147" i="9"/>
  <c r="EH147" i="9"/>
  <c r="EI147" i="9"/>
  <c r="EJ147" i="9"/>
  <c r="EK147" i="9"/>
  <c r="EL147" i="9"/>
  <c r="EM147" i="9"/>
  <c r="EN147" i="9"/>
  <c r="EO147" i="9"/>
  <c r="EP147" i="9"/>
  <c r="EQ147" i="9"/>
  <c r="ER147" i="9"/>
  <c r="ES147" i="9"/>
  <c r="ET147" i="9"/>
  <c r="EU147" i="9"/>
  <c r="EV147" i="9"/>
  <c r="EW147" i="9"/>
  <c r="EX147" i="9"/>
  <c r="EY147" i="9"/>
  <c r="EZ147" i="9"/>
  <c r="FA147" i="9"/>
  <c r="FB147" i="9"/>
  <c r="FC147" i="9"/>
  <c r="FD147" i="9"/>
  <c r="FE147" i="9"/>
  <c r="FF147" i="9"/>
  <c r="FG147" i="9"/>
  <c r="FH147" i="9"/>
  <c r="FI147" i="9"/>
  <c r="FJ147" i="9"/>
  <c r="FK147" i="9"/>
  <c r="FL147" i="9"/>
  <c r="FM147" i="9"/>
  <c r="FN147" i="9"/>
  <c r="FO147" i="9"/>
  <c r="FP147" i="9"/>
  <c r="FQ147" i="9"/>
  <c r="FR147" i="9"/>
  <c r="FS147" i="9"/>
  <c r="FT147" i="9"/>
  <c r="FU147" i="9"/>
  <c r="FV147" i="9"/>
  <c r="FW147" i="9"/>
  <c r="FX147" i="9"/>
  <c r="FY147" i="9"/>
  <c r="FZ147" i="9"/>
  <c r="GA147" i="9"/>
  <c r="GB147" i="9"/>
  <c r="GC147" i="9"/>
  <c r="GD147" i="9"/>
  <c r="GE147" i="9"/>
  <c r="GF147" i="9"/>
  <c r="GG147" i="9"/>
  <c r="GH147" i="9"/>
  <c r="GI147" i="9"/>
  <c r="GJ147" i="9"/>
  <c r="GK147" i="9"/>
  <c r="GL147" i="9"/>
  <c r="GM147" i="9"/>
  <c r="GN147" i="9"/>
  <c r="GO147" i="9"/>
  <c r="GP147" i="9"/>
  <c r="GQ147" i="9"/>
  <c r="GR147" i="9"/>
  <c r="GS147" i="9"/>
  <c r="GT147" i="9"/>
  <c r="GU147" i="9"/>
  <c r="GV147" i="9"/>
  <c r="GW147" i="9"/>
  <c r="GX147" i="9"/>
  <c r="GY147" i="9"/>
  <c r="GZ147" i="9"/>
  <c r="HA147" i="9"/>
  <c r="HB147" i="9"/>
  <c r="HC147" i="9"/>
  <c r="HD147" i="9"/>
  <c r="HE147" i="9"/>
  <c r="HF147" i="9"/>
  <c r="HG147" i="9"/>
  <c r="HH147" i="9"/>
  <c r="HI147" i="9"/>
  <c r="HJ147" i="9"/>
  <c r="HK147" i="9"/>
  <c r="HL147" i="9"/>
  <c r="HM147" i="9"/>
  <c r="HN147" i="9"/>
  <c r="HO147" i="9"/>
  <c r="HP147" i="9"/>
  <c r="HQ147" i="9"/>
  <c r="HR147" i="9"/>
  <c r="HS147" i="9"/>
  <c r="HT147" i="9"/>
  <c r="HU147" i="9"/>
  <c r="HV147" i="9"/>
  <c r="HW147" i="9"/>
  <c r="HX147" i="9"/>
  <c r="HY147" i="9"/>
  <c r="HZ147" i="9"/>
  <c r="IA147" i="9"/>
  <c r="IB147" i="9"/>
  <c r="IC147" i="9"/>
  <c r="ID147" i="9"/>
  <c r="IE147" i="9"/>
  <c r="IF147" i="9"/>
  <c r="IG147" i="9"/>
  <c r="IH147" i="9"/>
  <c r="II147" i="9"/>
  <c r="IJ147" i="9"/>
  <c r="IK147" i="9"/>
  <c r="IL147" i="9"/>
  <c r="IM147" i="9"/>
  <c r="IN147" i="9"/>
  <c r="IO147" i="9"/>
  <c r="IP147" i="9"/>
  <c r="IQ147" i="9"/>
  <c r="IR147" i="9"/>
  <c r="IS147" i="9"/>
  <c r="IT147" i="9"/>
  <c r="IU147" i="9"/>
  <c r="IV147" i="9"/>
  <c r="A146" i="9"/>
  <c r="B146" i="9"/>
  <c r="C146" i="9"/>
  <c r="D146" i="9"/>
  <c r="E146" i="9"/>
  <c r="F146" i="9"/>
  <c r="G146" i="9"/>
  <c r="H146" i="9"/>
  <c r="I146" i="9"/>
  <c r="J146" i="9"/>
  <c r="K146" i="9"/>
  <c r="L146" i="9"/>
  <c r="M146" i="9"/>
  <c r="N146" i="9"/>
  <c r="O146" i="9"/>
  <c r="P146" i="9"/>
  <c r="Q146" i="9"/>
  <c r="R146" i="9"/>
  <c r="S146" i="9"/>
  <c r="T146" i="9"/>
  <c r="U146" i="9"/>
  <c r="V146" i="9"/>
  <c r="W146" i="9"/>
  <c r="X146" i="9"/>
  <c r="Y146" i="9"/>
  <c r="Z146" i="9"/>
  <c r="AA146" i="9"/>
  <c r="AB146" i="9"/>
  <c r="AC146" i="9"/>
  <c r="AD146" i="9"/>
  <c r="AE146" i="9"/>
  <c r="AF146" i="9"/>
  <c r="AG146" i="9"/>
  <c r="AH146" i="9"/>
  <c r="AI146" i="9"/>
  <c r="AJ146" i="9"/>
  <c r="AK146" i="9"/>
  <c r="AL146" i="9"/>
  <c r="AM146" i="9"/>
  <c r="AN146" i="9"/>
  <c r="AO146" i="9"/>
  <c r="AP146" i="9"/>
  <c r="AQ146" i="9"/>
  <c r="AR146" i="9"/>
  <c r="AS146" i="9"/>
  <c r="AT146" i="9"/>
  <c r="AU146" i="9"/>
  <c r="AV146" i="9"/>
  <c r="AW146" i="9"/>
  <c r="AX146" i="9"/>
  <c r="AY146" i="9"/>
  <c r="AZ146" i="9"/>
  <c r="BA146" i="9"/>
  <c r="BB146" i="9"/>
  <c r="BC146" i="9"/>
  <c r="BD146" i="9"/>
  <c r="BE146" i="9"/>
  <c r="BF146" i="9"/>
  <c r="BG146" i="9"/>
  <c r="BH146" i="9"/>
  <c r="BI146" i="9"/>
  <c r="BJ146" i="9"/>
  <c r="BK146" i="9"/>
  <c r="BL146" i="9"/>
  <c r="BM146" i="9"/>
  <c r="BN146" i="9"/>
  <c r="BO146" i="9"/>
  <c r="BP146" i="9"/>
  <c r="BQ146" i="9"/>
  <c r="BR146" i="9"/>
  <c r="BS146" i="9"/>
  <c r="BT146" i="9"/>
  <c r="BU146" i="9"/>
  <c r="BV146" i="9"/>
  <c r="BW146" i="9"/>
  <c r="BX146" i="9"/>
  <c r="BY146" i="9"/>
  <c r="BZ146" i="9"/>
  <c r="CA146" i="9"/>
  <c r="CB146" i="9"/>
  <c r="CC146" i="9"/>
  <c r="CD146" i="9"/>
  <c r="CE146" i="9"/>
  <c r="CF146" i="9"/>
  <c r="CG146" i="9"/>
  <c r="CH146" i="9"/>
  <c r="CI146" i="9"/>
  <c r="CJ146" i="9"/>
  <c r="CK146" i="9"/>
  <c r="CL146" i="9"/>
  <c r="CM146" i="9"/>
  <c r="CN146" i="9"/>
  <c r="CO146" i="9"/>
  <c r="CP146" i="9"/>
  <c r="CQ146" i="9"/>
  <c r="CR146" i="9"/>
  <c r="CS146" i="9"/>
  <c r="CT146" i="9"/>
  <c r="CU146" i="9"/>
  <c r="CV146" i="9"/>
  <c r="CW146" i="9"/>
  <c r="CX146" i="9"/>
  <c r="CY146" i="9"/>
  <c r="CZ146" i="9"/>
  <c r="DA146" i="9"/>
  <c r="DB146" i="9"/>
  <c r="DC146" i="9"/>
  <c r="DD146" i="9"/>
  <c r="DE146" i="9"/>
  <c r="DF146" i="9"/>
  <c r="DG146" i="9"/>
  <c r="DH146" i="9"/>
  <c r="DI146" i="9"/>
  <c r="DJ146" i="9"/>
  <c r="DK146" i="9"/>
  <c r="DL146" i="9"/>
  <c r="DM146" i="9"/>
  <c r="DN146" i="9"/>
  <c r="DO146" i="9"/>
  <c r="DP146" i="9"/>
  <c r="DQ146" i="9"/>
  <c r="DR146" i="9"/>
  <c r="DS146" i="9"/>
  <c r="DT146" i="9"/>
  <c r="DU146" i="9"/>
  <c r="DV146" i="9"/>
  <c r="DW146" i="9"/>
  <c r="DX146" i="9"/>
  <c r="DY146" i="9"/>
  <c r="DZ146" i="9"/>
  <c r="EA146" i="9"/>
  <c r="EB146" i="9"/>
  <c r="EC146" i="9"/>
  <c r="ED146" i="9"/>
  <c r="EE146" i="9"/>
  <c r="EF146" i="9"/>
  <c r="EG146" i="9"/>
  <c r="EH146" i="9"/>
  <c r="EI146" i="9"/>
  <c r="EJ146" i="9"/>
  <c r="EK146" i="9"/>
  <c r="EL146" i="9"/>
  <c r="EM146" i="9"/>
  <c r="EN146" i="9"/>
  <c r="EO146" i="9"/>
  <c r="EP146" i="9"/>
  <c r="EQ146" i="9"/>
  <c r="ER146" i="9"/>
  <c r="ES146" i="9"/>
  <c r="ET146" i="9"/>
  <c r="EU146" i="9"/>
  <c r="EV146" i="9"/>
  <c r="EW146" i="9"/>
  <c r="EX146" i="9"/>
  <c r="EY146" i="9"/>
  <c r="EZ146" i="9"/>
  <c r="FA146" i="9"/>
  <c r="FB146" i="9"/>
  <c r="FC146" i="9"/>
  <c r="FD146" i="9"/>
  <c r="FE146" i="9"/>
  <c r="FF146" i="9"/>
  <c r="FG146" i="9"/>
  <c r="FH146" i="9"/>
  <c r="FI146" i="9"/>
  <c r="FJ146" i="9"/>
  <c r="FK146" i="9"/>
  <c r="FL146" i="9"/>
  <c r="FM146" i="9"/>
  <c r="FN146" i="9"/>
  <c r="FO146" i="9"/>
  <c r="FP146" i="9"/>
  <c r="FQ146" i="9"/>
  <c r="FR146" i="9"/>
  <c r="FS146" i="9"/>
  <c r="FT146" i="9"/>
  <c r="FU146" i="9"/>
  <c r="FV146" i="9"/>
  <c r="FW146" i="9"/>
  <c r="FX146" i="9"/>
  <c r="FY146" i="9"/>
  <c r="FZ146" i="9"/>
  <c r="GA146" i="9"/>
  <c r="GB146" i="9"/>
  <c r="GC146" i="9"/>
  <c r="GD146" i="9"/>
  <c r="GE146" i="9"/>
  <c r="GF146" i="9"/>
  <c r="GG146" i="9"/>
  <c r="GH146" i="9"/>
  <c r="GI146" i="9"/>
  <c r="GJ146" i="9"/>
  <c r="GK146" i="9"/>
  <c r="GL146" i="9"/>
  <c r="GM146" i="9"/>
  <c r="GN146" i="9"/>
  <c r="GO146" i="9"/>
  <c r="GP146" i="9"/>
  <c r="GQ146" i="9"/>
  <c r="GR146" i="9"/>
  <c r="GS146" i="9"/>
  <c r="GT146" i="9"/>
  <c r="GU146" i="9"/>
  <c r="GV146" i="9"/>
  <c r="GW146" i="9"/>
  <c r="GX146" i="9"/>
  <c r="GY146" i="9"/>
  <c r="GZ146" i="9"/>
  <c r="HA146" i="9"/>
  <c r="HB146" i="9"/>
  <c r="HC146" i="9"/>
  <c r="HD146" i="9"/>
  <c r="HE146" i="9"/>
  <c r="HF146" i="9"/>
  <c r="HG146" i="9"/>
  <c r="HH146" i="9"/>
  <c r="HI146" i="9"/>
  <c r="HJ146" i="9"/>
  <c r="HK146" i="9"/>
  <c r="HL146" i="9"/>
  <c r="HM146" i="9"/>
  <c r="HN146" i="9"/>
  <c r="HO146" i="9"/>
  <c r="HP146" i="9"/>
  <c r="HQ146" i="9"/>
  <c r="HR146" i="9"/>
  <c r="HS146" i="9"/>
  <c r="HT146" i="9"/>
  <c r="HU146" i="9"/>
  <c r="HV146" i="9"/>
  <c r="HW146" i="9"/>
  <c r="HX146" i="9"/>
  <c r="HY146" i="9"/>
  <c r="HZ146" i="9"/>
  <c r="IA146" i="9"/>
  <c r="IB146" i="9"/>
  <c r="IC146" i="9"/>
  <c r="ID146" i="9"/>
  <c r="IE146" i="9"/>
  <c r="IF146" i="9"/>
  <c r="IG146" i="9"/>
  <c r="IH146" i="9"/>
  <c r="II146" i="9"/>
  <c r="IJ146" i="9"/>
  <c r="IK146" i="9"/>
  <c r="IL146" i="9"/>
  <c r="IM146" i="9"/>
  <c r="IN146" i="9"/>
  <c r="IO146" i="9"/>
  <c r="IP146" i="9"/>
  <c r="IQ146" i="9"/>
  <c r="IR146" i="9"/>
  <c r="IS146" i="9"/>
  <c r="IT146" i="9"/>
  <c r="IU146" i="9"/>
  <c r="IV146" i="9"/>
  <c r="A145" i="9"/>
  <c r="B145" i="9"/>
  <c r="C145" i="9"/>
  <c r="D145" i="9"/>
  <c r="E145" i="9"/>
  <c r="F145" i="9"/>
  <c r="G145" i="9"/>
  <c r="H145" i="9"/>
  <c r="I145" i="9"/>
  <c r="J145" i="9"/>
  <c r="K145" i="9"/>
  <c r="L145" i="9"/>
  <c r="M145" i="9"/>
  <c r="N145" i="9"/>
  <c r="O145" i="9"/>
  <c r="P145" i="9"/>
  <c r="Q145" i="9"/>
  <c r="R145" i="9"/>
  <c r="S145" i="9"/>
  <c r="T145" i="9"/>
  <c r="U145" i="9"/>
  <c r="V145" i="9"/>
  <c r="W145" i="9"/>
  <c r="X145" i="9"/>
  <c r="Y145" i="9"/>
  <c r="Z145" i="9"/>
  <c r="AA145" i="9"/>
  <c r="AB145" i="9"/>
  <c r="AC145" i="9"/>
  <c r="AD145" i="9"/>
  <c r="AE145" i="9"/>
  <c r="AF145" i="9"/>
  <c r="AG145" i="9"/>
  <c r="AH145" i="9"/>
  <c r="AI145" i="9"/>
  <c r="AJ145" i="9"/>
  <c r="AK145" i="9"/>
  <c r="AL145" i="9"/>
  <c r="AM145" i="9"/>
  <c r="AN145" i="9"/>
  <c r="AO145" i="9"/>
  <c r="AP145" i="9"/>
  <c r="AQ145" i="9"/>
  <c r="AR145" i="9"/>
  <c r="AS145" i="9"/>
  <c r="AT145" i="9"/>
  <c r="AU145" i="9"/>
  <c r="AV145" i="9"/>
  <c r="AW145" i="9"/>
  <c r="AX145" i="9"/>
  <c r="AY145" i="9"/>
  <c r="AZ145" i="9"/>
  <c r="BA145" i="9"/>
  <c r="BB145" i="9"/>
  <c r="BC145" i="9"/>
  <c r="BD145" i="9"/>
  <c r="BE145" i="9"/>
  <c r="BF145" i="9"/>
  <c r="BG145" i="9"/>
  <c r="BH145" i="9"/>
  <c r="BI145" i="9"/>
  <c r="BJ145" i="9"/>
  <c r="BK145" i="9"/>
  <c r="BL145" i="9"/>
  <c r="BM145" i="9"/>
  <c r="BN145" i="9"/>
  <c r="BO145" i="9"/>
  <c r="BP145" i="9"/>
  <c r="BQ145" i="9"/>
  <c r="BR145" i="9"/>
  <c r="BS145" i="9"/>
  <c r="BT145" i="9"/>
  <c r="BU145" i="9"/>
  <c r="BV145" i="9"/>
  <c r="BW145" i="9"/>
  <c r="BX145" i="9"/>
  <c r="BY145" i="9"/>
  <c r="BZ145" i="9"/>
  <c r="CA145" i="9"/>
  <c r="CB145" i="9"/>
  <c r="CC145" i="9"/>
  <c r="CD145" i="9"/>
  <c r="CE145" i="9"/>
  <c r="CF145" i="9"/>
  <c r="CG145" i="9"/>
  <c r="CH145" i="9"/>
  <c r="CI145" i="9"/>
  <c r="CJ145" i="9"/>
  <c r="CK145" i="9"/>
  <c r="CL145" i="9"/>
  <c r="CM145" i="9"/>
  <c r="CN145" i="9"/>
  <c r="CO145" i="9"/>
  <c r="CP145" i="9"/>
  <c r="CQ145" i="9"/>
  <c r="CR145" i="9"/>
  <c r="CS145" i="9"/>
  <c r="CT145" i="9"/>
  <c r="CU145" i="9"/>
  <c r="CV145" i="9"/>
  <c r="CW145" i="9"/>
  <c r="CX145" i="9"/>
  <c r="CY145" i="9"/>
  <c r="CZ145" i="9"/>
  <c r="DA145" i="9"/>
  <c r="DB145" i="9"/>
  <c r="DC145" i="9"/>
  <c r="DD145" i="9"/>
  <c r="DE145" i="9"/>
  <c r="DF145" i="9"/>
  <c r="DG145" i="9"/>
  <c r="DH145" i="9"/>
  <c r="DI145" i="9"/>
  <c r="DJ145" i="9"/>
  <c r="DK145" i="9"/>
  <c r="DL145" i="9"/>
  <c r="DM145" i="9"/>
  <c r="DN145" i="9"/>
  <c r="DO145" i="9"/>
  <c r="DP145" i="9"/>
  <c r="DQ145" i="9"/>
  <c r="DR145" i="9"/>
  <c r="DS145" i="9"/>
  <c r="DT145" i="9"/>
  <c r="DU145" i="9"/>
  <c r="DV145" i="9"/>
  <c r="DW145" i="9"/>
  <c r="DX145" i="9"/>
  <c r="DY145" i="9"/>
  <c r="DZ145" i="9"/>
  <c r="EA145" i="9"/>
  <c r="EB145" i="9"/>
  <c r="EC145" i="9"/>
  <c r="ED145" i="9"/>
  <c r="EE145" i="9"/>
  <c r="EF145" i="9"/>
  <c r="EG145" i="9"/>
  <c r="EH145" i="9"/>
  <c r="EI145" i="9"/>
  <c r="EJ145" i="9"/>
  <c r="EK145" i="9"/>
  <c r="EL145" i="9"/>
  <c r="EM145" i="9"/>
  <c r="EN145" i="9"/>
  <c r="EO145" i="9"/>
  <c r="EP145" i="9"/>
  <c r="EQ145" i="9"/>
  <c r="ER145" i="9"/>
  <c r="ES145" i="9"/>
  <c r="ET145" i="9"/>
  <c r="EU145" i="9"/>
  <c r="EV145" i="9"/>
  <c r="EW145" i="9"/>
  <c r="EX145" i="9"/>
  <c r="EY145" i="9"/>
  <c r="EZ145" i="9"/>
  <c r="FA145" i="9"/>
  <c r="FB145" i="9"/>
  <c r="FC145" i="9"/>
  <c r="FD145" i="9"/>
  <c r="FE145" i="9"/>
  <c r="FF145" i="9"/>
  <c r="FG145" i="9"/>
  <c r="FH145" i="9"/>
  <c r="FI145" i="9"/>
  <c r="FJ145" i="9"/>
  <c r="FK145" i="9"/>
  <c r="FL145" i="9"/>
  <c r="FM145" i="9"/>
  <c r="FN145" i="9"/>
  <c r="FO145" i="9"/>
  <c r="FP145" i="9"/>
  <c r="FQ145" i="9"/>
  <c r="FR145" i="9"/>
  <c r="FS145" i="9"/>
  <c r="FT145" i="9"/>
  <c r="FU145" i="9"/>
  <c r="FV145" i="9"/>
  <c r="FW145" i="9"/>
  <c r="FX145" i="9"/>
  <c r="FY145" i="9"/>
  <c r="FZ145" i="9"/>
  <c r="GA145" i="9"/>
  <c r="GB145" i="9"/>
  <c r="GC145" i="9"/>
  <c r="GD145" i="9"/>
  <c r="GE145" i="9"/>
  <c r="GF145" i="9"/>
  <c r="GG145" i="9"/>
  <c r="GH145" i="9"/>
  <c r="GI145" i="9"/>
  <c r="GJ145" i="9"/>
  <c r="GK145" i="9"/>
  <c r="GL145" i="9"/>
  <c r="GM145" i="9"/>
  <c r="GN145" i="9"/>
  <c r="GO145" i="9"/>
  <c r="GP145" i="9"/>
  <c r="GQ145" i="9"/>
  <c r="GR145" i="9"/>
  <c r="GS145" i="9"/>
  <c r="GT145" i="9"/>
  <c r="GU145" i="9"/>
  <c r="GV145" i="9"/>
  <c r="GW145" i="9"/>
  <c r="GX145" i="9"/>
  <c r="GY145" i="9"/>
  <c r="GZ145" i="9"/>
  <c r="HA145" i="9"/>
  <c r="HB145" i="9"/>
  <c r="HC145" i="9"/>
  <c r="HD145" i="9"/>
  <c r="HE145" i="9"/>
  <c r="HF145" i="9"/>
  <c r="HG145" i="9"/>
  <c r="HH145" i="9"/>
  <c r="HI145" i="9"/>
  <c r="HJ145" i="9"/>
  <c r="HK145" i="9"/>
  <c r="HL145" i="9"/>
  <c r="HM145" i="9"/>
  <c r="HN145" i="9"/>
  <c r="HO145" i="9"/>
  <c r="HP145" i="9"/>
  <c r="HQ145" i="9"/>
  <c r="HR145" i="9"/>
  <c r="HS145" i="9"/>
  <c r="HT145" i="9"/>
  <c r="HU145" i="9"/>
  <c r="HV145" i="9"/>
  <c r="HW145" i="9"/>
  <c r="HX145" i="9"/>
  <c r="HY145" i="9"/>
  <c r="HZ145" i="9"/>
  <c r="IA145" i="9"/>
  <c r="IB145" i="9"/>
  <c r="IC145" i="9"/>
  <c r="ID145" i="9"/>
  <c r="IE145" i="9"/>
  <c r="IF145" i="9"/>
  <c r="IG145" i="9"/>
  <c r="IH145" i="9"/>
  <c r="II145" i="9"/>
  <c r="IJ145" i="9"/>
  <c r="IK145" i="9"/>
  <c r="IL145" i="9"/>
  <c r="IM145" i="9"/>
  <c r="IN145" i="9"/>
  <c r="IO145" i="9"/>
  <c r="IP145" i="9"/>
  <c r="IQ145" i="9"/>
  <c r="IR145" i="9"/>
  <c r="IS145" i="9"/>
  <c r="IT145" i="9"/>
  <c r="IU145" i="9"/>
  <c r="IV145" i="9"/>
  <c r="A144" i="9"/>
  <c r="B144" i="9"/>
  <c r="C144" i="9"/>
  <c r="D144" i="9"/>
  <c r="E144" i="9"/>
  <c r="F144" i="9"/>
  <c r="G144" i="9"/>
  <c r="H144" i="9"/>
  <c r="I144" i="9"/>
  <c r="J144" i="9"/>
  <c r="K144" i="9"/>
  <c r="L144" i="9"/>
  <c r="M144" i="9"/>
  <c r="N144" i="9"/>
  <c r="O144" i="9"/>
  <c r="P144" i="9"/>
  <c r="Q144" i="9"/>
  <c r="R144" i="9"/>
  <c r="S144" i="9"/>
  <c r="T144" i="9"/>
  <c r="U144" i="9"/>
  <c r="V144" i="9"/>
  <c r="W144" i="9"/>
  <c r="X144" i="9"/>
  <c r="Y144" i="9"/>
  <c r="Z144" i="9"/>
  <c r="AA144" i="9"/>
  <c r="AB144" i="9"/>
  <c r="AC144" i="9"/>
  <c r="AD144" i="9"/>
  <c r="AE144" i="9"/>
  <c r="AF144" i="9"/>
  <c r="AG144" i="9"/>
  <c r="AH144" i="9"/>
  <c r="AI144" i="9"/>
  <c r="AJ144" i="9"/>
  <c r="AK144" i="9"/>
  <c r="AL144" i="9"/>
  <c r="AM144" i="9"/>
  <c r="AN144" i="9"/>
  <c r="AO144" i="9"/>
  <c r="AP144" i="9"/>
  <c r="AQ144" i="9"/>
  <c r="AR144" i="9"/>
  <c r="AS144" i="9"/>
  <c r="AT144" i="9"/>
  <c r="AU144" i="9"/>
  <c r="AV144" i="9"/>
  <c r="AW144" i="9"/>
  <c r="AX144" i="9"/>
  <c r="AY144" i="9"/>
  <c r="AZ144" i="9"/>
  <c r="BA144" i="9"/>
  <c r="BB144" i="9"/>
  <c r="BC144" i="9"/>
  <c r="BD144" i="9"/>
  <c r="BE144" i="9"/>
  <c r="BF144" i="9"/>
  <c r="BG144" i="9"/>
  <c r="BH144" i="9"/>
  <c r="BI144" i="9"/>
  <c r="BJ144" i="9"/>
  <c r="BK144" i="9"/>
  <c r="BL144" i="9"/>
  <c r="BM144" i="9"/>
  <c r="BN144" i="9"/>
  <c r="BO144" i="9"/>
  <c r="BP144" i="9"/>
  <c r="BQ144" i="9"/>
  <c r="BR144" i="9"/>
  <c r="BS144" i="9"/>
  <c r="BT144" i="9"/>
  <c r="BU144" i="9"/>
  <c r="BV144" i="9"/>
  <c r="BW144" i="9"/>
  <c r="BX144" i="9"/>
  <c r="BY144" i="9"/>
  <c r="BZ144" i="9"/>
  <c r="CA144" i="9"/>
  <c r="CB144" i="9"/>
  <c r="CC144" i="9"/>
  <c r="CD144" i="9"/>
  <c r="CE144" i="9"/>
  <c r="CF144" i="9"/>
  <c r="CG144" i="9"/>
  <c r="CH144" i="9"/>
  <c r="CI144" i="9"/>
  <c r="CJ144" i="9"/>
  <c r="CK144" i="9"/>
  <c r="CL144" i="9"/>
  <c r="CM144" i="9"/>
  <c r="CN144" i="9"/>
  <c r="CO144" i="9"/>
  <c r="CP144" i="9"/>
  <c r="CQ144" i="9"/>
  <c r="CR144" i="9"/>
  <c r="CS144" i="9"/>
  <c r="CT144" i="9"/>
  <c r="CU144" i="9"/>
  <c r="CV144" i="9"/>
  <c r="CW144" i="9"/>
  <c r="CX144" i="9"/>
  <c r="CY144" i="9"/>
  <c r="CZ144" i="9"/>
  <c r="DA144" i="9"/>
  <c r="DB144" i="9"/>
  <c r="DC144" i="9"/>
  <c r="DD144" i="9"/>
  <c r="DE144" i="9"/>
  <c r="DF144" i="9"/>
  <c r="DG144" i="9"/>
  <c r="DH144" i="9"/>
  <c r="DI144" i="9"/>
  <c r="DJ144" i="9"/>
  <c r="DK144" i="9"/>
  <c r="DL144" i="9"/>
  <c r="DM144" i="9"/>
  <c r="DN144" i="9"/>
  <c r="DO144" i="9"/>
  <c r="DP144" i="9"/>
  <c r="DQ144" i="9"/>
  <c r="DR144" i="9"/>
  <c r="DS144" i="9"/>
  <c r="DT144" i="9"/>
  <c r="DU144" i="9"/>
  <c r="DV144" i="9"/>
  <c r="DW144" i="9"/>
  <c r="DX144" i="9"/>
  <c r="DY144" i="9"/>
  <c r="DZ144" i="9"/>
  <c r="EA144" i="9"/>
  <c r="EB144" i="9"/>
  <c r="EC144" i="9"/>
  <c r="ED144" i="9"/>
  <c r="EE144" i="9"/>
  <c r="EF144" i="9"/>
  <c r="EG144" i="9"/>
  <c r="EH144" i="9"/>
  <c r="EI144" i="9"/>
  <c r="EJ144" i="9"/>
  <c r="EK144" i="9"/>
  <c r="EL144" i="9"/>
  <c r="EM144" i="9"/>
  <c r="EN144" i="9"/>
  <c r="EO144" i="9"/>
  <c r="EP144" i="9"/>
  <c r="EQ144" i="9"/>
  <c r="ER144" i="9"/>
  <c r="ES144" i="9"/>
  <c r="ET144" i="9"/>
  <c r="EU144" i="9"/>
  <c r="EV144" i="9"/>
  <c r="EW144" i="9"/>
  <c r="EX144" i="9"/>
  <c r="EY144" i="9"/>
  <c r="EZ144" i="9"/>
  <c r="FA144" i="9"/>
  <c r="FB144" i="9"/>
  <c r="FC144" i="9"/>
  <c r="FD144" i="9"/>
  <c r="FE144" i="9"/>
  <c r="FF144" i="9"/>
  <c r="FG144" i="9"/>
  <c r="FH144" i="9"/>
  <c r="FI144" i="9"/>
  <c r="FJ144" i="9"/>
  <c r="FK144" i="9"/>
  <c r="FL144" i="9"/>
  <c r="FM144" i="9"/>
  <c r="FN144" i="9"/>
  <c r="FO144" i="9"/>
  <c r="FP144" i="9"/>
  <c r="FQ144" i="9"/>
  <c r="FR144" i="9"/>
  <c r="FS144" i="9"/>
  <c r="FT144" i="9"/>
  <c r="FU144" i="9"/>
  <c r="FV144" i="9"/>
  <c r="FW144" i="9"/>
  <c r="FX144" i="9"/>
  <c r="FY144" i="9"/>
  <c r="FZ144" i="9"/>
  <c r="GA144" i="9"/>
  <c r="GB144" i="9"/>
  <c r="GC144" i="9"/>
  <c r="GD144" i="9"/>
  <c r="GE144" i="9"/>
  <c r="GF144" i="9"/>
  <c r="GG144" i="9"/>
  <c r="GH144" i="9"/>
  <c r="GI144" i="9"/>
  <c r="GJ144" i="9"/>
  <c r="GK144" i="9"/>
  <c r="GL144" i="9"/>
  <c r="GM144" i="9"/>
  <c r="GN144" i="9"/>
  <c r="GO144" i="9"/>
  <c r="GP144" i="9"/>
  <c r="GQ144" i="9"/>
  <c r="GR144" i="9"/>
  <c r="GS144" i="9"/>
  <c r="GT144" i="9"/>
  <c r="GU144" i="9"/>
  <c r="GV144" i="9"/>
  <c r="GW144" i="9"/>
  <c r="GX144" i="9"/>
  <c r="GY144" i="9"/>
  <c r="GZ144" i="9"/>
  <c r="HA144" i="9"/>
  <c r="HB144" i="9"/>
  <c r="HC144" i="9"/>
  <c r="HD144" i="9"/>
  <c r="HE144" i="9"/>
  <c r="HF144" i="9"/>
  <c r="HG144" i="9"/>
  <c r="HH144" i="9"/>
  <c r="HI144" i="9"/>
  <c r="HJ144" i="9"/>
  <c r="HK144" i="9"/>
  <c r="HL144" i="9"/>
  <c r="HM144" i="9"/>
  <c r="HN144" i="9"/>
  <c r="HO144" i="9"/>
  <c r="HP144" i="9"/>
  <c r="HQ144" i="9"/>
  <c r="HR144" i="9"/>
  <c r="HS144" i="9"/>
  <c r="HT144" i="9"/>
  <c r="HU144" i="9"/>
  <c r="HV144" i="9"/>
  <c r="HW144" i="9"/>
  <c r="HX144" i="9"/>
  <c r="HY144" i="9"/>
  <c r="HZ144" i="9"/>
  <c r="IA144" i="9"/>
  <c r="IB144" i="9"/>
  <c r="IC144" i="9"/>
  <c r="ID144" i="9"/>
  <c r="IE144" i="9"/>
  <c r="IF144" i="9"/>
  <c r="IG144" i="9"/>
  <c r="IH144" i="9"/>
  <c r="II144" i="9"/>
  <c r="IJ144" i="9"/>
  <c r="IK144" i="9"/>
  <c r="IL144" i="9"/>
  <c r="IM144" i="9"/>
  <c r="IN144" i="9"/>
  <c r="IO144" i="9"/>
  <c r="IP144" i="9"/>
  <c r="IQ144" i="9"/>
  <c r="IR144" i="9"/>
  <c r="IS144" i="9"/>
  <c r="IT144" i="9"/>
  <c r="IU144" i="9"/>
  <c r="IV144" i="9"/>
  <c r="A143" i="9"/>
  <c r="B143" i="9"/>
  <c r="C143" i="9"/>
  <c r="D143" i="9"/>
  <c r="E143" i="9"/>
  <c r="F143" i="9"/>
  <c r="G143" i="9"/>
  <c r="H143" i="9"/>
  <c r="I143" i="9"/>
  <c r="J143" i="9"/>
  <c r="K143" i="9"/>
  <c r="L143" i="9"/>
  <c r="M143" i="9"/>
  <c r="N143" i="9"/>
  <c r="O143" i="9"/>
  <c r="P143" i="9"/>
  <c r="Q143" i="9"/>
  <c r="R143" i="9"/>
  <c r="S143" i="9"/>
  <c r="T143" i="9"/>
  <c r="U143" i="9"/>
  <c r="V143" i="9"/>
  <c r="W143" i="9"/>
  <c r="X143" i="9"/>
  <c r="Y143" i="9"/>
  <c r="Z143" i="9"/>
  <c r="AA143" i="9"/>
  <c r="AB143" i="9"/>
  <c r="AC143" i="9"/>
  <c r="AD143" i="9"/>
  <c r="AE143" i="9"/>
  <c r="AF143" i="9"/>
  <c r="AG143" i="9"/>
  <c r="AH143" i="9"/>
  <c r="AI143" i="9"/>
  <c r="AJ143" i="9"/>
  <c r="AK143" i="9"/>
  <c r="AL143" i="9"/>
  <c r="AM143" i="9"/>
  <c r="AN143" i="9"/>
  <c r="AO143" i="9"/>
  <c r="AP143" i="9"/>
  <c r="AQ143" i="9"/>
  <c r="AR143" i="9"/>
  <c r="AS143" i="9"/>
  <c r="AT143" i="9"/>
  <c r="AU143" i="9"/>
  <c r="AV143" i="9"/>
  <c r="AW143" i="9"/>
  <c r="AX143" i="9"/>
  <c r="AY143" i="9"/>
  <c r="AZ143" i="9"/>
  <c r="BA143" i="9"/>
  <c r="BB143" i="9"/>
  <c r="BC143" i="9"/>
  <c r="BD143" i="9"/>
  <c r="BE143" i="9"/>
  <c r="BF143" i="9"/>
  <c r="BG143" i="9"/>
  <c r="BH143" i="9"/>
  <c r="BI143" i="9"/>
  <c r="BJ143" i="9"/>
  <c r="BK143" i="9"/>
  <c r="BL143" i="9"/>
  <c r="BM143" i="9"/>
  <c r="BN143" i="9"/>
  <c r="BO143" i="9"/>
  <c r="BP143" i="9"/>
  <c r="BQ143" i="9"/>
  <c r="BR143" i="9"/>
  <c r="BS143" i="9"/>
  <c r="BT143" i="9"/>
  <c r="BU143" i="9"/>
  <c r="BV143" i="9"/>
  <c r="BW143" i="9"/>
  <c r="BX143" i="9"/>
  <c r="BY143" i="9"/>
  <c r="BZ143" i="9"/>
  <c r="CA143" i="9"/>
  <c r="CB143" i="9"/>
  <c r="CC143" i="9"/>
  <c r="CD143" i="9"/>
  <c r="CE143" i="9"/>
  <c r="CF143" i="9"/>
  <c r="CG143" i="9"/>
  <c r="CH143" i="9"/>
  <c r="CI143" i="9"/>
  <c r="CJ143" i="9"/>
  <c r="CK143" i="9"/>
  <c r="CL143" i="9"/>
  <c r="CM143" i="9"/>
  <c r="CN143" i="9"/>
  <c r="CO143" i="9"/>
  <c r="CP143" i="9"/>
  <c r="CQ143" i="9"/>
  <c r="CR143" i="9"/>
  <c r="CS143" i="9"/>
  <c r="CT143" i="9"/>
  <c r="CU143" i="9"/>
  <c r="CV143" i="9"/>
  <c r="CW143" i="9"/>
  <c r="CX143" i="9"/>
  <c r="CY143" i="9"/>
  <c r="CZ143" i="9"/>
  <c r="DA143" i="9"/>
  <c r="DB143" i="9"/>
  <c r="DC143" i="9"/>
  <c r="DD143" i="9"/>
  <c r="DE143" i="9"/>
  <c r="DF143" i="9"/>
  <c r="DG143" i="9"/>
  <c r="DH143" i="9"/>
  <c r="DI143" i="9"/>
  <c r="DJ143" i="9"/>
  <c r="DK143" i="9"/>
  <c r="DL143" i="9"/>
  <c r="DM143" i="9"/>
  <c r="DN143" i="9"/>
  <c r="DO143" i="9"/>
  <c r="DP143" i="9"/>
  <c r="DQ143" i="9"/>
  <c r="DR143" i="9"/>
  <c r="DS143" i="9"/>
  <c r="DT143" i="9"/>
  <c r="DU143" i="9"/>
  <c r="DV143" i="9"/>
  <c r="DW143" i="9"/>
  <c r="DX143" i="9"/>
  <c r="DY143" i="9"/>
  <c r="DZ143" i="9"/>
  <c r="EA143" i="9"/>
  <c r="EB143" i="9"/>
  <c r="EC143" i="9"/>
  <c r="ED143" i="9"/>
  <c r="EE143" i="9"/>
  <c r="EF143" i="9"/>
  <c r="EG143" i="9"/>
  <c r="EH143" i="9"/>
  <c r="EI143" i="9"/>
  <c r="EJ143" i="9"/>
  <c r="EK143" i="9"/>
  <c r="EL143" i="9"/>
  <c r="EM143" i="9"/>
  <c r="EN143" i="9"/>
  <c r="EO143" i="9"/>
  <c r="EP143" i="9"/>
  <c r="EQ143" i="9"/>
  <c r="ER143" i="9"/>
  <c r="ES143" i="9"/>
  <c r="ET143" i="9"/>
  <c r="EU143" i="9"/>
  <c r="EV143" i="9"/>
  <c r="EW143" i="9"/>
  <c r="EX143" i="9"/>
  <c r="EY143" i="9"/>
  <c r="EZ143" i="9"/>
  <c r="FA143" i="9"/>
  <c r="FB143" i="9"/>
  <c r="FC143" i="9"/>
  <c r="FD143" i="9"/>
  <c r="FE143" i="9"/>
  <c r="FF143" i="9"/>
  <c r="FG143" i="9"/>
  <c r="FH143" i="9"/>
  <c r="FI143" i="9"/>
  <c r="FJ143" i="9"/>
  <c r="FK143" i="9"/>
  <c r="FL143" i="9"/>
  <c r="FM143" i="9"/>
  <c r="FN143" i="9"/>
  <c r="FO143" i="9"/>
  <c r="FP143" i="9"/>
  <c r="FQ143" i="9"/>
  <c r="FR143" i="9"/>
  <c r="FS143" i="9"/>
  <c r="FT143" i="9"/>
  <c r="FU143" i="9"/>
  <c r="FV143" i="9"/>
  <c r="FW143" i="9"/>
  <c r="FX143" i="9"/>
  <c r="FY143" i="9"/>
  <c r="FZ143" i="9"/>
  <c r="GA143" i="9"/>
  <c r="GB143" i="9"/>
  <c r="GC143" i="9"/>
  <c r="GD143" i="9"/>
  <c r="GE143" i="9"/>
  <c r="GF143" i="9"/>
  <c r="GG143" i="9"/>
  <c r="GH143" i="9"/>
  <c r="GI143" i="9"/>
  <c r="GJ143" i="9"/>
  <c r="GK143" i="9"/>
  <c r="GL143" i="9"/>
  <c r="GM143" i="9"/>
  <c r="GN143" i="9"/>
  <c r="GO143" i="9"/>
  <c r="GP143" i="9"/>
  <c r="GQ143" i="9"/>
  <c r="GR143" i="9"/>
  <c r="GS143" i="9"/>
  <c r="GT143" i="9"/>
  <c r="GU143" i="9"/>
  <c r="GV143" i="9"/>
  <c r="GW143" i="9"/>
  <c r="GX143" i="9"/>
  <c r="GY143" i="9"/>
  <c r="GZ143" i="9"/>
  <c r="HA143" i="9"/>
  <c r="HB143" i="9"/>
  <c r="HC143" i="9"/>
  <c r="HD143" i="9"/>
  <c r="HE143" i="9"/>
  <c r="HF143" i="9"/>
  <c r="HG143" i="9"/>
  <c r="HH143" i="9"/>
  <c r="HI143" i="9"/>
  <c r="HJ143" i="9"/>
  <c r="HK143" i="9"/>
  <c r="HL143" i="9"/>
  <c r="HM143" i="9"/>
  <c r="HN143" i="9"/>
  <c r="HO143" i="9"/>
  <c r="HP143" i="9"/>
  <c r="HQ143" i="9"/>
  <c r="HR143" i="9"/>
  <c r="HS143" i="9"/>
  <c r="HT143" i="9"/>
  <c r="HU143" i="9"/>
  <c r="HV143" i="9"/>
  <c r="HW143" i="9"/>
  <c r="HX143" i="9"/>
  <c r="HY143" i="9"/>
  <c r="HZ143" i="9"/>
  <c r="IA143" i="9"/>
  <c r="IB143" i="9"/>
  <c r="IC143" i="9"/>
  <c r="ID143" i="9"/>
  <c r="IE143" i="9"/>
  <c r="IF143" i="9"/>
  <c r="IG143" i="9"/>
  <c r="IH143" i="9"/>
  <c r="II143" i="9"/>
  <c r="IJ143" i="9"/>
  <c r="IK143" i="9"/>
  <c r="IL143" i="9"/>
  <c r="IM143" i="9"/>
  <c r="IN143" i="9"/>
  <c r="IO143" i="9"/>
  <c r="IP143" i="9"/>
  <c r="IQ143" i="9"/>
  <c r="IR143" i="9"/>
  <c r="IS143" i="9"/>
  <c r="IT143" i="9"/>
  <c r="IU143" i="9"/>
  <c r="IV143" i="9"/>
  <c r="A142" i="9"/>
  <c r="B142" i="9"/>
  <c r="C142" i="9"/>
  <c r="D142" i="9"/>
  <c r="E142" i="9"/>
  <c r="F142" i="9"/>
  <c r="G142" i="9"/>
  <c r="H142" i="9"/>
  <c r="I142" i="9"/>
  <c r="J142" i="9"/>
  <c r="K142" i="9"/>
  <c r="L142" i="9"/>
  <c r="M142" i="9"/>
  <c r="N142" i="9"/>
  <c r="O142" i="9"/>
  <c r="P142" i="9"/>
  <c r="Q142" i="9"/>
  <c r="R142" i="9"/>
  <c r="S142" i="9"/>
  <c r="T142" i="9"/>
  <c r="U142" i="9"/>
  <c r="V142" i="9"/>
  <c r="W142" i="9"/>
  <c r="X142" i="9"/>
  <c r="Y142" i="9"/>
  <c r="Z142" i="9"/>
  <c r="AA142" i="9"/>
  <c r="AB142" i="9"/>
  <c r="AC142" i="9"/>
  <c r="AD142" i="9"/>
  <c r="AE142" i="9"/>
  <c r="AF142" i="9"/>
  <c r="AG142" i="9"/>
  <c r="AH142" i="9"/>
  <c r="AI142" i="9"/>
  <c r="AJ142" i="9"/>
  <c r="AK142" i="9"/>
  <c r="AL142" i="9"/>
  <c r="AM142" i="9"/>
  <c r="AN142" i="9"/>
  <c r="AO142" i="9"/>
  <c r="AP142" i="9"/>
  <c r="AQ142" i="9"/>
  <c r="AR142" i="9"/>
  <c r="AS142" i="9"/>
  <c r="AT142" i="9"/>
  <c r="AU142" i="9"/>
  <c r="AV142" i="9"/>
  <c r="AW142" i="9"/>
  <c r="AX142" i="9"/>
  <c r="AY142" i="9"/>
  <c r="AZ142" i="9"/>
  <c r="BA142" i="9"/>
  <c r="BB142" i="9"/>
  <c r="BC142" i="9"/>
  <c r="BD142" i="9"/>
  <c r="BE142" i="9"/>
  <c r="BF142" i="9"/>
  <c r="BG142" i="9"/>
  <c r="BH142" i="9"/>
  <c r="BI142" i="9"/>
  <c r="BJ142" i="9"/>
  <c r="BK142" i="9"/>
  <c r="BL142" i="9"/>
  <c r="BM142" i="9"/>
  <c r="BN142" i="9"/>
  <c r="BO142" i="9"/>
  <c r="BP142" i="9"/>
  <c r="BQ142" i="9"/>
  <c r="BR142" i="9"/>
  <c r="BS142" i="9"/>
  <c r="BT142" i="9"/>
  <c r="BU142" i="9"/>
  <c r="BV142" i="9"/>
  <c r="BW142" i="9"/>
  <c r="BX142" i="9"/>
  <c r="BY142" i="9"/>
  <c r="BZ142" i="9"/>
  <c r="CA142" i="9"/>
  <c r="CB142" i="9"/>
  <c r="CC142" i="9"/>
  <c r="CD142" i="9"/>
  <c r="CE142" i="9"/>
  <c r="CF142" i="9"/>
  <c r="CG142" i="9"/>
  <c r="CH142" i="9"/>
  <c r="CI142" i="9"/>
  <c r="CJ142" i="9"/>
  <c r="CK142" i="9"/>
  <c r="CL142" i="9"/>
  <c r="CM142" i="9"/>
  <c r="CN142" i="9"/>
  <c r="CO142" i="9"/>
  <c r="CP142" i="9"/>
  <c r="CQ142" i="9"/>
  <c r="CR142" i="9"/>
  <c r="CS142" i="9"/>
  <c r="CT142" i="9"/>
  <c r="CU142" i="9"/>
  <c r="CV142" i="9"/>
  <c r="CW142" i="9"/>
  <c r="CX142" i="9"/>
  <c r="CY142" i="9"/>
  <c r="CZ142" i="9"/>
  <c r="DA142" i="9"/>
  <c r="DB142" i="9"/>
  <c r="DC142" i="9"/>
  <c r="DD142" i="9"/>
  <c r="DE142" i="9"/>
  <c r="DF142" i="9"/>
  <c r="DG142" i="9"/>
  <c r="DH142" i="9"/>
  <c r="DI142" i="9"/>
  <c r="DJ142" i="9"/>
  <c r="DK142" i="9"/>
  <c r="DL142" i="9"/>
  <c r="DM142" i="9"/>
  <c r="DN142" i="9"/>
  <c r="DO142" i="9"/>
  <c r="DP142" i="9"/>
  <c r="DQ142" i="9"/>
  <c r="DR142" i="9"/>
  <c r="DS142" i="9"/>
  <c r="DT142" i="9"/>
  <c r="DU142" i="9"/>
  <c r="DV142" i="9"/>
  <c r="DW142" i="9"/>
  <c r="DX142" i="9"/>
  <c r="DY142" i="9"/>
  <c r="DZ142" i="9"/>
  <c r="EA142" i="9"/>
  <c r="EB142" i="9"/>
  <c r="EC142" i="9"/>
  <c r="ED142" i="9"/>
  <c r="EE142" i="9"/>
  <c r="EF142" i="9"/>
  <c r="EG142" i="9"/>
  <c r="EH142" i="9"/>
  <c r="EI142" i="9"/>
  <c r="EJ142" i="9"/>
  <c r="EK142" i="9"/>
  <c r="EL142" i="9"/>
  <c r="EM142" i="9"/>
  <c r="EN142" i="9"/>
  <c r="EO142" i="9"/>
  <c r="EP142" i="9"/>
  <c r="EQ142" i="9"/>
  <c r="ER142" i="9"/>
  <c r="ES142" i="9"/>
  <c r="ET142" i="9"/>
  <c r="EU142" i="9"/>
  <c r="EV142" i="9"/>
  <c r="EW142" i="9"/>
  <c r="EX142" i="9"/>
  <c r="EY142" i="9"/>
  <c r="EZ142" i="9"/>
  <c r="FA142" i="9"/>
  <c r="FB142" i="9"/>
  <c r="FC142" i="9"/>
  <c r="FD142" i="9"/>
  <c r="FE142" i="9"/>
  <c r="FF142" i="9"/>
  <c r="FG142" i="9"/>
  <c r="FH142" i="9"/>
  <c r="FI142" i="9"/>
  <c r="FJ142" i="9"/>
  <c r="FK142" i="9"/>
  <c r="FL142" i="9"/>
  <c r="FM142" i="9"/>
  <c r="FN142" i="9"/>
  <c r="FO142" i="9"/>
  <c r="FP142" i="9"/>
  <c r="FQ142" i="9"/>
  <c r="FR142" i="9"/>
  <c r="FS142" i="9"/>
  <c r="FT142" i="9"/>
  <c r="FU142" i="9"/>
  <c r="FV142" i="9"/>
  <c r="FW142" i="9"/>
  <c r="FX142" i="9"/>
  <c r="FY142" i="9"/>
  <c r="FZ142" i="9"/>
  <c r="GA142" i="9"/>
  <c r="GB142" i="9"/>
  <c r="GC142" i="9"/>
  <c r="GD142" i="9"/>
  <c r="GE142" i="9"/>
  <c r="GF142" i="9"/>
  <c r="GG142" i="9"/>
  <c r="GH142" i="9"/>
  <c r="GI142" i="9"/>
  <c r="GJ142" i="9"/>
  <c r="GK142" i="9"/>
  <c r="GL142" i="9"/>
  <c r="GM142" i="9"/>
  <c r="GN142" i="9"/>
  <c r="GO142" i="9"/>
  <c r="GP142" i="9"/>
  <c r="GQ142" i="9"/>
  <c r="GR142" i="9"/>
  <c r="GS142" i="9"/>
  <c r="GT142" i="9"/>
  <c r="GU142" i="9"/>
  <c r="GV142" i="9"/>
  <c r="GW142" i="9"/>
  <c r="GX142" i="9"/>
  <c r="GY142" i="9"/>
  <c r="GZ142" i="9"/>
  <c r="HA142" i="9"/>
  <c r="HB142" i="9"/>
  <c r="HC142" i="9"/>
  <c r="HD142" i="9"/>
  <c r="HE142" i="9"/>
  <c r="HF142" i="9"/>
  <c r="HG142" i="9"/>
  <c r="HH142" i="9"/>
  <c r="HI142" i="9"/>
  <c r="HJ142" i="9"/>
  <c r="HK142" i="9"/>
  <c r="HL142" i="9"/>
  <c r="HM142" i="9"/>
  <c r="HN142" i="9"/>
  <c r="HO142" i="9"/>
  <c r="HP142" i="9"/>
  <c r="HQ142" i="9"/>
  <c r="HR142" i="9"/>
  <c r="HS142" i="9"/>
  <c r="HT142" i="9"/>
  <c r="HU142" i="9"/>
  <c r="HV142" i="9"/>
  <c r="HW142" i="9"/>
  <c r="HX142" i="9"/>
  <c r="HY142" i="9"/>
  <c r="HZ142" i="9"/>
  <c r="IA142" i="9"/>
  <c r="IB142" i="9"/>
  <c r="IC142" i="9"/>
  <c r="ID142" i="9"/>
  <c r="IE142" i="9"/>
  <c r="IF142" i="9"/>
  <c r="IG142" i="9"/>
  <c r="IH142" i="9"/>
  <c r="II142" i="9"/>
  <c r="IJ142" i="9"/>
  <c r="IK142" i="9"/>
  <c r="IL142" i="9"/>
  <c r="IM142" i="9"/>
  <c r="IN142" i="9"/>
  <c r="IO142" i="9"/>
  <c r="IP142" i="9"/>
  <c r="IQ142" i="9"/>
  <c r="IR142" i="9"/>
  <c r="IS142" i="9"/>
  <c r="IT142" i="9"/>
  <c r="IU142" i="9"/>
  <c r="IV142" i="9"/>
  <c r="A141" i="9"/>
  <c r="B141" i="9"/>
  <c r="C141" i="9"/>
  <c r="D141" i="9"/>
  <c r="E141" i="9"/>
  <c r="F141" i="9"/>
  <c r="G141" i="9"/>
  <c r="H141" i="9"/>
  <c r="I141" i="9"/>
  <c r="J141" i="9"/>
  <c r="K141" i="9"/>
  <c r="L141" i="9"/>
  <c r="M141" i="9"/>
  <c r="N141" i="9"/>
  <c r="O141" i="9"/>
  <c r="P141" i="9"/>
  <c r="Q141" i="9"/>
  <c r="R141" i="9"/>
  <c r="S141" i="9"/>
  <c r="T141" i="9"/>
  <c r="U141" i="9"/>
  <c r="V141" i="9"/>
  <c r="W141" i="9"/>
  <c r="X141" i="9"/>
  <c r="Y141" i="9"/>
  <c r="Z141" i="9"/>
  <c r="AA141" i="9"/>
  <c r="AB141" i="9"/>
  <c r="AC141" i="9"/>
  <c r="AD141" i="9"/>
  <c r="AE141" i="9"/>
  <c r="AF141" i="9"/>
  <c r="AG141" i="9"/>
  <c r="AH141" i="9"/>
  <c r="AI141" i="9"/>
  <c r="AJ141" i="9"/>
  <c r="AK141" i="9"/>
  <c r="AL141" i="9"/>
  <c r="AM141" i="9"/>
  <c r="AN141" i="9"/>
  <c r="AO141" i="9"/>
  <c r="AP141" i="9"/>
  <c r="AQ141" i="9"/>
  <c r="AR141" i="9"/>
  <c r="AS141" i="9"/>
  <c r="AT141" i="9"/>
  <c r="AU141" i="9"/>
  <c r="AV141" i="9"/>
  <c r="AW141" i="9"/>
  <c r="AX141" i="9"/>
  <c r="AY141" i="9"/>
  <c r="AZ141" i="9"/>
  <c r="BA141" i="9"/>
  <c r="BB141" i="9"/>
  <c r="BC141" i="9"/>
  <c r="BD141" i="9"/>
  <c r="BE141" i="9"/>
  <c r="BF141" i="9"/>
  <c r="BG141" i="9"/>
  <c r="BH141" i="9"/>
  <c r="BI141" i="9"/>
  <c r="BJ141" i="9"/>
  <c r="BK141" i="9"/>
  <c r="BL141" i="9"/>
  <c r="BM141" i="9"/>
  <c r="BN141" i="9"/>
  <c r="BO141" i="9"/>
  <c r="BP141" i="9"/>
  <c r="BQ141" i="9"/>
  <c r="BR141" i="9"/>
  <c r="BS141" i="9"/>
  <c r="BT141" i="9"/>
  <c r="BU141" i="9"/>
  <c r="BV141" i="9"/>
  <c r="BW141" i="9"/>
  <c r="BX141" i="9"/>
  <c r="BY141" i="9"/>
  <c r="BZ141" i="9"/>
  <c r="CA141" i="9"/>
  <c r="CB141" i="9"/>
  <c r="CC141" i="9"/>
  <c r="CD141" i="9"/>
  <c r="CE141" i="9"/>
  <c r="CF141" i="9"/>
  <c r="CG141" i="9"/>
  <c r="CH141" i="9"/>
  <c r="CI141" i="9"/>
  <c r="CJ141" i="9"/>
  <c r="CK141" i="9"/>
  <c r="CL141" i="9"/>
  <c r="CM141" i="9"/>
  <c r="CN141" i="9"/>
  <c r="CO141" i="9"/>
  <c r="CP141" i="9"/>
  <c r="CQ141" i="9"/>
  <c r="CR141" i="9"/>
  <c r="CS141" i="9"/>
  <c r="CT141" i="9"/>
  <c r="CU141" i="9"/>
  <c r="CV141" i="9"/>
  <c r="CW141" i="9"/>
  <c r="CX141" i="9"/>
  <c r="CY141" i="9"/>
  <c r="CZ141" i="9"/>
  <c r="DA141" i="9"/>
  <c r="DB141" i="9"/>
  <c r="DC141" i="9"/>
  <c r="DD141" i="9"/>
  <c r="DE141" i="9"/>
  <c r="DF141" i="9"/>
  <c r="DG141" i="9"/>
  <c r="DH141" i="9"/>
  <c r="DI141" i="9"/>
  <c r="DJ141" i="9"/>
  <c r="DK141" i="9"/>
  <c r="DL141" i="9"/>
  <c r="DM141" i="9"/>
  <c r="DN141" i="9"/>
  <c r="DO141" i="9"/>
  <c r="DP141" i="9"/>
  <c r="DQ141" i="9"/>
  <c r="DR141" i="9"/>
  <c r="DS141" i="9"/>
  <c r="DT141" i="9"/>
  <c r="DU141" i="9"/>
  <c r="DV141" i="9"/>
  <c r="DW141" i="9"/>
  <c r="DX141" i="9"/>
  <c r="DY141" i="9"/>
  <c r="DZ141" i="9"/>
  <c r="EA141" i="9"/>
  <c r="EB141" i="9"/>
  <c r="EC141" i="9"/>
  <c r="ED141" i="9"/>
  <c r="EE141" i="9"/>
  <c r="EF141" i="9"/>
  <c r="EG141" i="9"/>
  <c r="EH141" i="9"/>
  <c r="EI141" i="9"/>
  <c r="EJ141" i="9"/>
  <c r="EK141" i="9"/>
  <c r="EL141" i="9"/>
  <c r="EM141" i="9"/>
  <c r="EN141" i="9"/>
  <c r="EO141" i="9"/>
  <c r="EP141" i="9"/>
  <c r="EQ141" i="9"/>
  <c r="ER141" i="9"/>
  <c r="ES141" i="9"/>
  <c r="ET141" i="9"/>
  <c r="EU141" i="9"/>
  <c r="EV141" i="9"/>
  <c r="EW141" i="9"/>
  <c r="EX141" i="9"/>
  <c r="EY141" i="9"/>
  <c r="EZ141" i="9"/>
  <c r="FA141" i="9"/>
  <c r="FB141" i="9"/>
  <c r="FC141" i="9"/>
  <c r="FD141" i="9"/>
  <c r="FE141" i="9"/>
  <c r="FF141" i="9"/>
  <c r="FG141" i="9"/>
  <c r="FH141" i="9"/>
  <c r="FI141" i="9"/>
  <c r="FJ141" i="9"/>
  <c r="FK141" i="9"/>
  <c r="FL141" i="9"/>
  <c r="FM141" i="9"/>
  <c r="FN141" i="9"/>
  <c r="FO141" i="9"/>
  <c r="FP141" i="9"/>
  <c r="FQ141" i="9"/>
  <c r="FR141" i="9"/>
  <c r="FS141" i="9"/>
  <c r="FT141" i="9"/>
  <c r="FU141" i="9"/>
  <c r="FV141" i="9"/>
  <c r="FW141" i="9"/>
  <c r="FX141" i="9"/>
  <c r="FY141" i="9"/>
  <c r="FZ141" i="9"/>
  <c r="GA141" i="9"/>
  <c r="GB141" i="9"/>
  <c r="GC141" i="9"/>
  <c r="GD141" i="9"/>
  <c r="GE141" i="9"/>
  <c r="GF141" i="9"/>
  <c r="GG141" i="9"/>
  <c r="GH141" i="9"/>
  <c r="GI141" i="9"/>
  <c r="GJ141" i="9"/>
  <c r="GK141" i="9"/>
  <c r="GL141" i="9"/>
  <c r="GM141" i="9"/>
  <c r="GN141" i="9"/>
  <c r="GO141" i="9"/>
  <c r="GP141" i="9"/>
  <c r="GQ141" i="9"/>
  <c r="GR141" i="9"/>
  <c r="GS141" i="9"/>
  <c r="GT141" i="9"/>
  <c r="GU141" i="9"/>
  <c r="GV141" i="9"/>
  <c r="GW141" i="9"/>
  <c r="GX141" i="9"/>
  <c r="GY141" i="9"/>
  <c r="GZ141" i="9"/>
  <c r="HA141" i="9"/>
  <c r="HB141" i="9"/>
  <c r="HC141" i="9"/>
  <c r="HD141" i="9"/>
  <c r="HE141" i="9"/>
  <c r="HF141" i="9"/>
  <c r="HG141" i="9"/>
  <c r="HH141" i="9"/>
  <c r="HI141" i="9"/>
  <c r="HJ141" i="9"/>
  <c r="HK141" i="9"/>
  <c r="HL141" i="9"/>
  <c r="HM141" i="9"/>
  <c r="HN141" i="9"/>
  <c r="HO141" i="9"/>
  <c r="HP141" i="9"/>
  <c r="HQ141" i="9"/>
  <c r="HR141" i="9"/>
  <c r="HS141" i="9"/>
  <c r="HT141" i="9"/>
  <c r="HU141" i="9"/>
  <c r="HV141" i="9"/>
  <c r="HW141" i="9"/>
  <c r="HX141" i="9"/>
  <c r="HY141" i="9"/>
  <c r="HZ141" i="9"/>
  <c r="IA141" i="9"/>
  <c r="IB141" i="9"/>
  <c r="IC141" i="9"/>
  <c r="ID141" i="9"/>
  <c r="IE141" i="9"/>
  <c r="IF141" i="9"/>
  <c r="IG141" i="9"/>
  <c r="IH141" i="9"/>
  <c r="II141" i="9"/>
  <c r="IJ141" i="9"/>
  <c r="IK141" i="9"/>
  <c r="IL141" i="9"/>
  <c r="IM141" i="9"/>
  <c r="IN141" i="9"/>
  <c r="IO141" i="9"/>
  <c r="IP141" i="9"/>
  <c r="IQ141" i="9"/>
  <c r="IR141" i="9"/>
  <c r="IS141" i="9"/>
  <c r="IT141" i="9"/>
  <c r="IU141" i="9"/>
  <c r="IV141" i="9"/>
  <c r="A140" i="9"/>
  <c r="B140" i="9"/>
  <c r="C140" i="9"/>
  <c r="D140" i="9"/>
  <c r="E140" i="9"/>
  <c r="F140" i="9"/>
  <c r="G140" i="9"/>
  <c r="H140" i="9"/>
  <c r="I140" i="9"/>
  <c r="J140" i="9"/>
  <c r="K140" i="9"/>
  <c r="L140" i="9"/>
  <c r="M140" i="9"/>
  <c r="N140" i="9"/>
  <c r="O140" i="9"/>
  <c r="P140" i="9"/>
  <c r="Q140" i="9"/>
  <c r="R140" i="9"/>
  <c r="S140" i="9"/>
  <c r="T140" i="9"/>
  <c r="U140" i="9"/>
  <c r="V140" i="9"/>
  <c r="W140" i="9"/>
  <c r="X140" i="9"/>
  <c r="Y140" i="9"/>
  <c r="Z140" i="9"/>
  <c r="AA140" i="9"/>
  <c r="AB140" i="9"/>
  <c r="AC140" i="9"/>
  <c r="AD140" i="9"/>
  <c r="AE140" i="9"/>
  <c r="AF140" i="9"/>
  <c r="AG140" i="9"/>
  <c r="AH140" i="9"/>
  <c r="AI140" i="9"/>
  <c r="AJ140" i="9"/>
  <c r="AK140" i="9"/>
  <c r="AL140" i="9"/>
  <c r="AM140" i="9"/>
  <c r="AN140" i="9"/>
  <c r="AO140" i="9"/>
  <c r="AP140" i="9"/>
  <c r="AQ140" i="9"/>
  <c r="AR140" i="9"/>
  <c r="AS140" i="9"/>
  <c r="AT140" i="9"/>
  <c r="AU140" i="9"/>
  <c r="AV140" i="9"/>
  <c r="AW140" i="9"/>
  <c r="AX140" i="9"/>
  <c r="AY140" i="9"/>
  <c r="AZ140" i="9"/>
  <c r="BA140" i="9"/>
  <c r="BB140" i="9"/>
  <c r="BC140" i="9"/>
  <c r="BD140" i="9"/>
  <c r="BE140" i="9"/>
  <c r="BF140" i="9"/>
  <c r="BG140" i="9"/>
  <c r="BH140" i="9"/>
  <c r="BI140" i="9"/>
  <c r="BJ140" i="9"/>
  <c r="BK140" i="9"/>
  <c r="BL140" i="9"/>
  <c r="BM140" i="9"/>
  <c r="BN140" i="9"/>
  <c r="BO140" i="9"/>
  <c r="BP140" i="9"/>
  <c r="BQ140" i="9"/>
  <c r="BR140" i="9"/>
  <c r="BS140" i="9"/>
  <c r="BT140" i="9"/>
  <c r="BU140" i="9"/>
  <c r="BV140" i="9"/>
  <c r="BW140" i="9"/>
  <c r="BX140" i="9"/>
  <c r="BY140" i="9"/>
  <c r="BZ140" i="9"/>
  <c r="CA140" i="9"/>
  <c r="CB140" i="9"/>
  <c r="CC140" i="9"/>
  <c r="CD140" i="9"/>
  <c r="CE140" i="9"/>
  <c r="CF140" i="9"/>
  <c r="CG140" i="9"/>
  <c r="CH140" i="9"/>
  <c r="CI140" i="9"/>
  <c r="CJ140" i="9"/>
  <c r="CK140" i="9"/>
  <c r="CL140" i="9"/>
  <c r="CM140" i="9"/>
  <c r="CN140" i="9"/>
  <c r="CO140" i="9"/>
  <c r="CP140" i="9"/>
  <c r="CQ140" i="9"/>
  <c r="CR140" i="9"/>
  <c r="CS140" i="9"/>
  <c r="CT140" i="9"/>
  <c r="CU140" i="9"/>
  <c r="CV140" i="9"/>
  <c r="CW140" i="9"/>
  <c r="CX140" i="9"/>
  <c r="CY140" i="9"/>
  <c r="CZ140" i="9"/>
  <c r="DA140" i="9"/>
  <c r="DB140" i="9"/>
  <c r="DC140" i="9"/>
  <c r="DD140" i="9"/>
  <c r="DE140" i="9"/>
  <c r="DF140" i="9"/>
  <c r="DG140" i="9"/>
  <c r="DH140" i="9"/>
  <c r="DI140" i="9"/>
  <c r="DJ140" i="9"/>
  <c r="DK140" i="9"/>
  <c r="DL140" i="9"/>
  <c r="DM140" i="9"/>
  <c r="DN140" i="9"/>
  <c r="DO140" i="9"/>
  <c r="DP140" i="9"/>
  <c r="DQ140" i="9"/>
  <c r="DR140" i="9"/>
  <c r="DS140" i="9"/>
  <c r="DT140" i="9"/>
  <c r="DU140" i="9"/>
  <c r="DV140" i="9"/>
  <c r="DW140" i="9"/>
  <c r="DX140" i="9"/>
  <c r="DY140" i="9"/>
  <c r="DZ140" i="9"/>
  <c r="EA140" i="9"/>
  <c r="EB140" i="9"/>
  <c r="EC140" i="9"/>
  <c r="ED140" i="9"/>
  <c r="EE140" i="9"/>
  <c r="EF140" i="9"/>
  <c r="EG140" i="9"/>
  <c r="EH140" i="9"/>
  <c r="EI140" i="9"/>
  <c r="EJ140" i="9"/>
  <c r="EK140" i="9"/>
  <c r="EL140" i="9"/>
  <c r="EM140" i="9"/>
  <c r="EN140" i="9"/>
  <c r="EO140" i="9"/>
  <c r="EP140" i="9"/>
  <c r="EQ140" i="9"/>
  <c r="ER140" i="9"/>
  <c r="ES140" i="9"/>
  <c r="ET140" i="9"/>
  <c r="EU140" i="9"/>
  <c r="EV140" i="9"/>
  <c r="EW140" i="9"/>
  <c r="EX140" i="9"/>
  <c r="EY140" i="9"/>
  <c r="EZ140" i="9"/>
  <c r="FA140" i="9"/>
  <c r="FB140" i="9"/>
  <c r="FC140" i="9"/>
  <c r="FD140" i="9"/>
  <c r="FE140" i="9"/>
  <c r="FF140" i="9"/>
  <c r="FG140" i="9"/>
  <c r="FH140" i="9"/>
  <c r="FI140" i="9"/>
  <c r="FJ140" i="9"/>
  <c r="FK140" i="9"/>
  <c r="FL140" i="9"/>
  <c r="FM140" i="9"/>
  <c r="FN140" i="9"/>
  <c r="FO140" i="9"/>
  <c r="FP140" i="9"/>
  <c r="FQ140" i="9"/>
  <c r="FR140" i="9"/>
  <c r="FS140" i="9"/>
  <c r="FT140" i="9"/>
  <c r="FU140" i="9"/>
  <c r="FV140" i="9"/>
  <c r="FW140" i="9"/>
  <c r="FX140" i="9"/>
  <c r="FY140" i="9"/>
  <c r="FZ140" i="9"/>
  <c r="GA140" i="9"/>
  <c r="GB140" i="9"/>
  <c r="GC140" i="9"/>
  <c r="GD140" i="9"/>
  <c r="GE140" i="9"/>
  <c r="GF140" i="9"/>
  <c r="GG140" i="9"/>
  <c r="GH140" i="9"/>
  <c r="GI140" i="9"/>
  <c r="GJ140" i="9"/>
  <c r="GK140" i="9"/>
  <c r="GL140" i="9"/>
  <c r="GM140" i="9"/>
  <c r="GN140" i="9"/>
  <c r="GO140" i="9"/>
  <c r="GP140" i="9"/>
  <c r="GQ140" i="9"/>
  <c r="GR140" i="9"/>
  <c r="GS140" i="9"/>
  <c r="GT140" i="9"/>
  <c r="GU140" i="9"/>
  <c r="GV140" i="9"/>
  <c r="GW140" i="9"/>
  <c r="GX140" i="9"/>
  <c r="GY140" i="9"/>
  <c r="GZ140" i="9"/>
  <c r="HA140" i="9"/>
  <c r="HB140" i="9"/>
  <c r="HC140" i="9"/>
  <c r="HD140" i="9"/>
  <c r="HE140" i="9"/>
  <c r="HF140" i="9"/>
  <c r="HG140" i="9"/>
  <c r="HH140" i="9"/>
  <c r="HI140" i="9"/>
  <c r="HJ140" i="9"/>
  <c r="HK140" i="9"/>
  <c r="HL140" i="9"/>
  <c r="HM140" i="9"/>
  <c r="HN140" i="9"/>
  <c r="HO140" i="9"/>
  <c r="HP140" i="9"/>
  <c r="HQ140" i="9"/>
  <c r="HR140" i="9"/>
  <c r="HS140" i="9"/>
  <c r="HT140" i="9"/>
  <c r="HU140" i="9"/>
  <c r="HV140" i="9"/>
  <c r="HW140" i="9"/>
  <c r="HX140" i="9"/>
  <c r="HY140" i="9"/>
  <c r="HZ140" i="9"/>
  <c r="IA140" i="9"/>
  <c r="IB140" i="9"/>
  <c r="IC140" i="9"/>
  <c r="ID140" i="9"/>
  <c r="IE140" i="9"/>
  <c r="IF140" i="9"/>
  <c r="IG140" i="9"/>
  <c r="IH140" i="9"/>
  <c r="II140" i="9"/>
  <c r="IJ140" i="9"/>
  <c r="IK140" i="9"/>
  <c r="IL140" i="9"/>
  <c r="IM140" i="9"/>
  <c r="IN140" i="9"/>
  <c r="IO140" i="9"/>
  <c r="IP140" i="9"/>
  <c r="IQ140" i="9"/>
  <c r="IR140" i="9"/>
  <c r="IS140" i="9"/>
  <c r="IT140" i="9"/>
  <c r="IU140" i="9"/>
  <c r="IV140" i="9"/>
  <c r="A139" i="9"/>
  <c r="B139" i="9"/>
  <c r="C139" i="9"/>
  <c r="D139" i="9"/>
  <c r="E139" i="9"/>
  <c r="F139" i="9"/>
  <c r="G139" i="9"/>
  <c r="H139" i="9"/>
  <c r="I139" i="9"/>
  <c r="J139" i="9"/>
  <c r="K139" i="9"/>
  <c r="L139" i="9"/>
  <c r="M139" i="9"/>
  <c r="N139" i="9"/>
  <c r="O139" i="9"/>
  <c r="P139" i="9"/>
  <c r="Q139" i="9"/>
  <c r="R139" i="9"/>
  <c r="S139" i="9"/>
  <c r="T139" i="9"/>
  <c r="U139" i="9"/>
  <c r="V139" i="9"/>
  <c r="W139" i="9"/>
  <c r="X139" i="9"/>
  <c r="Y139" i="9"/>
  <c r="Z139" i="9"/>
  <c r="AA139" i="9"/>
  <c r="AB139" i="9"/>
  <c r="AC139" i="9"/>
  <c r="AD139" i="9"/>
  <c r="AE139" i="9"/>
  <c r="AF139" i="9"/>
  <c r="AG139" i="9"/>
  <c r="AH139" i="9"/>
  <c r="AI139" i="9"/>
  <c r="AJ139" i="9"/>
  <c r="AK139" i="9"/>
  <c r="AL139" i="9"/>
  <c r="AM139" i="9"/>
  <c r="AN139" i="9"/>
  <c r="AO139" i="9"/>
  <c r="AP139" i="9"/>
  <c r="AQ139" i="9"/>
  <c r="AR139" i="9"/>
  <c r="AS139" i="9"/>
  <c r="AT139" i="9"/>
  <c r="AU139" i="9"/>
  <c r="AV139" i="9"/>
  <c r="AW139" i="9"/>
  <c r="AX139" i="9"/>
  <c r="AY139" i="9"/>
  <c r="AZ139" i="9"/>
  <c r="BA139" i="9"/>
  <c r="BB139" i="9"/>
  <c r="BC139" i="9"/>
  <c r="BD139" i="9"/>
  <c r="BE139" i="9"/>
  <c r="BF139" i="9"/>
  <c r="BG139" i="9"/>
  <c r="BH139" i="9"/>
  <c r="BI139" i="9"/>
  <c r="BJ139" i="9"/>
  <c r="BK139" i="9"/>
  <c r="BL139" i="9"/>
  <c r="BM139" i="9"/>
  <c r="BN139" i="9"/>
  <c r="BO139" i="9"/>
  <c r="BP139" i="9"/>
  <c r="BQ139" i="9"/>
  <c r="BR139" i="9"/>
  <c r="BS139" i="9"/>
  <c r="BT139" i="9"/>
  <c r="BU139" i="9"/>
  <c r="BV139" i="9"/>
  <c r="BW139" i="9"/>
  <c r="BX139" i="9"/>
  <c r="BY139" i="9"/>
  <c r="BZ139" i="9"/>
  <c r="CA139" i="9"/>
  <c r="CB139" i="9"/>
  <c r="CC139" i="9"/>
  <c r="CD139" i="9"/>
  <c r="CE139" i="9"/>
  <c r="CF139" i="9"/>
  <c r="CG139" i="9"/>
  <c r="CH139" i="9"/>
  <c r="CI139" i="9"/>
  <c r="CJ139" i="9"/>
  <c r="CK139" i="9"/>
  <c r="CL139" i="9"/>
  <c r="CM139" i="9"/>
  <c r="CN139" i="9"/>
  <c r="CO139" i="9"/>
  <c r="CP139" i="9"/>
  <c r="CQ139" i="9"/>
  <c r="CR139" i="9"/>
  <c r="CS139" i="9"/>
  <c r="CT139" i="9"/>
  <c r="CU139" i="9"/>
  <c r="CV139" i="9"/>
  <c r="CW139" i="9"/>
  <c r="CX139" i="9"/>
  <c r="CY139" i="9"/>
  <c r="CZ139" i="9"/>
  <c r="DA139" i="9"/>
  <c r="DB139" i="9"/>
  <c r="DC139" i="9"/>
  <c r="DD139" i="9"/>
  <c r="DE139" i="9"/>
  <c r="DF139" i="9"/>
  <c r="DG139" i="9"/>
  <c r="DH139" i="9"/>
  <c r="DI139" i="9"/>
  <c r="DJ139" i="9"/>
  <c r="DK139" i="9"/>
  <c r="DL139" i="9"/>
  <c r="DM139" i="9"/>
  <c r="DN139" i="9"/>
  <c r="DO139" i="9"/>
  <c r="DP139" i="9"/>
  <c r="DQ139" i="9"/>
  <c r="DR139" i="9"/>
  <c r="DS139" i="9"/>
  <c r="DT139" i="9"/>
  <c r="DU139" i="9"/>
  <c r="DV139" i="9"/>
  <c r="DW139" i="9"/>
  <c r="DX139" i="9"/>
  <c r="DY139" i="9"/>
  <c r="DZ139" i="9"/>
  <c r="EA139" i="9"/>
  <c r="EB139" i="9"/>
  <c r="EC139" i="9"/>
  <c r="ED139" i="9"/>
  <c r="EE139" i="9"/>
  <c r="EF139" i="9"/>
  <c r="EG139" i="9"/>
  <c r="EH139" i="9"/>
  <c r="EI139" i="9"/>
  <c r="EJ139" i="9"/>
  <c r="EK139" i="9"/>
  <c r="EL139" i="9"/>
  <c r="EM139" i="9"/>
  <c r="EN139" i="9"/>
  <c r="EO139" i="9"/>
  <c r="EP139" i="9"/>
  <c r="EQ139" i="9"/>
  <c r="ER139" i="9"/>
  <c r="ES139" i="9"/>
  <c r="ET139" i="9"/>
  <c r="EU139" i="9"/>
  <c r="EV139" i="9"/>
  <c r="EW139" i="9"/>
  <c r="EX139" i="9"/>
  <c r="EY139" i="9"/>
  <c r="EZ139" i="9"/>
  <c r="FA139" i="9"/>
  <c r="FB139" i="9"/>
  <c r="FC139" i="9"/>
  <c r="FD139" i="9"/>
  <c r="FE139" i="9"/>
  <c r="FF139" i="9"/>
  <c r="FG139" i="9"/>
  <c r="FH139" i="9"/>
  <c r="FI139" i="9"/>
  <c r="FJ139" i="9"/>
  <c r="FK139" i="9"/>
  <c r="FL139" i="9"/>
  <c r="FM139" i="9"/>
  <c r="FN139" i="9"/>
  <c r="FO139" i="9"/>
  <c r="FP139" i="9"/>
  <c r="FQ139" i="9"/>
  <c r="FR139" i="9"/>
  <c r="FS139" i="9"/>
  <c r="FT139" i="9"/>
  <c r="FU139" i="9"/>
  <c r="FV139" i="9"/>
  <c r="FW139" i="9"/>
  <c r="FX139" i="9"/>
  <c r="FY139" i="9"/>
  <c r="FZ139" i="9"/>
  <c r="GA139" i="9"/>
  <c r="GB139" i="9"/>
  <c r="GC139" i="9"/>
  <c r="GD139" i="9"/>
  <c r="GE139" i="9"/>
  <c r="GF139" i="9"/>
  <c r="GG139" i="9"/>
  <c r="GH139" i="9"/>
  <c r="GI139" i="9"/>
  <c r="GJ139" i="9"/>
  <c r="GK139" i="9"/>
  <c r="GL139" i="9"/>
  <c r="GM139" i="9"/>
  <c r="GN139" i="9"/>
  <c r="GO139" i="9"/>
  <c r="GP139" i="9"/>
  <c r="GQ139" i="9"/>
  <c r="GR139" i="9"/>
  <c r="GS139" i="9"/>
  <c r="GT139" i="9"/>
  <c r="GU139" i="9"/>
  <c r="GV139" i="9"/>
  <c r="GW139" i="9"/>
  <c r="GX139" i="9"/>
  <c r="GY139" i="9"/>
  <c r="GZ139" i="9"/>
  <c r="HA139" i="9"/>
  <c r="HB139" i="9"/>
  <c r="HC139" i="9"/>
  <c r="HD139" i="9"/>
  <c r="HE139" i="9"/>
  <c r="HF139" i="9"/>
  <c r="HG139" i="9"/>
  <c r="HH139" i="9"/>
  <c r="HI139" i="9"/>
  <c r="HJ139" i="9"/>
  <c r="HK139" i="9"/>
  <c r="HL139" i="9"/>
  <c r="HM139" i="9"/>
  <c r="HN139" i="9"/>
  <c r="HO139" i="9"/>
  <c r="HP139" i="9"/>
  <c r="HQ139" i="9"/>
  <c r="HR139" i="9"/>
  <c r="HS139" i="9"/>
  <c r="HT139" i="9"/>
  <c r="HU139" i="9"/>
  <c r="HV139" i="9"/>
  <c r="HW139" i="9"/>
  <c r="HX139" i="9"/>
  <c r="HY139" i="9"/>
  <c r="HZ139" i="9"/>
  <c r="IA139" i="9"/>
  <c r="IB139" i="9"/>
  <c r="IC139" i="9"/>
  <c r="ID139" i="9"/>
  <c r="IE139" i="9"/>
  <c r="IF139" i="9"/>
  <c r="IG139" i="9"/>
  <c r="IH139" i="9"/>
  <c r="II139" i="9"/>
  <c r="IJ139" i="9"/>
  <c r="IK139" i="9"/>
  <c r="IL139" i="9"/>
  <c r="IM139" i="9"/>
  <c r="IN139" i="9"/>
  <c r="IO139" i="9"/>
  <c r="IP139" i="9"/>
  <c r="IQ139" i="9"/>
  <c r="IR139" i="9"/>
  <c r="IS139" i="9"/>
  <c r="IT139" i="9"/>
  <c r="IU139" i="9"/>
  <c r="IV139" i="9"/>
  <c r="A138" i="9"/>
  <c r="B138" i="9"/>
  <c r="C138" i="9"/>
  <c r="D138" i="9"/>
  <c r="E138" i="9"/>
  <c r="F138" i="9"/>
  <c r="G138" i="9"/>
  <c r="H138" i="9"/>
  <c r="I138" i="9"/>
  <c r="J138" i="9"/>
  <c r="K138" i="9"/>
  <c r="L138" i="9"/>
  <c r="M138" i="9"/>
  <c r="N138" i="9"/>
  <c r="O138" i="9"/>
  <c r="P138" i="9"/>
  <c r="Q138" i="9"/>
  <c r="R138" i="9"/>
  <c r="S138" i="9"/>
  <c r="T138" i="9"/>
  <c r="U138" i="9"/>
  <c r="V138" i="9"/>
  <c r="W138" i="9"/>
  <c r="X138" i="9"/>
  <c r="Y138" i="9"/>
  <c r="Z138" i="9"/>
  <c r="AA138" i="9"/>
  <c r="AB138" i="9"/>
  <c r="AC138" i="9"/>
  <c r="AD138" i="9"/>
  <c r="AE138" i="9"/>
  <c r="AF138" i="9"/>
  <c r="AG138" i="9"/>
  <c r="AH138" i="9"/>
  <c r="AI138" i="9"/>
  <c r="AJ138" i="9"/>
  <c r="AK138" i="9"/>
  <c r="AL138" i="9"/>
  <c r="AM138" i="9"/>
  <c r="AN138" i="9"/>
  <c r="AO138" i="9"/>
  <c r="AP138" i="9"/>
  <c r="AQ138" i="9"/>
  <c r="AR138" i="9"/>
  <c r="AS138" i="9"/>
  <c r="AT138" i="9"/>
  <c r="AU138" i="9"/>
  <c r="AV138" i="9"/>
  <c r="AW138" i="9"/>
  <c r="AX138" i="9"/>
  <c r="AY138" i="9"/>
  <c r="AZ138" i="9"/>
  <c r="BA138" i="9"/>
  <c r="BB138" i="9"/>
  <c r="BC138" i="9"/>
  <c r="BD138" i="9"/>
  <c r="BE138" i="9"/>
  <c r="BF138" i="9"/>
  <c r="BG138" i="9"/>
  <c r="BH138" i="9"/>
  <c r="BI138" i="9"/>
  <c r="BJ138" i="9"/>
  <c r="BK138" i="9"/>
  <c r="BL138" i="9"/>
  <c r="BM138" i="9"/>
  <c r="BN138" i="9"/>
  <c r="BO138" i="9"/>
  <c r="BP138" i="9"/>
  <c r="BQ138" i="9"/>
  <c r="BR138" i="9"/>
  <c r="BS138" i="9"/>
  <c r="BT138" i="9"/>
  <c r="BU138" i="9"/>
  <c r="BV138" i="9"/>
  <c r="BW138" i="9"/>
  <c r="BX138" i="9"/>
  <c r="BY138" i="9"/>
  <c r="BZ138" i="9"/>
  <c r="CA138" i="9"/>
  <c r="CB138" i="9"/>
  <c r="CC138" i="9"/>
  <c r="CD138" i="9"/>
  <c r="CE138" i="9"/>
  <c r="CF138" i="9"/>
  <c r="CG138" i="9"/>
  <c r="CH138" i="9"/>
  <c r="CI138" i="9"/>
  <c r="CJ138" i="9"/>
  <c r="CK138" i="9"/>
  <c r="CL138" i="9"/>
  <c r="CM138" i="9"/>
  <c r="CN138" i="9"/>
  <c r="CO138" i="9"/>
  <c r="CP138" i="9"/>
  <c r="CQ138" i="9"/>
  <c r="CR138" i="9"/>
  <c r="CS138" i="9"/>
  <c r="CT138" i="9"/>
  <c r="CU138" i="9"/>
  <c r="CV138" i="9"/>
  <c r="CW138" i="9"/>
  <c r="CX138" i="9"/>
  <c r="CY138" i="9"/>
  <c r="CZ138" i="9"/>
  <c r="DA138" i="9"/>
  <c r="DB138" i="9"/>
  <c r="DC138" i="9"/>
  <c r="DD138" i="9"/>
  <c r="DE138" i="9"/>
  <c r="DF138" i="9"/>
  <c r="DG138" i="9"/>
  <c r="DH138" i="9"/>
  <c r="DI138" i="9"/>
  <c r="DJ138" i="9"/>
  <c r="DK138" i="9"/>
  <c r="DL138" i="9"/>
  <c r="DM138" i="9"/>
  <c r="DN138" i="9"/>
  <c r="DO138" i="9"/>
  <c r="DP138" i="9"/>
  <c r="DQ138" i="9"/>
  <c r="DR138" i="9"/>
  <c r="DS138" i="9"/>
  <c r="DT138" i="9"/>
  <c r="DU138" i="9"/>
  <c r="DV138" i="9"/>
  <c r="DW138" i="9"/>
  <c r="DX138" i="9"/>
  <c r="DY138" i="9"/>
  <c r="DZ138" i="9"/>
  <c r="EA138" i="9"/>
  <c r="EB138" i="9"/>
  <c r="EC138" i="9"/>
  <c r="ED138" i="9"/>
  <c r="EE138" i="9"/>
  <c r="EF138" i="9"/>
  <c r="EG138" i="9"/>
  <c r="EH138" i="9"/>
  <c r="EI138" i="9"/>
  <c r="EJ138" i="9"/>
  <c r="EK138" i="9"/>
  <c r="EL138" i="9"/>
  <c r="EM138" i="9"/>
  <c r="EN138" i="9"/>
  <c r="EO138" i="9"/>
  <c r="EP138" i="9"/>
  <c r="EQ138" i="9"/>
  <c r="ER138" i="9"/>
  <c r="ES138" i="9"/>
  <c r="ET138" i="9"/>
  <c r="EU138" i="9"/>
  <c r="EV138" i="9"/>
  <c r="EW138" i="9"/>
  <c r="EX138" i="9"/>
  <c r="EY138" i="9"/>
  <c r="EZ138" i="9"/>
  <c r="FA138" i="9"/>
  <c r="FB138" i="9"/>
  <c r="FC138" i="9"/>
  <c r="FD138" i="9"/>
  <c r="FE138" i="9"/>
  <c r="FF138" i="9"/>
  <c r="FG138" i="9"/>
  <c r="FH138" i="9"/>
  <c r="FI138" i="9"/>
  <c r="FJ138" i="9"/>
  <c r="FK138" i="9"/>
  <c r="FL138" i="9"/>
  <c r="FM138" i="9"/>
  <c r="FN138" i="9"/>
  <c r="FO138" i="9"/>
  <c r="FP138" i="9"/>
  <c r="FQ138" i="9"/>
  <c r="FR138" i="9"/>
  <c r="FS138" i="9"/>
  <c r="FT138" i="9"/>
  <c r="FU138" i="9"/>
  <c r="FV138" i="9"/>
  <c r="FW138" i="9"/>
  <c r="FX138" i="9"/>
  <c r="FY138" i="9"/>
  <c r="FZ138" i="9"/>
  <c r="GA138" i="9"/>
  <c r="GB138" i="9"/>
  <c r="GC138" i="9"/>
  <c r="GD138" i="9"/>
  <c r="GE138" i="9"/>
  <c r="GF138" i="9"/>
  <c r="GG138" i="9"/>
  <c r="GH138" i="9"/>
  <c r="GI138" i="9"/>
  <c r="GJ138" i="9"/>
  <c r="GK138" i="9"/>
  <c r="GL138" i="9"/>
  <c r="GM138" i="9"/>
  <c r="GN138" i="9"/>
  <c r="GO138" i="9"/>
  <c r="GP138" i="9"/>
  <c r="GQ138" i="9"/>
  <c r="GR138" i="9"/>
  <c r="GS138" i="9"/>
  <c r="GT138" i="9"/>
  <c r="GU138" i="9"/>
  <c r="GV138" i="9"/>
  <c r="GW138" i="9"/>
  <c r="GX138" i="9"/>
  <c r="GY138" i="9"/>
  <c r="GZ138" i="9"/>
  <c r="HA138" i="9"/>
  <c r="HB138" i="9"/>
  <c r="HC138" i="9"/>
  <c r="HD138" i="9"/>
  <c r="HE138" i="9"/>
  <c r="HF138" i="9"/>
  <c r="HG138" i="9"/>
  <c r="HH138" i="9"/>
  <c r="HI138" i="9"/>
  <c r="HJ138" i="9"/>
  <c r="HK138" i="9"/>
  <c r="HL138" i="9"/>
  <c r="HM138" i="9"/>
  <c r="HN138" i="9"/>
  <c r="HO138" i="9"/>
  <c r="HP138" i="9"/>
  <c r="HQ138" i="9"/>
  <c r="HR138" i="9"/>
  <c r="HS138" i="9"/>
  <c r="HT138" i="9"/>
  <c r="HU138" i="9"/>
  <c r="HV138" i="9"/>
  <c r="HW138" i="9"/>
  <c r="HX138" i="9"/>
  <c r="HY138" i="9"/>
  <c r="HZ138" i="9"/>
  <c r="IA138" i="9"/>
  <c r="IB138" i="9"/>
  <c r="IC138" i="9"/>
  <c r="ID138" i="9"/>
  <c r="IE138" i="9"/>
  <c r="IF138" i="9"/>
  <c r="IG138" i="9"/>
  <c r="IH138" i="9"/>
  <c r="II138" i="9"/>
  <c r="IJ138" i="9"/>
  <c r="IK138" i="9"/>
  <c r="IL138" i="9"/>
  <c r="IM138" i="9"/>
  <c r="IN138" i="9"/>
  <c r="IO138" i="9"/>
  <c r="IP138" i="9"/>
  <c r="IQ138" i="9"/>
  <c r="IR138" i="9"/>
  <c r="IS138" i="9"/>
  <c r="IT138" i="9"/>
  <c r="IU138" i="9"/>
  <c r="IV138" i="9"/>
  <c r="A137" i="9"/>
  <c r="B137" i="9"/>
  <c r="C137" i="9"/>
  <c r="D137" i="9"/>
  <c r="E137" i="9"/>
  <c r="F137" i="9"/>
  <c r="G137" i="9"/>
  <c r="H137" i="9"/>
  <c r="I137" i="9"/>
  <c r="J137" i="9"/>
  <c r="K137" i="9"/>
  <c r="L137" i="9"/>
  <c r="M137" i="9"/>
  <c r="N137" i="9"/>
  <c r="O137" i="9"/>
  <c r="P137" i="9"/>
  <c r="Q137" i="9"/>
  <c r="R137" i="9"/>
  <c r="S137" i="9"/>
  <c r="T137" i="9"/>
  <c r="U137" i="9"/>
  <c r="V137" i="9"/>
  <c r="W137" i="9"/>
  <c r="X137" i="9"/>
  <c r="Y137" i="9"/>
  <c r="Z137" i="9"/>
  <c r="AA137" i="9"/>
  <c r="AB137" i="9"/>
  <c r="AC137" i="9"/>
  <c r="AD137" i="9"/>
  <c r="AE137" i="9"/>
  <c r="AF137" i="9"/>
  <c r="AG137" i="9"/>
  <c r="AH137" i="9"/>
  <c r="AI137" i="9"/>
  <c r="AJ137" i="9"/>
  <c r="AK137" i="9"/>
  <c r="AL137" i="9"/>
  <c r="AM137" i="9"/>
  <c r="AN137" i="9"/>
  <c r="AO137" i="9"/>
  <c r="AP137" i="9"/>
  <c r="AQ137" i="9"/>
  <c r="AR137" i="9"/>
  <c r="AS137" i="9"/>
  <c r="AT137" i="9"/>
  <c r="AU137" i="9"/>
  <c r="AV137" i="9"/>
  <c r="AW137" i="9"/>
  <c r="AX137" i="9"/>
  <c r="AY137" i="9"/>
  <c r="AZ137" i="9"/>
  <c r="BA137" i="9"/>
  <c r="BB137" i="9"/>
  <c r="BC137" i="9"/>
  <c r="BD137" i="9"/>
  <c r="BE137" i="9"/>
  <c r="BF137" i="9"/>
  <c r="BG137" i="9"/>
  <c r="BH137" i="9"/>
  <c r="BI137" i="9"/>
  <c r="BJ137" i="9"/>
  <c r="BK137" i="9"/>
  <c r="BL137" i="9"/>
  <c r="BM137" i="9"/>
  <c r="BN137" i="9"/>
  <c r="BO137" i="9"/>
  <c r="BP137" i="9"/>
  <c r="BQ137" i="9"/>
  <c r="BR137" i="9"/>
  <c r="BS137" i="9"/>
  <c r="BT137" i="9"/>
  <c r="BU137" i="9"/>
  <c r="BV137" i="9"/>
  <c r="BW137" i="9"/>
  <c r="BX137" i="9"/>
  <c r="BY137" i="9"/>
  <c r="BZ137" i="9"/>
  <c r="CA137" i="9"/>
  <c r="CB137" i="9"/>
  <c r="CC137" i="9"/>
  <c r="CD137" i="9"/>
  <c r="CE137" i="9"/>
  <c r="CF137" i="9"/>
  <c r="CG137" i="9"/>
  <c r="CH137" i="9"/>
  <c r="CI137" i="9"/>
  <c r="CJ137" i="9"/>
  <c r="CK137" i="9"/>
  <c r="CL137" i="9"/>
  <c r="CM137" i="9"/>
  <c r="CN137" i="9"/>
  <c r="CO137" i="9"/>
  <c r="CP137" i="9"/>
  <c r="CQ137" i="9"/>
  <c r="CR137" i="9"/>
  <c r="CS137" i="9"/>
  <c r="CT137" i="9"/>
  <c r="CU137" i="9"/>
  <c r="CV137" i="9"/>
  <c r="CW137" i="9"/>
  <c r="CX137" i="9"/>
  <c r="CY137" i="9"/>
  <c r="CZ137" i="9"/>
  <c r="DA137" i="9"/>
  <c r="DB137" i="9"/>
  <c r="DC137" i="9"/>
  <c r="DD137" i="9"/>
  <c r="DE137" i="9"/>
  <c r="DF137" i="9"/>
  <c r="DG137" i="9"/>
  <c r="DH137" i="9"/>
  <c r="DI137" i="9"/>
  <c r="DJ137" i="9"/>
  <c r="DK137" i="9"/>
  <c r="DL137" i="9"/>
  <c r="DM137" i="9"/>
  <c r="DN137" i="9"/>
  <c r="DO137" i="9"/>
  <c r="DP137" i="9"/>
  <c r="DQ137" i="9"/>
  <c r="DR137" i="9"/>
  <c r="DS137" i="9"/>
  <c r="DT137" i="9"/>
  <c r="DU137" i="9"/>
  <c r="DV137" i="9"/>
  <c r="DW137" i="9"/>
  <c r="DX137" i="9"/>
  <c r="DY137" i="9"/>
  <c r="DZ137" i="9"/>
  <c r="EA137" i="9"/>
  <c r="EB137" i="9"/>
  <c r="EC137" i="9"/>
  <c r="ED137" i="9"/>
  <c r="EE137" i="9"/>
  <c r="EF137" i="9"/>
  <c r="EG137" i="9"/>
  <c r="EH137" i="9"/>
  <c r="EI137" i="9"/>
  <c r="EJ137" i="9"/>
  <c r="EK137" i="9"/>
  <c r="EL137" i="9"/>
  <c r="EM137" i="9"/>
  <c r="EN137" i="9"/>
  <c r="EO137" i="9"/>
  <c r="EP137" i="9"/>
  <c r="EQ137" i="9"/>
  <c r="ER137" i="9"/>
  <c r="ES137" i="9"/>
  <c r="ET137" i="9"/>
  <c r="EU137" i="9"/>
  <c r="EV137" i="9"/>
  <c r="EW137" i="9"/>
  <c r="EX137" i="9"/>
  <c r="EY137" i="9"/>
  <c r="EZ137" i="9"/>
  <c r="FA137" i="9"/>
  <c r="FB137" i="9"/>
  <c r="FC137" i="9"/>
  <c r="FD137" i="9"/>
  <c r="FE137" i="9"/>
  <c r="FF137" i="9"/>
  <c r="FG137" i="9"/>
  <c r="FH137" i="9"/>
  <c r="FI137" i="9"/>
  <c r="FJ137" i="9"/>
  <c r="FK137" i="9"/>
  <c r="FL137" i="9"/>
  <c r="FM137" i="9"/>
  <c r="FN137" i="9"/>
  <c r="FO137" i="9"/>
  <c r="FP137" i="9"/>
  <c r="FQ137" i="9"/>
  <c r="FR137" i="9"/>
  <c r="FS137" i="9"/>
  <c r="FT137" i="9"/>
  <c r="FU137" i="9"/>
  <c r="FV137" i="9"/>
  <c r="FW137" i="9"/>
  <c r="FX137" i="9"/>
  <c r="FY137" i="9"/>
  <c r="FZ137" i="9"/>
  <c r="GA137" i="9"/>
  <c r="GB137" i="9"/>
  <c r="GC137" i="9"/>
  <c r="GD137" i="9"/>
  <c r="GE137" i="9"/>
  <c r="GF137" i="9"/>
  <c r="GG137" i="9"/>
  <c r="GH137" i="9"/>
  <c r="GI137" i="9"/>
  <c r="GJ137" i="9"/>
  <c r="GK137" i="9"/>
  <c r="GL137" i="9"/>
  <c r="GM137" i="9"/>
  <c r="GN137" i="9"/>
  <c r="GO137" i="9"/>
  <c r="GP137" i="9"/>
  <c r="GQ137" i="9"/>
  <c r="GR137" i="9"/>
  <c r="GS137" i="9"/>
  <c r="GT137" i="9"/>
  <c r="GU137" i="9"/>
  <c r="GV137" i="9"/>
  <c r="GW137" i="9"/>
  <c r="GX137" i="9"/>
  <c r="GY137" i="9"/>
  <c r="GZ137" i="9"/>
  <c r="HA137" i="9"/>
  <c r="HB137" i="9"/>
  <c r="HC137" i="9"/>
  <c r="HD137" i="9"/>
  <c r="HE137" i="9"/>
  <c r="HF137" i="9"/>
  <c r="HG137" i="9"/>
  <c r="HH137" i="9"/>
  <c r="HI137" i="9"/>
  <c r="HJ137" i="9"/>
  <c r="HK137" i="9"/>
  <c r="HL137" i="9"/>
  <c r="HM137" i="9"/>
  <c r="HN137" i="9"/>
  <c r="HO137" i="9"/>
  <c r="HP137" i="9"/>
  <c r="HQ137" i="9"/>
  <c r="HR137" i="9"/>
  <c r="HS137" i="9"/>
  <c r="HT137" i="9"/>
  <c r="HU137" i="9"/>
  <c r="HV137" i="9"/>
  <c r="HW137" i="9"/>
  <c r="HX137" i="9"/>
  <c r="HY137" i="9"/>
  <c r="HZ137" i="9"/>
  <c r="IA137" i="9"/>
  <c r="IB137" i="9"/>
  <c r="IC137" i="9"/>
  <c r="ID137" i="9"/>
  <c r="IE137" i="9"/>
  <c r="IF137" i="9"/>
  <c r="IG137" i="9"/>
  <c r="IH137" i="9"/>
  <c r="II137" i="9"/>
  <c r="IJ137" i="9"/>
  <c r="IK137" i="9"/>
  <c r="IL137" i="9"/>
  <c r="IM137" i="9"/>
  <c r="IN137" i="9"/>
  <c r="IO137" i="9"/>
  <c r="IP137" i="9"/>
  <c r="IQ137" i="9"/>
  <c r="IR137" i="9"/>
  <c r="IS137" i="9"/>
  <c r="IT137" i="9"/>
  <c r="IU137" i="9"/>
  <c r="IV137" i="9"/>
  <c r="A136" i="9"/>
  <c r="B136" i="9"/>
  <c r="C136" i="9"/>
  <c r="D136" i="9"/>
  <c r="E136" i="9"/>
  <c r="F136" i="9"/>
  <c r="G136" i="9"/>
  <c r="H136" i="9"/>
  <c r="I136" i="9"/>
  <c r="J136" i="9"/>
  <c r="K136" i="9"/>
  <c r="L136" i="9"/>
  <c r="M136" i="9"/>
  <c r="N136" i="9"/>
  <c r="O136" i="9"/>
  <c r="P136" i="9"/>
  <c r="Q136" i="9"/>
  <c r="R136" i="9"/>
  <c r="S136" i="9"/>
  <c r="T136" i="9"/>
  <c r="U136" i="9"/>
  <c r="V136" i="9"/>
  <c r="W136" i="9"/>
  <c r="X136" i="9"/>
  <c r="Y136" i="9"/>
  <c r="Z136" i="9"/>
  <c r="AA136" i="9"/>
  <c r="AB136" i="9"/>
  <c r="AC136" i="9"/>
  <c r="AD136" i="9"/>
  <c r="AE136" i="9"/>
  <c r="AF136" i="9"/>
  <c r="AG136" i="9"/>
  <c r="AH136" i="9"/>
  <c r="AI136" i="9"/>
  <c r="AJ136" i="9"/>
  <c r="AK136" i="9"/>
  <c r="AL136" i="9"/>
  <c r="AM136" i="9"/>
  <c r="AN136" i="9"/>
  <c r="AO136" i="9"/>
  <c r="AP136" i="9"/>
  <c r="AQ136" i="9"/>
  <c r="AR136" i="9"/>
  <c r="AS136" i="9"/>
  <c r="AT136" i="9"/>
  <c r="AU136" i="9"/>
  <c r="AV136" i="9"/>
  <c r="AW136" i="9"/>
  <c r="AX136" i="9"/>
  <c r="AY136" i="9"/>
  <c r="AZ136" i="9"/>
  <c r="BA136" i="9"/>
  <c r="BB136" i="9"/>
  <c r="BC136" i="9"/>
  <c r="BD136" i="9"/>
  <c r="BE136" i="9"/>
  <c r="BF136" i="9"/>
  <c r="BG136" i="9"/>
  <c r="BH136" i="9"/>
  <c r="BI136" i="9"/>
  <c r="BJ136" i="9"/>
  <c r="BK136" i="9"/>
  <c r="BL136" i="9"/>
  <c r="BM136" i="9"/>
  <c r="BN136" i="9"/>
  <c r="BO136" i="9"/>
  <c r="BP136" i="9"/>
  <c r="BQ136" i="9"/>
  <c r="BR136" i="9"/>
  <c r="BS136" i="9"/>
  <c r="BT136" i="9"/>
  <c r="BU136" i="9"/>
  <c r="BV136" i="9"/>
  <c r="BW136" i="9"/>
  <c r="BX136" i="9"/>
  <c r="BY136" i="9"/>
  <c r="BZ136" i="9"/>
  <c r="CA136" i="9"/>
  <c r="CB136" i="9"/>
  <c r="CC136" i="9"/>
  <c r="CD136" i="9"/>
  <c r="CE136" i="9"/>
  <c r="CF136" i="9"/>
  <c r="CG136" i="9"/>
  <c r="CH136" i="9"/>
  <c r="CI136" i="9"/>
  <c r="CJ136" i="9"/>
  <c r="CK136" i="9"/>
  <c r="CL136" i="9"/>
  <c r="CM136" i="9"/>
  <c r="CN136" i="9"/>
  <c r="CO136" i="9"/>
  <c r="CP136" i="9"/>
  <c r="CQ136" i="9"/>
  <c r="CR136" i="9"/>
  <c r="CS136" i="9"/>
  <c r="CT136" i="9"/>
  <c r="CU136" i="9"/>
  <c r="CV136" i="9"/>
  <c r="CW136" i="9"/>
  <c r="CX136" i="9"/>
  <c r="CY136" i="9"/>
  <c r="CZ136" i="9"/>
  <c r="DA136" i="9"/>
  <c r="DB136" i="9"/>
  <c r="DC136" i="9"/>
  <c r="DD136" i="9"/>
  <c r="DE136" i="9"/>
  <c r="DF136" i="9"/>
  <c r="DG136" i="9"/>
  <c r="DH136" i="9"/>
  <c r="DI136" i="9"/>
  <c r="DJ136" i="9"/>
  <c r="DK136" i="9"/>
  <c r="DL136" i="9"/>
  <c r="DM136" i="9"/>
  <c r="DN136" i="9"/>
  <c r="DO136" i="9"/>
  <c r="DP136" i="9"/>
  <c r="DQ136" i="9"/>
  <c r="DR136" i="9"/>
  <c r="DS136" i="9"/>
  <c r="DT136" i="9"/>
  <c r="DU136" i="9"/>
  <c r="DV136" i="9"/>
  <c r="DW136" i="9"/>
  <c r="DX136" i="9"/>
  <c r="DY136" i="9"/>
  <c r="DZ136" i="9"/>
  <c r="EA136" i="9"/>
  <c r="EB136" i="9"/>
  <c r="EC136" i="9"/>
  <c r="ED136" i="9"/>
  <c r="EE136" i="9"/>
  <c r="EF136" i="9"/>
  <c r="EG136" i="9"/>
  <c r="EH136" i="9"/>
  <c r="EI136" i="9"/>
  <c r="EJ136" i="9"/>
  <c r="EK136" i="9"/>
  <c r="EL136" i="9"/>
  <c r="EM136" i="9"/>
  <c r="EN136" i="9"/>
  <c r="EO136" i="9"/>
  <c r="EP136" i="9"/>
  <c r="EQ136" i="9"/>
  <c r="ER136" i="9"/>
  <c r="ES136" i="9"/>
  <c r="ET136" i="9"/>
  <c r="EU136" i="9"/>
  <c r="EV136" i="9"/>
  <c r="EW136" i="9"/>
  <c r="EX136" i="9"/>
  <c r="EY136" i="9"/>
  <c r="EZ136" i="9"/>
  <c r="FA136" i="9"/>
  <c r="FB136" i="9"/>
  <c r="FC136" i="9"/>
  <c r="FD136" i="9"/>
  <c r="FE136" i="9"/>
  <c r="FF136" i="9"/>
  <c r="FG136" i="9"/>
  <c r="FH136" i="9"/>
  <c r="FI136" i="9"/>
  <c r="FJ136" i="9"/>
  <c r="FK136" i="9"/>
  <c r="FL136" i="9"/>
  <c r="FM136" i="9"/>
  <c r="FN136" i="9"/>
  <c r="FO136" i="9"/>
  <c r="FP136" i="9"/>
  <c r="FQ136" i="9"/>
  <c r="FR136" i="9"/>
  <c r="FS136" i="9"/>
  <c r="FT136" i="9"/>
  <c r="FU136" i="9"/>
  <c r="FV136" i="9"/>
  <c r="FW136" i="9"/>
  <c r="FX136" i="9"/>
  <c r="FY136" i="9"/>
  <c r="FZ136" i="9"/>
  <c r="GA136" i="9"/>
  <c r="GB136" i="9"/>
  <c r="GC136" i="9"/>
  <c r="GD136" i="9"/>
  <c r="GE136" i="9"/>
  <c r="GF136" i="9"/>
  <c r="GG136" i="9"/>
  <c r="GH136" i="9"/>
  <c r="GI136" i="9"/>
  <c r="GJ136" i="9"/>
  <c r="GK136" i="9"/>
  <c r="GL136" i="9"/>
  <c r="GM136" i="9"/>
  <c r="GN136" i="9"/>
  <c r="GO136" i="9"/>
  <c r="GP136" i="9"/>
  <c r="GQ136" i="9"/>
  <c r="GR136" i="9"/>
  <c r="GS136" i="9"/>
  <c r="GT136" i="9"/>
  <c r="GU136" i="9"/>
  <c r="GV136" i="9"/>
  <c r="GW136" i="9"/>
  <c r="GX136" i="9"/>
  <c r="GY136" i="9"/>
  <c r="GZ136" i="9"/>
  <c r="HA136" i="9"/>
  <c r="HB136" i="9"/>
  <c r="HC136" i="9"/>
  <c r="HD136" i="9"/>
  <c r="HE136" i="9"/>
  <c r="HF136" i="9"/>
  <c r="HG136" i="9"/>
  <c r="HH136" i="9"/>
  <c r="HI136" i="9"/>
  <c r="HJ136" i="9"/>
  <c r="HK136" i="9"/>
  <c r="HL136" i="9"/>
  <c r="HM136" i="9"/>
  <c r="HN136" i="9"/>
  <c r="HO136" i="9"/>
  <c r="HP136" i="9"/>
  <c r="HQ136" i="9"/>
  <c r="HR136" i="9"/>
  <c r="HS136" i="9"/>
  <c r="HT136" i="9"/>
  <c r="HU136" i="9"/>
  <c r="HV136" i="9"/>
  <c r="HW136" i="9"/>
  <c r="HX136" i="9"/>
  <c r="HY136" i="9"/>
  <c r="HZ136" i="9"/>
  <c r="IA136" i="9"/>
  <c r="IB136" i="9"/>
  <c r="IC136" i="9"/>
  <c r="ID136" i="9"/>
  <c r="IE136" i="9"/>
  <c r="IF136" i="9"/>
  <c r="IG136" i="9"/>
  <c r="IH136" i="9"/>
  <c r="II136" i="9"/>
  <c r="IJ136" i="9"/>
  <c r="IK136" i="9"/>
  <c r="IL136" i="9"/>
  <c r="IM136" i="9"/>
  <c r="IN136" i="9"/>
  <c r="IO136" i="9"/>
  <c r="IP136" i="9"/>
  <c r="IQ136" i="9"/>
  <c r="IR136" i="9"/>
  <c r="IS136" i="9"/>
  <c r="IT136" i="9"/>
  <c r="IU136" i="9"/>
  <c r="IV136" i="9"/>
  <c r="A135" i="9"/>
  <c r="B135" i="9"/>
  <c r="C135" i="9"/>
  <c r="D135" i="9"/>
  <c r="E135" i="9"/>
  <c r="F135" i="9"/>
  <c r="G135" i="9"/>
  <c r="H135" i="9"/>
  <c r="I135" i="9"/>
  <c r="J135" i="9"/>
  <c r="K135" i="9"/>
  <c r="L135" i="9"/>
  <c r="M135" i="9"/>
  <c r="N135" i="9"/>
  <c r="O135" i="9"/>
  <c r="P135" i="9"/>
  <c r="Q135" i="9"/>
  <c r="R135" i="9"/>
  <c r="S135" i="9"/>
  <c r="T135" i="9"/>
  <c r="U135" i="9"/>
  <c r="V135" i="9"/>
  <c r="W135" i="9"/>
  <c r="X135" i="9"/>
  <c r="Y135" i="9"/>
  <c r="Z135" i="9"/>
  <c r="AA135" i="9"/>
  <c r="AB135" i="9"/>
  <c r="AC135" i="9"/>
  <c r="AD135" i="9"/>
  <c r="AE135" i="9"/>
  <c r="AF135" i="9"/>
  <c r="AG135" i="9"/>
  <c r="AH135" i="9"/>
  <c r="AI135" i="9"/>
  <c r="AJ135" i="9"/>
  <c r="AK135" i="9"/>
  <c r="AL135" i="9"/>
  <c r="AM135" i="9"/>
  <c r="AN135" i="9"/>
  <c r="AO135" i="9"/>
  <c r="AP135" i="9"/>
  <c r="AQ135" i="9"/>
  <c r="AR135" i="9"/>
  <c r="AS135" i="9"/>
  <c r="AT135" i="9"/>
  <c r="AU135" i="9"/>
  <c r="AV135" i="9"/>
  <c r="AW135" i="9"/>
  <c r="AX135" i="9"/>
  <c r="AY135" i="9"/>
  <c r="AZ135" i="9"/>
  <c r="BA135" i="9"/>
  <c r="BB135" i="9"/>
  <c r="BC135" i="9"/>
  <c r="BD135" i="9"/>
  <c r="BE135" i="9"/>
  <c r="BF135" i="9"/>
  <c r="BG135" i="9"/>
  <c r="BH135" i="9"/>
  <c r="BI135" i="9"/>
  <c r="BJ135" i="9"/>
  <c r="BK135" i="9"/>
  <c r="BL135" i="9"/>
  <c r="BM135" i="9"/>
  <c r="BN135" i="9"/>
  <c r="BO135" i="9"/>
  <c r="BP135" i="9"/>
  <c r="BQ135" i="9"/>
  <c r="BR135" i="9"/>
  <c r="BS135" i="9"/>
  <c r="BT135" i="9"/>
  <c r="BU135" i="9"/>
  <c r="BV135" i="9"/>
  <c r="BW135" i="9"/>
  <c r="BX135" i="9"/>
  <c r="BY135" i="9"/>
  <c r="BZ135" i="9"/>
  <c r="CA135" i="9"/>
  <c r="CB135" i="9"/>
  <c r="CC135" i="9"/>
  <c r="CD135" i="9"/>
  <c r="CE135" i="9"/>
  <c r="CF135" i="9"/>
  <c r="CG135" i="9"/>
  <c r="CH135" i="9"/>
  <c r="CI135" i="9"/>
  <c r="CJ135" i="9"/>
  <c r="CK135" i="9"/>
  <c r="CL135" i="9"/>
  <c r="CM135" i="9"/>
  <c r="CN135" i="9"/>
  <c r="CO135" i="9"/>
  <c r="CP135" i="9"/>
  <c r="CQ135" i="9"/>
  <c r="CR135" i="9"/>
  <c r="CS135" i="9"/>
  <c r="CT135" i="9"/>
  <c r="CU135" i="9"/>
  <c r="CV135" i="9"/>
  <c r="CW135" i="9"/>
  <c r="CX135" i="9"/>
  <c r="CY135" i="9"/>
  <c r="CZ135" i="9"/>
  <c r="DA135" i="9"/>
  <c r="DB135" i="9"/>
  <c r="DC135" i="9"/>
  <c r="DD135" i="9"/>
  <c r="DE135" i="9"/>
  <c r="DF135" i="9"/>
  <c r="DG135" i="9"/>
  <c r="DH135" i="9"/>
  <c r="DI135" i="9"/>
  <c r="DJ135" i="9"/>
  <c r="DK135" i="9"/>
  <c r="DL135" i="9"/>
  <c r="DM135" i="9"/>
  <c r="DN135" i="9"/>
  <c r="DO135" i="9"/>
  <c r="DP135" i="9"/>
  <c r="DQ135" i="9"/>
  <c r="DR135" i="9"/>
  <c r="DS135" i="9"/>
  <c r="DT135" i="9"/>
  <c r="DU135" i="9"/>
  <c r="DV135" i="9"/>
  <c r="DW135" i="9"/>
  <c r="DX135" i="9"/>
  <c r="DY135" i="9"/>
  <c r="DZ135" i="9"/>
  <c r="EA135" i="9"/>
  <c r="EB135" i="9"/>
  <c r="EC135" i="9"/>
  <c r="ED135" i="9"/>
  <c r="EE135" i="9"/>
  <c r="EF135" i="9"/>
  <c r="EG135" i="9"/>
  <c r="EH135" i="9"/>
  <c r="EI135" i="9"/>
  <c r="EJ135" i="9"/>
  <c r="EK135" i="9"/>
  <c r="EL135" i="9"/>
  <c r="EM135" i="9"/>
  <c r="EN135" i="9"/>
  <c r="EO135" i="9"/>
  <c r="EP135" i="9"/>
  <c r="EQ135" i="9"/>
  <c r="ER135" i="9"/>
  <c r="ES135" i="9"/>
  <c r="ET135" i="9"/>
  <c r="EU135" i="9"/>
  <c r="EV135" i="9"/>
  <c r="EW135" i="9"/>
  <c r="EX135" i="9"/>
  <c r="EY135" i="9"/>
  <c r="EZ135" i="9"/>
  <c r="FA135" i="9"/>
  <c r="FB135" i="9"/>
  <c r="FC135" i="9"/>
  <c r="FD135" i="9"/>
  <c r="FE135" i="9"/>
  <c r="FF135" i="9"/>
  <c r="FG135" i="9"/>
  <c r="FH135" i="9"/>
  <c r="FI135" i="9"/>
  <c r="FJ135" i="9"/>
  <c r="FK135" i="9"/>
  <c r="FL135" i="9"/>
  <c r="FM135" i="9"/>
  <c r="FN135" i="9"/>
  <c r="FO135" i="9"/>
  <c r="FP135" i="9"/>
  <c r="FQ135" i="9"/>
  <c r="FR135" i="9"/>
  <c r="FS135" i="9"/>
  <c r="FT135" i="9"/>
  <c r="FU135" i="9"/>
  <c r="FV135" i="9"/>
  <c r="FW135" i="9"/>
  <c r="FX135" i="9"/>
  <c r="FY135" i="9"/>
  <c r="FZ135" i="9"/>
  <c r="GA135" i="9"/>
  <c r="GB135" i="9"/>
  <c r="GC135" i="9"/>
  <c r="GD135" i="9"/>
  <c r="GE135" i="9"/>
  <c r="GF135" i="9"/>
  <c r="GG135" i="9"/>
  <c r="GH135" i="9"/>
  <c r="GI135" i="9"/>
  <c r="GJ135" i="9"/>
  <c r="GK135" i="9"/>
  <c r="GL135" i="9"/>
  <c r="GM135" i="9"/>
  <c r="GN135" i="9"/>
  <c r="GO135" i="9"/>
  <c r="GP135" i="9"/>
  <c r="GQ135" i="9"/>
  <c r="GR135" i="9"/>
  <c r="GS135" i="9"/>
  <c r="GT135" i="9"/>
  <c r="GU135" i="9"/>
  <c r="GV135" i="9"/>
  <c r="GW135" i="9"/>
  <c r="GX135" i="9"/>
  <c r="GY135" i="9"/>
  <c r="GZ135" i="9"/>
  <c r="HA135" i="9"/>
  <c r="HB135" i="9"/>
  <c r="HC135" i="9"/>
  <c r="HD135" i="9"/>
  <c r="HE135" i="9"/>
  <c r="HF135" i="9"/>
  <c r="HG135" i="9"/>
  <c r="HH135" i="9"/>
  <c r="HI135" i="9"/>
  <c r="HJ135" i="9"/>
  <c r="HK135" i="9"/>
  <c r="HL135" i="9"/>
  <c r="HM135" i="9"/>
  <c r="HN135" i="9"/>
  <c r="HO135" i="9"/>
  <c r="HP135" i="9"/>
  <c r="HQ135" i="9"/>
  <c r="HR135" i="9"/>
  <c r="HS135" i="9"/>
  <c r="HT135" i="9"/>
  <c r="HU135" i="9"/>
  <c r="HV135" i="9"/>
  <c r="HW135" i="9"/>
  <c r="HX135" i="9"/>
  <c r="HY135" i="9"/>
  <c r="HZ135" i="9"/>
  <c r="IA135" i="9"/>
  <c r="IB135" i="9"/>
  <c r="IC135" i="9"/>
  <c r="ID135" i="9"/>
  <c r="IE135" i="9"/>
  <c r="IF135" i="9"/>
  <c r="IG135" i="9"/>
  <c r="IH135" i="9"/>
  <c r="II135" i="9"/>
  <c r="IJ135" i="9"/>
  <c r="IK135" i="9"/>
  <c r="IL135" i="9"/>
  <c r="IM135" i="9"/>
  <c r="IN135" i="9"/>
  <c r="IO135" i="9"/>
  <c r="IP135" i="9"/>
  <c r="IQ135" i="9"/>
  <c r="IR135" i="9"/>
  <c r="IS135" i="9"/>
  <c r="IT135" i="9"/>
  <c r="IU135" i="9"/>
  <c r="IV135" i="9"/>
  <c r="A134" i="9"/>
  <c r="B134" i="9"/>
  <c r="C134" i="9"/>
  <c r="D134" i="9"/>
  <c r="E134" i="9"/>
  <c r="F134" i="9"/>
  <c r="G134" i="9"/>
  <c r="H134" i="9"/>
  <c r="I134" i="9"/>
  <c r="J134" i="9"/>
  <c r="K134" i="9"/>
  <c r="L134" i="9"/>
  <c r="M134" i="9"/>
  <c r="N134" i="9"/>
  <c r="O134" i="9"/>
  <c r="P134" i="9"/>
  <c r="Q134" i="9"/>
  <c r="R134" i="9"/>
  <c r="S134" i="9"/>
  <c r="T134" i="9"/>
  <c r="U134" i="9"/>
  <c r="V134" i="9"/>
  <c r="W134" i="9"/>
  <c r="X134" i="9"/>
  <c r="Y134" i="9"/>
  <c r="Z134" i="9"/>
  <c r="AA134" i="9"/>
  <c r="AB134" i="9"/>
  <c r="AC134" i="9"/>
  <c r="AD134" i="9"/>
  <c r="AE134" i="9"/>
  <c r="AF134" i="9"/>
  <c r="AG134" i="9"/>
  <c r="AH134" i="9"/>
  <c r="AI134" i="9"/>
  <c r="AJ134" i="9"/>
  <c r="AK134" i="9"/>
  <c r="AL134" i="9"/>
  <c r="AM134" i="9"/>
  <c r="AN134" i="9"/>
  <c r="AO134" i="9"/>
  <c r="AP134" i="9"/>
  <c r="AQ134" i="9"/>
  <c r="AR134" i="9"/>
  <c r="AS134" i="9"/>
  <c r="AT134" i="9"/>
  <c r="AU134" i="9"/>
  <c r="AV134" i="9"/>
  <c r="AW134" i="9"/>
  <c r="AX134" i="9"/>
  <c r="AY134" i="9"/>
  <c r="AZ134" i="9"/>
  <c r="BA134" i="9"/>
  <c r="BB134" i="9"/>
  <c r="BC134" i="9"/>
  <c r="BD134" i="9"/>
  <c r="BE134" i="9"/>
  <c r="BF134" i="9"/>
  <c r="BG134" i="9"/>
  <c r="BH134" i="9"/>
  <c r="BI134" i="9"/>
  <c r="BJ134" i="9"/>
  <c r="BK134" i="9"/>
  <c r="BL134" i="9"/>
  <c r="BM134" i="9"/>
  <c r="BN134" i="9"/>
  <c r="BO134" i="9"/>
  <c r="BP134" i="9"/>
  <c r="BQ134" i="9"/>
  <c r="BR134" i="9"/>
  <c r="BS134" i="9"/>
  <c r="BT134" i="9"/>
  <c r="BU134" i="9"/>
  <c r="BV134" i="9"/>
  <c r="BW134" i="9"/>
  <c r="BX134" i="9"/>
  <c r="BY134" i="9"/>
  <c r="BZ134" i="9"/>
  <c r="CA134" i="9"/>
  <c r="CB134" i="9"/>
  <c r="CC134" i="9"/>
  <c r="CD134" i="9"/>
  <c r="CE134" i="9"/>
  <c r="CF134" i="9"/>
  <c r="CG134" i="9"/>
  <c r="CH134" i="9"/>
  <c r="CI134" i="9"/>
  <c r="CJ134" i="9"/>
  <c r="CK134" i="9"/>
  <c r="CL134" i="9"/>
  <c r="CM134" i="9"/>
  <c r="CN134" i="9"/>
  <c r="CO134" i="9"/>
  <c r="CP134" i="9"/>
  <c r="CQ134" i="9"/>
  <c r="CR134" i="9"/>
  <c r="CS134" i="9"/>
  <c r="CT134" i="9"/>
  <c r="CU134" i="9"/>
  <c r="CV134" i="9"/>
  <c r="CW134" i="9"/>
  <c r="CX134" i="9"/>
  <c r="CY134" i="9"/>
  <c r="CZ134" i="9"/>
  <c r="DA134" i="9"/>
  <c r="DB134" i="9"/>
  <c r="DC134" i="9"/>
  <c r="DD134" i="9"/>
  <c r="DE134" i="9"/>
  <c r="DF134" i="9"/>
  <c r="DG134" i="9"/>
  <c r="DH134" i="9"/>
  <c r="DI134" i="9"/>
  <c r="DJ134" i="9"/>
  <c r="DK134" i="9"/>
  <c r="DL134" i="9"/>
  <c r="DM134" i="9"/>
  <c r="DN134" i="9"/>
  <c r="DO134" i="9"/>
  <c r="DP134" i="9"/>
  <c r="DQ134" i="9"/>
  <c r="DR134" i="9"/>
  <c r="DS134" i="9"/>
  <c r="DT134" i="9"/>
  <c r="DU134" i="9"/>
  <c r="DV134" i="9"/>
  <c r="DW134" i="9"/>
  <c r="DX134" i="9"/>
  <c r="DY134" i="9"/>
  <c r="DZ134" i="9"/>
  <c r="EA134" i="9"/>
  <c r="EB134" i="9"/>
  <c r="EC134" i="9"/>
  <c r="ED134" i="9"/>
  <c r="EE134" i="9"/>
  <c r="EF134" i="9"/>
  <c r="EG134" i="9"/>
  <c r="EH134" i="9"/>
  <c r="EI134" i="9"/>
  <c r="EJ134" i="9"/>
  <c r="EK134" i="9"/>
  <c r="EL134" i="9"/>
  <c r="EM134" i="9"/>
  <c r="EN134" i="9"/>
  <c r="EO134" i="9"/>
  <c r="EP134" i="9"/>
  <c r="EQ134" i="9"/>
  <c r="ER134" i="9"/>
  <c r="ES134" i="9"/>
  <c r="ET134" i="9"/>
  <c r="EU134" i="9"/>
  <c r="EV134" i="9"/>
  <c r="EW134" i="9"/>
  <c r="EX134" i="9"/>
  <c r="EY134" i="9"/>
  <c r="EZ134" i="9"/>
  <c r="FA134" i="9"/>
  <c r="FB134" i="9"/>
  <c r="FC134" i="9"/>
  <c r="FD134" i="9"/>
  <c r="FE134" i="9"/>
  <c r="FF134" i="9"/>
  <c r="FG134" i="9"/>
  <c r="FH134" i="9"/>
  <c r="FI134" i="9"/>
  <c r="FJ134" i="9"/>
  <c r="FK134" i="9"/>
  <c r="FL134" i="9"/>
  <c r="FM134" i="9"/>
  <c r="FN134" i="9"/>
  <c r="FO134" i="9"/>
  <c r="FP134" i="9"/>
  <c r="FQ134" i="9"/>
  <c r="FR134" i="9"/>
  <c r="FS134" i="9"/>
  <c r="FT134" i="9"/>
  <c r="FU134" i="9"/>
  <c r="FV134" i="9"/>
  <c r="FW134" i="9"/>
  <c r="FX134" i="9"/>
  <c r="FY134" i="9"/>
  <c r="FZ134" i="9"/>
  <c r="GA134" i="9"/>
  <c r="GB134" i="9"/>
  <c r="GC134" i="9"/>
  <c r="GD134" i="9"/>
  <c r="GE134" i="9"/>
  <c r="GF134" i="9"/>
  <c r="GG134" i="9"/>
  <c r="GH134" i="9"/>
  <c r="GI134" i="9"/>
  <c r="GJ134" i="9"/>
  <c r="GK134" i="9"/>
  <c r="GL134" i="9"/>
  <c r="GM134" i="9"/>
  <c r="GN134" i="9"/>
  <c r="GO134" i="9"/>
  <c r="GP134" i="9"/>
  <c r="GQ134" i="9"/>
  <c r="GR134" i="9"/>
  <c r="GS134" i="9"/>
  <c r="GT134" i="9"/>
  <c r="GU134" i="9"/>
  <c r="GV134" i="9"/>
  <c r="GW134" i="9"/>
  <c r="GX134" i="9"/>
  <c r="GY134" i="9"/>
  <c r="GZ134" i="9"/>
  <c r="HA134" i="9"/>
  <c r="HB134" i="9"/>
  <c r="HC134" i="9"/>
  <c r="HD134" i="9"/>
  <c r="HE134" i="9"/>
  <c r="HF134" i="9"/>
  <c r="HG134" i="9"/>
  <c r="HH134" i="9"/>
  <c r="HI134" i="9"/>
  <c r="HJ134" i="9"/>
  <c r="HK134" i="9"/>
  <c r="HL134" i="9"/>
  <c r="HM134" i="9"/>
  <c r="HN134" i="9"/>
  <c r="HO134" i="9"/>
  <c r="HP134" i="9"/>
  <c r="HQ134" i="9"/>
  <c r="HR134" i="9"/>
  <c r="HS134" i="9"/>
  <c r="HT134" i="9"/>
  <c r="HU134" i="9"/>
  <c r="HV134" i="9"/>
  <c r="HW134" i="9"/>
  <c r="HX134" i="9"/>
  <c r="HY134" i="9"/>
  <c r="HZ134" i="9"/>
  <c r="IA134" i="9"/>
  <c r="IB134" i="9"/>
  <c r="IC134" i="9"/>
  <c r="ID134" i="9"/>
  <c r="IE134" i="9"/>
  <c r="IF134" i="9"/>
  <c r="IG134" i="9"/>
  <c r="IH134" i="9"/>
  <c r="II134" i="9"/>
  <c r="IJ134" i="9"/>
  <c r="IK134" i="9"/>
  <c r="IL134" i="9"/>
  <c r="IM134" i="9"/>
  <c r="IN134" i="9"/>
  <c r="IO134" i="9"/>
  <c r="IP134" i="9"/>
  <c r="IQ134" i="9"/>
  <c r="IR134" i="9"/>
  <c r="IS134" i="9"/>
  <c r="IT134" i="9"/>
  <c r="IU134" i="9"/>
  <c r="IV134" i="9"/>
  <c r="A133" i="9"/>
  <c r="B133" i="9"/>
  <c r="C133" i="9"/>
  <c r="D133" i="9"/>
  <c r="E133" i="9"/>
  <c r="F133" i="9"/>
  <c r="G133" i="9"/>
  <c r="H133" i="9"/>
  <c r="I133" i="9"/>
  <c r="J133" i="9"/>
  <c r="K133" i="9"/>
  <c r="L133" i="9"/>
  <c r="M133" i="9"/>
  <c r="N133" i="9"/>
  <c r="O133" i="9"/>
  <c r="P133" i="9"/>
  <c r="Q133" i="9"/>
  <c r="R133" i="9"/>
  <c r="S133" i="9"/>
  <c r="T133" i="9"/>
  <c r="U133" i="9"/>
  <c r="V133" i="9"/>
  <c r="W133" i="9"/>
  <c r="X133" i="9"/>
  <c r="Y133" i="9"/>
  <c r="Z133" i="9"/>
  <c r="AA133" i="9"/>
  <c r="AB133" i="9"/>
  <c r="AC133" i="9"/>
  <c r="AD133" i="9"/>
  <c r="AE133" i="9"/>
  <c r="AF133" i="9"/>
  <c r="AG133" i="9"/>
  <c r="AH133" i="9"/>
  <c r="AI133" i="9"/>
  <c r="AJ133" i="9"/>
  <c r="AK133" i="9"/>
  <c r="AL133" i="9"/>
  <c r="AM133" i="9"/>
  <c r="AN133" i="9"/>
  <c r="AO133" i="9"/>
  <c r="AP133" i="9"/>
  <c r="AQ133" i="9"/>
  <c r="AR133" i="9"/>
  <c r="AS133" i="9"/>
  <c r="AT133" i="9"/>
  <c r="AU133" i="9"/>
  <c r="AV133" i="9"/>
  <c r="AW133" i="9"/>
  <c r="AX133" i="9"/>
  <c r="AY133" i="9"/>
  <c r="AZ133" i="9"/>
  <c r="BA133" i="9"/>
  <c r="BB133" i="9"/>
  <c r="BC133" i="9"/>
  <c r="BD133" i="9"/>
  <c r="BE133" i="9"/>
  <c r="BF133" i="9"/>
  <c r="BG133" i="9"/>
  <c r="BH133" i="9"/>
  <c r="BI133" i="9"/>
  <c r="BJ133" i="9"/>
  <c r="BK133" i="9"/>
  <c r="BL133" i="9"/>
  <c r="BM133" i="9"/>
  <c r="BN133" i="9"/>
  <c r="BO133" i="9"/>
  <c r="BP133" i="9"/>
  <c r="BQ133" i="9"/>
  <c r="BR133" i="9"/>
  <c r="BS133" i="9"/>
  <c r="BT133" i="9"/>
  <c r="BU133" i="9"/>
  <c r="BV133" i="9"/>
  <c r="BW133" i="9"/>
  <c r="BX133" i="9"/>
  <c r="BY133" i="9"/>
  <c r="BZ133" i="9"/>
  <c r="CA133" i="9"/>
  <c r="CB133" i="9"/>
  <c r="CC133" i="9"/>
  <c r="CD133" i="9"/>
  <c r="CE133" i="9"/>
  <c r="CF133" i="9"/>
  <c r="CG133" i="9"/>
  <c r="CH133" i="9"/>
  <c r="CI133" i="9"/>
  <c r="CJ133" i="9"/>
  <c r="CK133" i="9"/>
  <c r="CL133" i="9"/>
  <c r="CM133" i="9"/>
  <c r="CN133" i="9"/>
  <c r="CO133" i="9"/>
  <c r="CP133" i="9"/>
  <c r="CQ133" i="9"/>
  <c r="CR133" i="9"/>
  <c r="CS133" i="9"/>
  <c r="CT133" i="9"/>
  <c r="CU133" i="9"/>
  <c r="CV133" i="9"/>
  <c r="CW133" i="9"/>
  <c r="CX133" i="9"/>
  <c r="CY133" i="9"/>
  <c r="CZ133" i="9"/>
  <c r="DA133" i="9"/>
  <c r="DB133" i="9"/>
  <c r="DC133" i="9"/>
  <c r="DD133" i="9"/>
  <c r="DE133" i="9"/>
  <c r="DF133" i="9"/>
  <c r="DG133" i="9"/>
  <c r="DH133" i="9"/>
  <c r="DI133" i="9"/>
  <c r="DJ133" i="9"/>
  <c r="DK133" i="9"/>
  <c r="DL133" i="9"/>
  <c r="DM133" i="9"/>
  <c r="DN133" i="9"/>
  <c r="DO133" i="9"/>
  <c r="DP133" i="9"/>
  <c r="DQ133" i="9"/>
  <c r="DR133" i="9"/>
  <c r="DS133" i="9"/>
  <c r="DT133" i="9"/>
  <c r="DU133" i="9"/>
  <c r="DV133" i="9"/>
  <c r="DW133" i="9"/>
  <c r="DX133" i="9"/>
  <c r="DY133" i="9"/>
  <c r="DZ133" i="9"/>
  <c r="EA133" i="9"/>
  <c r="EB133" i="9"/>
  <c r="EC133" i="9"/>
  <c r="ED133" i="9"/>
  <c r="EE133" i="9"/>
  <c r="EF133" i="9"/>
  <c r="EG133" i="9"/>
  <c r="EH133" i="9"/>
  <c r="EI133" i="9"/>
  <c r="EJ133" i="9"/>
  <c r="EK133" i="9"/>
  <c r="EL133" i="9"/>
  <c r="EM133" i="9"/>
  <c r="EN133" i="9"/>
  <c r="EO133" i="9"/>
  <c r="EP133" i="9"/>
  <c r="EQ133" i="9"/>
  <c r="ER133" i="9"/>
  <c r="ES133" i="9"/>
  <c r="ET133" i="9"/>
  <c r="EU133" i="9"/>
  <c r="EV133" i="9"/>
  <c r="EW133" i="9"/>
  <c r="EX133" i="9"/>
  <c r="EY133" i="9"/>
  <c r="EZ133" i="9"/>
  <c r="FA133" i="9"/>
  <c r="FB133" i="9"/>
  <c r="FC133" i="9"/>
  <c r="FD133" i="9"/>
  <c r="FE133" i="9"/>
  <c r="FF133" i="9"/>
  <c r="FG133" i="9"/>
  <c r="FH133" i="9"/>
  <c r="FI133" i="9"/>
  <c r="FJ133" i="9"/>
  <c r="FK133" i="9"/>
  <c r="FL133" i="9"/>
  <c r="FM133" i="9"/>
  <c r="FN133" i="9"/>
  <c r="FO133" i="9"/>
  <c r="FP133" i="9"/>
  <c r="FQ133" i="9"/>
  <c r="FR133" i="9"/>
  <c r="FS133" i="9"/>
  <c r="FT133" i="9"/>
  <c r="FU133" i="9"/>
  <c r="FV133" i="9"/>
  <c r="FW133" i="9"/>
  <c r="FX133" i="9"/>
  <c r="FY133" i="9"/>
  <c r="FZ133" i="9"/>
  <c r="GA133" i="9"/>
  <c r="GB133" i="9"/>
  <c r="GC133" i="9"/>
  <c r="GD133" i="9"/>
  <c r="GE133" i="9"/>
  <c r="GF133" i="9"/>
  <c r="GG133" i="9"/>
  <c r="GH133" i="9"/>
  <c r="GI133" i="9"/>
  <c r="GJ133" i="9"/>
  <c r="GK133" i="9"/>
  <c r="GL133" i="9"/>
  <c r="GM133" i="9"/>
  <c r="GN133" i="9"/>
  <c r="GO133" i="9"/>
  <c r="GP133" i="9"/>
  <c r="GQ133" i="9"/>
  <c r="GR133" i="9"/>
  <c r="GS133" i="9"/>
  <c r="GT133" i="9"/>
  <c r="GU133" i="9"/>
  <c r="GV133" i="9"/>
  <c r="GW133" i="9"/>
  <c r="GX133" i="9"/>
  <c r="GY133" i="9"/>
  <c r="GZ133" i="9"/>
  <c r="HA133" i="9"/>
  <c r="HB133" i="9"/>
  <c r="HC133" i="9"/>
  <c r="HD133" i="9"/>
  <c r="HE133" i="9"/>
  <c r="HF133" i="9"/>
  <c r="HG133" i="9"/>
  <c r="HH133" i="9"/>
  <c r="HI133" i="9"/>
  <c r="HJ133" i="9"/>
  <c r="HK133" i="9"/>
  <c r="HL133" i="9"/>
  <c r="HM133" i="9"/>
  <c r="HN133" i="9"/>
  <c r="HO133" i="9"/>
  <c r="HP133" i="9"/>
  <c r="HQ133" i="9"/>
  <c r="HR133" i="9"/>
  <c r="HS133" i="9"/>
  <c r="HT133" i="9"/>
  <c r="HU133" i="9"/>
  <c r="HV133" i="9"/>
  <c r="HW133" i="9"/>
  <c r="HX133" i="9"/>
  <c r="HY133" i="9"/>
  <c r="HZ133" i="9"/>
  <c r="IA133" i="9"/>
  <c r="IB133" i="9"/>
  <c r="IC133" i="9"/>
  <c r="ID133" i="9"/>
  <c r="IE133" i="9"/>
  <c r="IF133" i="9"/>
  <c r="IG133" i="9"/>
  <c r="IH133" i="9"/>
  <c r="II133" i="9"/>
  <c r="IJ133" i="9"/>
  <c r="IK133" i="9"/>
  <c r="IL133" i="9"/>
  <c r="IM133" i="9"/>
  <c r="IN133" i="9"/>
  <c r="IO133" i="9"/>
  <c r="IP133" i="9"/>
  <c r="IQ133" i="9"/>
  <c r="IR133" i="9"/>
  <c r="IS133" i="9"/>
  <c r="IT133" i="9"/>
  <c r="IU133" i="9"/>
  <c r="IV133" i="9"/>
  <c r="A132" i="9"/>
  <c r="B132" i="9"/>
  <c r="C132" i="9"/>
  <c r="D132" i="9"/>
  <c r="E132" i="9"/>
  <c r="F132" i="9"/>
  <c r="G132" i="9"/>
  <c r="H132" i="9"/>
  <c r="I132" i="9"/>
  <c r="J132" i="9"/>
  <c r="K132" i="9"/>
  <c r="L132" i="9"/>
  <c r="M132" i="9"/>
  <c r="N132" i="9"/>
  <c r="O132" i="9"/>
  <c r="P132" i="9"/>
  <c r="Q132" i="9"/>
  <c r="R132" i="9"/>
  <c r="S132" i="9"/>
  <c r="T132" i="9"/>
  <c r="U132" i="9"/>
  <c r="V132" i="9"/>
  <c r="W132" i="9"/>
  <c r="X132" i="9"/>
  <c r="Y132" i="9"/>
  <c r="Z132" i="9"/>
  <c r="AA132" i="9"/>
  <c r="AB132" i="9"/>
  <c r="AC132" i="9"/>
  <c r="AD132" i="9"/>
  <c r="AE132" i="9"/>
  <c r="AF132" i="9"/>
  <c r="AG132" i="9"/>
  <c r="AH132" i="9"/>
  <c r="AI132" i="9"/>
  <c r="AJ132" i="9"/>
  <c r="AK132" i="9"/>
  <c r="AL132" i="9"/>
  <c r="AM132" i="9"/>
  <c r="AN132" i="9"/>
  <c r="AO132" i="9"/>
  <c r="AP132" i="9"/>
  <c r="AQ132" i="9"/>
  <c r="AR132" i="9"/>
  <c r="AS132" i="9"/>
  <c r="AT132" i="9"/>
  <c r="AU132" i="9"/>
  <c r="AV132" i="9"/>
  <c r="AW132" i="9"/>
  <c r="AX132" i="9"/>
  <c r="AY132" i="9"/>
  <c r="AZ132" i="9"/>
  <c r="BA132" i="9"/>
  <c r="BB132" i="9"/>
  <c r="BC132" i="9"/>
  <c r="BD132" i="9"/>
  <c r="BE132" i="9"/>
  <c r="BF132" i="9"/>
  <c r="BG132" i="9"/>
  <c r="BH132" i="9"/>
  <c r="BI132" i="9"/>
  <c r="BJ132" i="9"/>
  <c r="BK132" i="9"/>
  <c r="BL132" i="9"/>
  <c r="BM132" i="9"/>
  <c r="BN132" i="9"/>
  <c r="BO132" i="9"/>
  <c r="BP132" i="9"/>
  <c r="BQ132" i="9"/>
  <c r="BR132" i="9"/>
  <c r="BS132" i="9"/>
  <c r="BT132" i="9"/>
  <c r="BU132" i="9"/>
  <c r="BV132" i="9"/>
  <c r="BW132" i="9"/>
  <c r="BX132" i="9"/>
  <c r="BY132" i="9"/>
  <c r="BZ132" i="9"/>
  <c r="CA132" i="9"/>
  <c r="CB132" i="9"/>
  <c r="CC132" i="9"/>
  <c r="CD132" i="9"/>
  <c r="CE132" i="9"/>
  <c r="CF132" i="9"/>
  <c r="CG132" i="9"/>
  <c r="CH132" i="9"/>
  <c r="CI132" i="9"/>
  <c r="CJ132" i="9"/>
  <c r="CK132" i="9"/>
  <c r="CL132" i="9"/>
  <c r="CM132" i="9"/>
  <c r="CN132" i="9"/>
  <c r="CO132" i="9"/>
  <c r="CP132" i="9"/>
  <c r="CQ132" i="9"/>
  <c r="CR132" i="9"/>
  <c r="CS132" i="9"/>
  <c r="CT132" i="9"/>
  <c r="CU132" i="9"/>
  <c r="CV132" i="9"/>
  <c r="CW132" i="9"/>
  <c r="CX132" i="9"/>
  <c r="CY132" i="9"/>
  <c r="CZ132" i="9"/>
  <c r="DA132" i="9"/>
  <c r="DB132" i="9"/>
  <c r="DC132" i="9"/>
  <c r="DD132" i="9"/>
  <c r="DE132" i="9"/>
  <c r="DF132" i="9"/>
  <c r="DG132" i="9"/>
  <c r="DH132" i="9"/>
  <c r="DI132" i="9"/>
  <c r="DJ132" i="9"/>
  <c r="DK132" i="9"/>
  <c r="DL132" i="9"/>
  <c r="DM132" i="9"/>
  <c r="DN132" i="9"/>
  <c r="DO132" i="9"/>
  <c r="DP132" i="9"/>
  <c r="DQ132" i="9"/>
  <c r="DR132" i="9"/>
  <c r="DS132" i="9"/>
  <c r="DT132" i="9"/>
  <c r="DU132" i="9"/>
  <c r="DV132" i="9"/>
  <c r="DW132" i="9"/>
  <c r="DX132" i="9"/>
  <c r="DY132" i="9"/>
  <c r="DZ132" i="9"/>
  <c r="EA132" i="9"/>
  <c r="EB132" i="9"/>
  <c r="EC132" i="9"/>
  <c r="ED132" i="9"/>
  <c r="EE132" i="9"/>
  <c r="EF132" i="9"/>
  <c r="EG132" i="9"/>
  <c r="EH132" i="9"/>
  <c r="EI132" i="9"/>
  <c r="EJ132" i="9"/>
  <c r="EK132" i="9"/>
  <c r="EL132" i="9"/>
  <c r="EM132" i="9"/>
  <c r="EN132" i="9"/>
  <c r="EO132" i="9"/>
  <c r="EP132" i="9"/>
  <c r="EQ132" i="9"/>
  <c r="ER132" i="9"/>
  <c r="ES132" i="9"/>
  <c r="ET132" i="9"/>
  <c r="EU132" i="9"/>
  <c r="EV132" i="9"/>
  <c r="EW132" i="9"/>
  <c r="EX132" i="9"/>
  <c r="EY132" i="9"/>
  <c r="EZ132" i="9"/>
  <c r="FA132" i="9"/>
  <c r="FB132" i="9"/>
  <c r="FC132" i="9"/>
  <c r="FD132" i="9"/>
  <c r="FE132" i="9"/>
  <c r="FF132" i="9"/>
  <c r="FG132" i="9"/>
  <c r="FH132" i="9"/>
  <c r="FI132" i="9"/>
  <c r="FJ132" i="9"/>
  <c r="FK132" i="9"/>
  <c r="FL132" i="9"/>
  <c r="FM132" i="9"/>
  <c r="FN132" i="9"/>
  <c r="FO132" i="9"/>
  <c r="FP132" i="9"/>
  <c r="FQ132" i="9"/>
  <c r="FR132" i="9"/>
  <c r="FS132" i="9"/>
  <c r="FT132" i="9"/>
  <c r="FU132" i="9"/>
  <c r="FV132" i="9"/>
  <c r="FW132" i="9"/>
  <c r="FX132" i="9"/>
  <c r="FY132" i="9"/>
  <c r="FZ132" i="9"/>
  <c r="GA132" i="9"/>
  <c r="GB132" i="9"/>
  <c r="GC132" i="9"/>
  <c r="GD132" i="9"/>
  <c r="GE132" i="9"/>
  <c r="GF132" i="9"/>
  <c r="GG132" i="9"/>
  <c r="GH132" i="9"/>
  <c r="GI132" i="9"/>
  <c r="GJ132" i="9"/>
  <c r="GK132" i="9"/>
  <c r="GL132" i="9"/>
  <c r="GM132" i="9"/>
  <c r="GN132" i="9"/>
  <c r="GO132" i="9"/>
  <c r="GP132" i="9"/>
  <c r="GQ132" i="9"/>
  <c r="GR132" i="9"/>
  <c r="GS132" i="9"/>
  <c r="GT132" i="9"/>
  <c r="GU132" i="9"/>
  <c r="GV132" i="9"/>
  <c r="GW132" i="9"/>
  <c r="GX132" i="9"/>
  <c r="GY132" i="9"/>
  <c r="GZ132" i="9"/>
  <c r="HA132" i="9"/>
  <c r="HB132" i="9"/>
  <c r="HC132" i="9"/>
  <c r="HD132" i="9"/>
  <c r="HE132" i="9"/>
  <c r="HF132" i="9"/>
  <c r="HG132" i="9"/>
  <c r="HH132" i="9"/>
  <c r="HI132" i="9"/>
  <c r="HJ132" i="9"/>
  <c r="HK132" i="9"/>
  <c r="HL132" i="9"/>
  <c r="HM132" i="9"/>
  <c r="HN132" i="9"/>
  <c r="HO132" i="9"/>
  <c r="HP132" i="9"/>
  <c r="HQ132" i="9"/>
  <c r="HR132" i="9"/>
  <c r="HS132" i="9"/>
  <c r="HT132" i="9"/>
  <c r="HU132" i="9"/>
  <c r="HV132" i="9"/>
  <c r="HW132" i="9"/>
  <c r="HX132" i="9"/>
  <c r="HY132" i="9"/>
  <c r="HZ132" i="9"/>
  <c r="IA132" i="9"/>
  <c r="IB132" i="9"/>
  <c r="IC132" i="9"/>
  <c r="ID132" i="9"/>
  <c r="IE132" i="9"/>
  <c r="IF132" i="9"/>
  <c r="IG132" i="9"/>
  <c r="IH132" i="9"/>
  <c r="II132" i="9"/>
  <c r="IJ132" i="9"/>
  <c r="IK132" i="9"/>
  <c r="IL132" i="9"/>
  <c r="IM132" i="9"/>
  <c r="IN132" i="9"/>
  <c r="IO132" i="9"/>
  <c r="IP132" i="9"/>
  <c r="IQ132" i="9"/>
  <c r="IR132" i="9"/>
  <c r="IS132" i="9"/>
  <c r="IT132" i="9"/>
  <c r="IU132" i="9"/>
  <c r="IV132" i="9"/>
  <c r="A131" i="9"/>
  <c r="B131" i="9"/>
  <c r="C131" i="9"/>
  <c r="D131" i="9"/>
  <c r="E131" i="9"/>
  <c r="F131" i="9"/>
  <c r="G131" i="9"/>
  <c r="H131" i="9"/>
  <c r="I131" i="9"/>
  <c r="J131" i="9"/>
  <c r="K131" i="9"/>
  <c r="L131" i="9"/>
  <c r="M131" i="9"/>
  <c r="N131" i="9"/>
  <c r="O131" i="9"/>
  <c r="P131" i="9"/>
  <c r="Q131" i="9"/>
  <c r="R131" i="9"/>
  <c r="S131" i="9"/>
  <c r="T131" i="9"/>
  <c r="U131" i="9"/>
  <c r="V131" i="9"/>
  <c r="W131" i="9"/>
  <c r="X131" i="9"/>
  <c r="Y131" i="9"/>
  <c r="Z131" i="9"/>
  <c r="AA131" i="9"/>
  <c r="AB131" i="9"/>
  <c r="AC131" i="9"/>
  <c r="AD131" i="9"/>
  <c r="AE131" i="9"/>
  <c r="AF131" i="9"/>
  <c r="AG131" i="9"/>
  <c r="AH131" i="9"/>
  <c r="AI131" i="9"/>
  <c r="AJ131" i="9"/>
  <c r="AK131" i="9"/>
  <c r="AL131" i="9"/>
  <c r="AM131" i="9"/>
  <c r="AN131" i="9"/>
  <c r="AO131" i="9"/>
  <c r="AP131" i="9"/>
  <c r="AQ131" i="9"/>
  <c r="AR131" i="9"/>
  <c r="AS131" i="9"/>
  <c r="AT131" i="9"/>
  <c r="AU131" i="9"/>
  <c r="AV131" i="9"/>
  <c r="AW131" i="9"/>
  <c r="AX131" i="9"/>
  <c r="AY131" i="9"/>
  <c r="AZ131" i="9"/>
  <c r="BA131" i="9"/>
  <c r="BB131" i="9"/>
  <c r="BC131" i="9"/>
  <c r="BD131" i="9"/>
  <c r="BE131" i="9"/>
  <c r="BF131" i="9"/>
  <c r="BG131" i="9"/>
  <c r="BH131" i="9"/>
  <c r="BI131" i="9"/>
  <c r="BJ131" i="9"/>
  <c r="BK131" i="9"/>
  <c r="BL131" i="9"/>
  <c r="BM131" i="9"/>
  <c r="BN131" i="9"/>
  <c r="BO131" i="9"/>
  <c r="BP131" i="9"/>
  <c r="BQ131" i="9"/>
  <c r="BR131" i="9"/>
  <c r="BS131" i="9"/>
  <c r="BT131" i="9"/>
  <c r="BU131" i="9"/>
  <c r="BV131" i="9"/>
  <c r="BW131" i="9"/>
  <c r="BX131" i="9"/>
  <c r="BY131" i="9"/>
  <c r="BZ131" i="9"/>
  <c r="CA131" i="9"/>
  <c r="CB131" i="9"/>
  <c r="CC131" i="9"/>
  <c r="CD131" i="9"/>
  <c r="CE131" i="9"/>
  <c r="CF131" i="9"/>
  <c r="CG131" i="9"/>
  <c r="CH131" i="9"/>
  <c r="CI131" i="9"/>
  <c r="CJ131" i="9"/>
  <c r="CK131" i="9"/>
  <c r="CL131" i="9"/>
  <c r="CM131" i="9"/>
  <c r="CN131" i="9"/>
  <c r="CO131" i="9"/>
  <c r="CP131" i="9"/>
  <c r="CQ131" i="9"/>
  <c r="CR131" i="9"/>
  <c r="CS131" i="9"/>
  <c r="CT131" i="9"/>
  <c r="CU131" i="9"/>
  <c r="CV131" i="9"/>
  <c r="CW131" i="9"/>
  <c r="CX131" i="9"/>
  <c r="CY131" i="9"/>
  <c r="CZ131" i="9"/>
  <c r="DA131" i="9"/>
  <c r="DB131" i="9"/>
  <c r="DC131" i="9"/>
  <c r="DD131" i="9"/>
  <c r="DE131" i="9"/>
  <c r="DF131" i="9"/>
  <c r="DG131" i="9"/>
  <c r="DH131" i="9"/>
  <c r="DI131" i="9"/>
  <c r="DJ131" i="9"/>
  <c r="DK131" i="9"/>
  <c r="DL131" i="9"/>
  <c r="DM131" i="9"/>
  <c r="DN131" i="9"/>
  <c r="DO131" i="9"/>
  <c r="DP131" i="9"/>
  <c r="DQ131" i="9"/>
  <c r="DR131" i="9"/>
  <c r="DS131" i="9"/>
  <c r="DT131" i="9"/>
  <c r="DU131" i="9"/>
  <c r="DV131" i="9"/>
  <c r="DW131" i="9"/>
  <c r="DX131" i="9"/>
  <c r="DY131" i="9"/>
  <c r="DZ131" i="9"/>
  <c r="EA131" i="9"/>
  <c r="EB131" i="9"/>
  <c r="EC131" i="9"/>
  <c r="ED131" i="9"/>
  <c r="EE131" i="9"/>
  <c r="EF131" i="9"/>
  <c r="EG131" i="9"/>
  <c r="EH131" i="9"/>
  <c r="EI131" i="9"/>
  <c r="EJ131" i="9"/>
  <c r="EK131" i="9"/>
  <c r="EL131" i="9"/>
  <c r="EM131" i="9"/>
  <c r="EN131" i="9"/>
  <c r="EO131" i="9"/>
  <c r="EP131" i="9"/>
  <c r="EQ131" i="9"/>
  <c r="ER131" i="9"/>
  <c r="ES131" i="9"/>
  <c r="ET131" i="9"/>
  <c r="EU131" i="9"/>
  <c r="EV131" i="9"/>
  <c r="EW131" i="9"/>
  <c r="EX131" i="9"/>
  <c r="EY131" i="9"/>
  <c r="EZ131" i="9"/>
  <c r="FA131" i="9"/>
  <c r="FB131" i="9"/>
  <c r="FC131" i="9"/>
  <c r="FD131" i="9"/>
  <c r="FE131" i="9"/>
  <c r="FF131" i="9"/>
  <c r="FG131" i="9"/>
  <c r="FH131" i="9"/>
  <c r="FI131" i="9"/>
  <c r="FJ131" i="9"/>
  <c r="FK131" i="9"/>
  <c r="FL131" i="9"/>
  <c r="FM131" i="9"/>
  <c r="FN131" i="9"/>
  <c r="FO131" i="9"/>
  <c r="FP131" i="9"/>
  <c r="FQ131" i="9"/>
  <c r="FR131" i="9"/>
  <c r="FS131" i="9"/>
  <c r="FT131" i="9"/>
  <c r="FU131" i="9"/>
  <c r="FV131" i="9"/>
  <c r="FW131" i="9"/>
  <c r="FX131" i="9"/>
  <c r="FY131" i="9"/>
  <c r="FZ131" i="9"/>
  <c r="GA131" i="9"/>
  <c r="GB131" i="9"/>
  <c r="GC131" i="9"/>
  <c r="GD131" i="9"/>
  <c r="GE131" i="9"/>
  <c r="GF131" i="9"/>
  <c r="GG131" i="9"/>
  <c r="GH131" i="9"/>
  <c r="GI131" i="9"/>
  <c r="GJ131" i="9"/>
  <c r="GK131" i="9"/>
  <c r="GL131" i="9"/>
  <c r="GM131" i="9"/>
  <c r="GN131" i="9"/>
  <c r="GO131" i="9"/>
  <c r="GP131" i="9"/>
  <c r="GQ131" i="9"/>
  <c r="GR131" i="9"/>
  <c r="GS131" i="9"/>
  <c r="GT131" i="9"/>
  <c r="GU131" i="9"/>
  <c r="GV131" i="9"/>
  <c r="GW131" i="9"/>
  <c r="GX131" i="9"/>
  <c r="GY131" i="9"/>
  <c r="GZ131" i="9"/>
  <c r="HA131" i="9"/>
  <c r="HB131" i="9"/>
  <c r="HC131" i="9"/>
  <c r="HD131" i="9"/>
  <c r="HE131" i="9"/>
  <c r="HF131" i="9"/>
  <c r="HG131" i="9"/>
  <c r="HH131" i="9"/>
  <c r="HI131" i="9"/>
  <c r="HJ131" i="9"/>
  <c r="HK131" i="9"/>
  <c r="HL131" i="9"/>
  <c r="HM131" i="9"/>
  <c r="HN131" i="9"/>
  <c r="HO131" i="9"/>
  <c r="HP131" i="9"/>
  <c r="HQ131" i="9"/>
  <c r="HR131" i="9"/>
  <c r="HS131" i="9"/>
  <c r="HT131" i="9"/>
  <c r="HU131" i="9"/>
  <c r="HV131" i="9"/>
  <c r="HW131" i="9"/>
  <c r="HX131" i="9"/>
  <c r="HY131" i="9"/>
  <c r="HZ131" i="9"/>
  <c r="IA131" i="9"/>
  <c r="IB131" i="9"/>
  <c r="IC131" i="9"/>
  <c r="ID131" i="9"/>
  <c r="IE131" i="9"/>
  <c r="IF131" i="9"/>
  <c r="IG131" i="9"/>
  <c r="IH131" i="9"/>
  <c r="II131" i="9"/>
  <c r="IJ131" i="9"/>
  <c r="IK131" i="9"/>
  <c r="IL131" i="9"/>
  <c r="IM131" i="9"/>
  <c r="IN131" i="9"/>
  <c r="IO131" i="9"/>
  <c r="IP131" i="9"/>
  <c r="IQ131" i="9"/>
  <c r="IR131" i="9"/>
  <c r="IS131" i="9"/>
  <c r="IT131" i="9"/>
  <c r="IU131" i="9"/>
  <c r="IV131" i="9"/>
  <c r="A130" i="9"/>
  <c r="B130" i="9"/>
  <c r="C130" i="9"/>
  <c r="D130" i="9"/>
  <c r="E130" i="9"/>
  <c r="F130" i="9"/>
  <c r="G130" i="9"/>
  <c r="H130" i="9"/>
  <c r="I130" i="9"/>
  <c r="J130" i="9"/>
  <c r="K130" i="9"/>
  <c r="L130" i="9"/>
  <c r="M130" i="9"/>
  <c r="N130" i="9"/>
  <c r="O130" i="9"/>
  <c r="P130" i="9"/>
  <c r="Q130" i="9"/>
  <c r="R130" i="9"/>
  <c r="S130" i="9"/>
  <c r="T130" i="9"/>
  <c r="U130" i="9"/>
  <c r="V130" i="9"/>
  <c r="W130" i="9"/>
  <c r="X130" i="9"/>
  <c r="Y130" i="9"/>
  <c r="Z130" i="9"/>
  <c r="AA130" i="9"/>
  <c r="AB130" i="9"/>
  <c r="AC130" i="9"/>
  <c r="AD130" i="9"/>
  <c r="AE130" i="9"/>
  <c r="AF130" i="9"/>
  <c r="AG130" i="9"/>
  <c r="AH130" i="9"/>
  <c r="AI130" i="9"/>
  <c r="AJ130" i="9"/>
  <c r="AK130" i="9"/>
  <c r="AL130" i="9"/>
  <c r="AM130" i="9"/>
  <c r="AN130" i="9"/>
  <c r="AO130" i="9"/>
  <c r="AP130" i="9"/>
  <c r="AQ130" i="9"/>
  <c r="AR130" i="9"/>
  <c r="AS130" i="9"/>
  <c r="AT130" i="9"/>
  <c r="AU130" i="9"/>
  <c r="AV130" i="9"/>
  <c r="AW130" i="9"/>
  <c r="AX130" i="9"/>
  <c r="AY130" i="9"/>
  <c r="AZ130" i="9"/>
  <c r="BA130" i="9"/>
  <c r="BB130" i="9"/>
  <c r="BC130" i="9"/>
  <c r="BD130" i="9"/>
  <c r="BE130" i="9"/>
  <c r="BF130" i="9"/>
  <c r="BG130" i="9"/>
  <c r="BH130" i="9"/>
  <c r="BI130" i="9"/>
  <c r="BJ130" i="9"/>
  <c r="BK130" i="9"/>
  <c r="BL130" i="9"/>
  <c r="BM130" i="9"/>
  <c r="BN130" i="9"/>
  <c r="BO130" i="9"/>
  <c r="BP130" i="9"/>
  <c r="BQ130" i="9"/>
  <c r="BR130" i="9"/>
  <c r="BS130" i="9"/>
  <c r="BT130" i="9"/>
  <c r="BU130" i="9"/>
  <c r="BV130" i="9"/>
  <c r="BW130" i="9"/>
  <c r="BX130" i="9"/>
  <c r="BY130" i="9"/>
  <c r="BZ130" i="9"/>
  <c r="CA130" i="9"/>
  <c r="CB130" i="9"/>
  <c r="CC130" i="9"/>
  <c r="CD130" i="9"/>
  <c r="CE130" i="9"/>
  <c r="CF130" i="9"/>
  <c r="CG130" i="9"/>
  <c r="CH130" i="9"/>
  <c r="CI130" i="9"/>
  <c r="CJ130" i="9"/>
  <c r="CK130" i="9"/>
  <c r="CL130" i="9"/>
  <c r="CM130" i="9"/>
  <c r="CN130" i="9"/>
  <c r="CO130" i="9"/>
  <c r="CP130" i="9"/>
  <c r="CQ130" i="9"/>
  <c r="CR130" i="9"/>
  <c r="CS130" i="9"/>
  <c r="CT130" i="9"/>
  <c r="CU130" i="9"/>
  <c r="CV130" i="9"/>
  <c r="CW130" i="9"/>
  <c r="CX130" i="9"/>
  <c r="CY130" i="9"/>
  <c r="CZ130" i="9"/>
  <c r="DA130" i="9"/>
  <c r="DB130" i="9"/>
  <c r="DC130" i="9"/>
  <c r="DD130" i="9"/>
  <c r="DE130" i="9"/>
  <c r="DF130" i="9"/>
  <c r="DG130" i="9"/>
  <c r="DH130" i="9"/>
  <c r="DI130" i="9"/>
  <c r="DJ130" i="9"/>
  <c r="DK130" i="9"/>
  <c r="DL130" i="9"/>
  <c r="DM130" i="9"/>
  <c r="DN130" i="9"/>
  <c r="DO130" i="9"/>
  <c r="DP130" i="9"/>
  <c r="DQ130" i="9"/>
  <c r="DR130" i="9"/>
  <c r="DS130" i="9"/>
  <c r="DT130" i="9"/>
  <c r="DU130" i="9"/>
  <c r="DV130" i="9"/>
  <c r="DW130" i="9"/>
  <c r="DX130" i="9"/>
  <c r="DY130" i="9"/>
  <c r="DZ130" i="9"/>
  <c r="EA130" i="9"/>
  <c r="EB130" i="9"/>
  <c r="EC130" i="9"/>
  <c r="ED130" i="9"/>
  <c r="EE130" i="9"/>
  <c r="EF130" i="9"/>
  <c r="EG130" i="9"/>
  <c r="EH130" i="9"/>
  <c r="EI130" i="9"/>
  <c r="EJ130" i="9"/>
  <c r="EK130" i="9"/>
  <c r="EL130" i="9"/>
  <c r="EM130" i="9"/>
  <c r="EN130" i="9"/>
  <c r="EO130" i="9"/>
  <c r="EP130" i="9"/>
  <c r="EQ130" i="9"/>
  <c r="ER130" i="9"/>
  <c r="ES130" i="9"/>
  <c r="ET130" i="9"/>
  <c r="EU130" i="9"/>
  <c r="EV130" i="9"/>
  <c r="EW130" i="9"/>
  <c r="EX130" i="9"/>
  <c r="EY130" i="9"/>
  <c r="EZ130" i="9"/>
  <c r="FA130" i="9"/>
  <c r="FB130" i="9"/>
  <c r="FC130" i="9"/>
  <c r="FD130" i="9"/>
  <c r="FE130" i="9"/>
  <c r="FF130" i="9"/>
  <c r="FG130" i="9"/>
  <c r="FH130" i="9"/>
  <c r="FI130" i="9"/>
  <c r="FJ130" i="9"/>
  <c r="FK130" i="9"/>
  <c r="FL130" i="9"/>
  <c r="FM130" i="9"/>
  <c r="FN130" i="9"/>
  <c r="FO130" i="9"/>
  <c r="FP130" i="9"/>
  <c r="FQ130" i="9"/>
  <c r="FR130" i="9"/>
  <c r="FS130" i="9"/>
  <c r="FT130" i="9"/>
  <c r="FU130" i="9"/>
  <c r="FV130" i="9"/>
  <c r="FW130" i="9"/>
  <c r="FX130" i="9"/>
  <c r="FY130" i="9"/>
  <c r="FZ130" i="9"/>
  <c r="GA130" i="9"/>
  <c r="GB130" i="9"/>
  <c r="GC130" i="9"/>
  <c r="GD130" i="9"/>
  <c r="GE130" i="9"/>
  <c r="GF130" i="9"/>
  <c r="GG130" i="9"/>
  <c r="GH130" i="9"/>
  <c r="GI130" i="9"/>
  <c r="GJ130" i="9"/>
  <c r="GK130" i="9"/>
  <c r="GL130" i="9"/>
  <c r="GM130" i="9"/>
  <c r="GN130" i="9"/>
  <c r="GO130" i="9"/>
  <c r="GP130" i="9"/>
  <c r="GQ130" i="9"/>
  <c r="GR130" i="9"/>
  <c r="GS130" i="9"/>
  <c r="GT130" i="9"/>
  <c r="GU130" i="9"/>
  <c r="GV130" i="9"/>
  <c r="GW130" i="9"/>
  <c r="GX130" i="9"/>
  <c r="GY130" i="9"/>
  <c r="GZ130" i="9"/>
  <c r="HA130" i="9"/>
  <c r="HB130" i="9"/>
  <c r="HC130" i="9"/>
  <c r="HD130" i="9"/>
  <c r="HE130" i="9"/>
  <c r="HF130" i="9"/>
  <c r="HG130" i="9"/>
  <c r="HH130" i="9"/>
  <c r="HI130" i="9"/>
  <c r="HJ130" i="9"/>
  <c r="HK130" i="9"/>
  <c r="HL130" i="9"/>
  <c r="HM130" i="9"/>
  <c r="HN130" i="9"/>
  <c r="HO130" i="9"/>
  <c r="HP130" i="9"/>
  <c r="HQ130" i="9"/>
  <c r="HR130" i="9"/>
  <c r="HS130" i="9"/>
  <c r="HT130" i="9"/>
  <c r="HU130" i="9"/>
  <c r="HV130" i="9"/>
  <c r="HW130" i="9"/>
  <c r="HX130" i="9"/>
  <c r="HY130" i="9"/>
  <c r="HZ130" i="9"/>
  <c r="IA130" i="9"/>
  <c r="IB130" i="9"/>
  <c r="IC130" i="9"/>
  <c r="ID130" i="9"/>
  <c r="IE130" i="9"/>
  <c r="IF130" i="9"/>
  <c r="IG130" i="9"/>
  <c r="IH130" i="9"/>
  <c r="II130" i="9"/>
  <c r="IJ130" i="9"/>
  <c r="IK130" i="9"/>
  <c r="IL130" i="9"/>
  <c r="IM130" i="9"/>
  <c r="IN130" i="9"/>
  <c r="IO130" i="9"/>
  <c r="IP130" i="9"/>
  <c r="IQ130" i="9"/>
  <c r="IR130" i="9"/>
  <c r="IS130" i="9"/>
  <c r="IT130" i="9"/>
  <c r="IU130" i="9"/>
  <c r="IV130" i="9"/>
  <c r="A129" i="9"/>
  <c r="B129" i="9"/>
  <c r="C129" i="9"/>
  <c r="D129" i="9"/>
  <c r="E129" i="9"/>
  <c r="F129" i="9"/>
  <c r="G129" i="9"/>
  <c r="H129" i="9"/>
  <c r="I129" i="9"/>
  <c r="J129" i="9"/>
  <c r="K129" i="9"/>
  <c r="L129" i="9"/>
  <c r="M129" i="9"/>
  <c r="N129" i="9"/>
  <c r="O129" i="9"/>
  <c r="P129" i="9"/>
  <c r="Q129" i="9"/>
  <c r="R129" i="9"/>
  <c r="S129" i="9"/>
  <c r="T129" i="9"/>
  <c r="U129" i="9"/>
  <c r="V129" i="9"/>
  <c r="W129" i="9"/>
  <c r="X129" i="9"/>
  <c r="Y129" i="9"/>
  <c r="Z129" i="9"/>
  <c r="AA129" i="9"/>
  <c r="AB129" i="9"/>
  <c r="AC129" i="9"/>
  <c r="AD129" i="9"/>
  <c r="AE129" i="9"/>
  <c r="AF129" i="9"/>
  <c r="AG129" i="9"/>
  <c r="AH129" i="9"/>
  <c r="AI129" i="9"/>
  <c r="AJ129" i="9"/>
  <c r="AK129" i="9"/>
  <c r="AL129" i="9"/>
  <c r="AM129" i="9"/>
  <c r="AN129" i="9"/>
  <c r="AO129" i="9"/>
  <c r="AP129" i="9"/>
  <c r="AQ129" i="9"/>
  <c r="AR129" i="9"/>
  <c r="AS129" i="9"/>
  <c r="AT129" i="9"/>
  <c r="AU129" i="9"/>
  <c r="AV129" i="9"/>
  <c r="AW129" i="9"/>
  <c r="AX129" i="9"/>
  <c r="AY129" i="9"/>
  <c r="AZ129" i="9"/>
  <c r="BA129" i="9"/>
  <c r="BB129" i="9"/>
  <c r="BC129" i="9"/>
  <c r="BD129" i="9"/>
  <c r="BE129" i="9"/>
  <c r="BF129" i="9"/>
  <c r="BG129" i="9"/>
  <c r="BH129" i="9"/>
  <c r="BI129" i="9"/>
  <c r="BJ129" i="9"/>
  <c r="BK129" i="9"/>
  <c r="BL129" i="9"/>
  <c r="BM129" i="9"/>
  <c r="BN129" i="9"/>
  <c r="BO129" i="9"/>
  <c r="BP129" i="9"/>
  <c r="BQ129" i="9"/>
  <c r="BR129" i="9"/>
  <c r="BS129" i="9"/>
  <c r="BT129" i="9"/>
  <c r="BU129" i="9"/>
  <c r="BV129" i="9"/>
  <c r="BW129" i="9"/>
  <c r="BX129" i="9"/>
  <c r="BY129" i="9"/>
  <c r="BZ129" i="9"/>
  <c r="CA129" i="9"/>
  <c r="CB129" i="9"/>
  <c r="CC129" i="9"/>
  <c r="CD129" i="9"/>
  <c r="CE129" i="9"/>
  <c r="CF129" i="9"/>
  <c r="CG129" i="9"/>
  <c r="CH129" i="9"/>
  <c r="CI129" i="9"/>
  <c r="CJ129" i="9"/>
  <c r="CK129" i="9"/>
  <c r="CL129" i="9"/>
  <c r="CM129" i="9"/>
  <c r="CN129" i="9"/>
  <c r="CO129" i="9"/>
  <c r="CP129" i="9"/>
  <c r="CQ129" i="9"/>
  <c r="CR129" i="9"/>
  <c r="CS129" i="9"/>
  <c r="CT129" i="9"/>
  <c r="CU129" i="9"/>
  <c r="CV129" i="9"/>
  <c r="CW129" i="9"/>
  <c r="CX129" i="9"/>
  <c r="CY129" i="9"/>
  <c r="CZ129" i="9"/>
  <c r="DA129" i="9"/>
  <c r="DB129" i="9"/>
  <c r="DC129" i="9"/>
  <c r="DD129" i="9"/>
  <c r="DE129" i="9"/>
  <c r="DF129" i="9"/>
  <c r="DG129" i="9"/>
  <c r="DH129" i="9"/>
  <c r="DI129" i="9"/>
  <c r="DJ129" i="9"/>
  <c r="DK129" i="9"/>
  <c r="DL129" i="9"/>
  <c r="DM129" i="9"/>
  <c r="DN129" i="9"/>
  <c r="DO129" i="9"/>
  <c r="DP129" i="9"/>
  <c r="DQ129" i="9"/>
  <c r="DR129" i="9"/>
  <c r="DS129" i="9"/>
  <c r="DT129" i="9"/>
  <c r="DU129" i="9"/>
  <c r="DV129" i="9"/>
  <c r="DW129" i="9"/>
  <c r="DX129" i="9"/>
  <c r="DY129" i="9"/>
  <c r="DZ129" i="9"/>
  <c r="EA129" i="9"/>
  <c r="EB129" i="9"/>
  <c r="EC129" i="9"/>
  <c r="ED129" i="9"/>
  <c r="EE129" i="9"/>
  <c r="EF129" i="9"/>
  <c r="EG129" i="9"/>
  <c r="EH129" i="9"/>
  <c r="EI129" i="9"/>
  <c r="EJ129" i="9"/>
  <c r="EK129" i="9"/>
  <c r="EL129" i="9"/>
  <c r="EM129" i="9"/>
  <c r="EN129" i="9"/>
  <c r="EO129" i="9"/>
  <c r="EP129" i="9"/>
  <c r="EQ129" i="9"/>
  <c r="ER129" i="9"/>
  <c r="ES129" i="9"/>
  <c r="ET129" i="9"/>
  <c r="EU129" i="9"/>
  <c r="EV129" i="9"/>
  <c r="EW129" i="9"/>
  <c r="EX129" i="9"/>
  <c r="EY129" i="9"/>
  <c r="EZ129" i="9"/>
  <c r="FA129" i="9"/>
  <c r="FB129" i="9"/>
  <c r="FC129" i="9"/>
  <c r="FD129" i="9"/>
  <c r="FE129" i="9"/>
  <c r="FF129" i="9"/>
  <c r="FG129" i="9"/>
  <c r="FH129" i="9"/>
  <c r="FI129" i="9"/>
  <c r="FJ129" i="9"/>
  <c r="FK129" i="9"/>
  <c r="FL129" i="9"/>
  <c r="FM129" i="9"/>
  <c r="FN129" i="9"/>
  <c r="FO129" i="9"/>
  <c r="FP129" i="9"/>
  <c r="FQ129" i="9"/>
  <c r="FR129" i="9"/>
  <c r="FS129" i="9"/>
  <c r="FT129" i="9"/>
  <c r="FU129" i="9"/>
  <c r="FV129" i="9"/>
  <c r="FW129" i="9"/>
  <c r="FX129" i="9"/>
  <c r="FY129" i="9"/>
  <c r="FZ129" i="9"/>
  <c r="GA129" i="9"/>
  <c r="GB129" i="9"/>
  <c r="GC129" i="9"/>
  <c r="GD129" i="9"/>
  <c r="GE129" i="9"/>
  <c r="GF129" i="9"/>
  <c r="GG129" i="9"/>
  <c r="GH129" i="9"/>
  <c r="GI129" i="9"/>
  <c r="GJ129" i="9"/>
  <c r="GK129" i="9"/>
  <c r="GL129" i="9"/>
  <c r="GM129" i="9"/>
  <c r="GN129" i="9"/>
  <c r="GO129" i="9"/>
  <c r="GP129" i="9"/>
  <c r="GQ129" i="9"/>
  <c r="GR129" i="9"/>
  <c r="GS129" i="9"/>
  <c r="GT129" i="9"/>
  <c r="GU129" i="9"/>
  <c r="GV129" i="9"/>
  <c r="GW129" i="9"/>
  <c r="GX129" i="9"/>
  <c r="GY129" i="9"/>
  <c r="GZ129" i="9"/>
  <c r="HA129" i="9"/>
  <c r="HB129" i="9"/>
  <c r="HC129" i="9"/>
  <c r="HD129" i="9"/>
  <c r="HE129" i="9"/>
  <c r="HF129" i="9"/>
  <c r="HG129" i="9"/>
  <c r="HH129" i="9"/>
  <c r="HI129" i="9"/>
  <c r="HJ129" i="9"/>
  <c r="HK129" i="9"/>
  <c r="HL129" i="9"/>
  <c r="HM129" i="9"/>
  <c r="HN129" i="9"/>
  <c r="HO129" i="9"/>
  <c r="HP129" i="9"/>
  <c r="HQ129" i="9"/>
  <c r="HR129" i="9"/>
  <c r="HS129" i="9"/>
  <c r="HT129" i="9"/>
  <c r="HU129" i="9"/>
  <c r="HV129" i="9"/>
  <c r="HW129" i="9"/>
  <c r="HX129" i="9"/>
  <c r="HY129" i="9"/>
  <c r="HZ129" i="9"/>
  <c r="IA129" i="9"/>
  <c r="IB129" i="9"/>
  <c r="IC129" i="9"/>
  <c r="ID129" i="9"/>
  <c r="IE129" i="9"/>
  <c r="IF129" i="9"/>
  <c r="IG129" i="9"/>
  <c r="IH129" i="9"/>
  <c r="II129" i="9"/>
  <c r="IJ129" i="9"/>
  <c r="IK129" i="9"/>
  <c r="IL129" i="9"/>
  <c r="IM129" i="9"/>
  <c r="IN129" i="9"/>
  <c r="IO129" i="9"/>
  <c r="IP129" i="9"/>
  <c r="IQ129" i="9"/>
  <c r="IR129" i="9"/>
  <c r="IS129" i="9"/>
  <c r="IT129" i="9"/>
  <c r="IU129" i="9"/>
  <c r="IV129" i="9"/>
  <c r="GL128" i="9"/>
  <c r="GM128" i="9"/>
  <c r="GN128" i="9"/>
  <c r="GO128" i="9"/>
  <c r="GP128" i="9"/>
  <c r="GQ128" i="9"/>
  <c r="GR128" i="9"/>
  <c r="GS128" i="9"/>
  <c r="GT128" i="9"/>
  <c r="GU128" i="9"/>
  <c r="GV128" i="9"/>
  <c r="GW128" i="9"/>
  <c r="GX128" i="9"/>
  <c r="GY128" i="9"/>
  <c r="GZ128" i="9"/>
  <c r="HA128" i="9"/>
  <c r="HB128" i="9"/>
  <c r="HC128" i="9"/>
  <c r="HD128" i="9"/>
  <c r="HE128" i="9"/>
  <c r="HF128" i="9"/>
  <c r="HG128" i="9"/>
  <c r="HH128" i="9"/>
  <c r="HI128" i="9"/>
  <c r="HJ128" i="9"/>
  <c r="HK128" i="9"/>
  <c r="HL128" i="9"/>
  <c r="HM128" i="9"/>
  <c r="HN128" i="9"/>
  <c r="HO128" i="9"/>
  <c r="HP128" i="9"/>
  <c r="HQ128" i="9"/>
  <c r="HR128" i="9"/>
  <c r="HS128" i="9"/>
  <c r="HT128" i="9"/>
  <c r="HU128" i="9"/>
  <c r="HV128" i="9"/>
  <c r="HW128" i="9"/>
  <c r="HX128" i="9"/>
  <c r="HY128" i="9"/>
  <c r="HZ128" i="9"/>
  <c r="IA128" i="9"/>
  <c r="IB128" i="9"/>
  <c r="IC128" i="9"/>
  <c r="ID128" i="9"/>
  <c r="IE128" i="9"/>
  <c r="IF128" i="9"/>
  <c r="IG128" i="9"/>
  <c r="IH128" i="9"/>
  <c r="II128" i="9"/>
  <c r="IJ128" i="9"/>
  <c r="IK128" i="9"/>
  <c r="IL128" i="9"/>
  <c r="IM128" i="9"/>
  <c r="IN128" i="9"/>
  <c r="IO128" i="9"/>
  <c r="IP128" i="9"/>
  <c r="IQ128" i="9"/>
  <c r="IR128" i="9"/>
  <c r="IS128" i="9"/>
  <c r="IT128" i="9"/>
  <c r="IU128" i="9"/>
  <c r="IV128" i="9"/>
  <c r="A108" i="9"/>
  <c r="B108" i="9"/>
  <c r="C108" i="9"/>
  <c r="D108" i="9"/>
  <c r="E108" i="9"/>
  <c r="F108" i="9"/>
  <c r="G108" i="9"/>
  <c r="H108" i="9"/>
  <c r="I108" i="9"/>
  <c r="J108" i="9"/>
  <c r="K108" i="9"/>
  <c r="L108" i="9"/>
  <c r="M108" i="9"/>
  <c r="N108" i="9"/>
  <c r="O108" i="9"/>
  <c r="P108" i="9"/>
  <c r="Q108" i="9"/>
  <c r="R108" i="9"/>
  <c r="S108" i="9"/>
  <c r="T108" i="9"/>
  <c r="U108" i="9"/>
  <c r="V108" i="9"/>
  <c r="W108" i="9"/>
  <c r="X108" i="9"/>
  <c r="Y108" i="9"/>
  <c r="Z108" i="9"/>
  <c r="AA108" i="9"/>
  <c r="AB108" i="9"/>
  <c r="AC108" i="9"/>
  <c r="AD108" i="9"/>
  <c r="AE108" i="9"/>
  <c r="AF108" i="9"/>
  <c r="AG108" i="9"/>
  <c r="AH108" i="9"/>
  <c r="AI108" i="9"/>
  <c r="AJ108" i="9"/>
  <c r="AK108" i="9"/>
  <c r="AL108" i="9"/>
  <c r="AM108" i="9"/>
  <c r="AN108" i="9"/>
  <c r="AO108" i="9"/>
  <c r="AP108" i="9"/>
  <c r="AQ108" i="9"/>
  <c r="AR108" i="9"/>
  <c r="AS108" i="9"/>
  <c r="AT108" i="9"/>
  <c r="AU108" i="9"/>
  <c r="AV108" i="9"/>
  <c r="AW108" i="9"/>
  <c r="AX108" i="9"/>
  <c r="AY108" i="9"/>
  <c r="AZ108" i="9"/>
  <c r="BA108" i="9"/>
  <c r="BB108" i="9"/>
  <c r="BC108" i="9"/>
  <c r="BD108" i="9"/>
  <c r="BE108" i="9"/>
  <c r="BF108" i="9"/>
  <c r="BG108" i="9"/>
  <c r="BH108" i="9"/>
  <c r="BI108" i="9"/>
  <c r="BJ108" i="9"/>
  <c r="BK108" i="9"/>
  <c r="BL108" i="9"/>
  <c r="BM108" i="9"/>
  <c r="BN108" i="9"/>
  <c r="BO108" i="9"/>
  <c r="BP108" i="9"/>
  <c r="BQ108" i="9"/>
  <c r="BR108" i="9"/>
  <c r="BS108" i="9"/>
  <c r="BT108" i="9"/>
  <c r="BU108" i="9"/>
  <c r="BV108" i="9"/>
  <c r="BW108" i="9"/>
  <c r="BX108" i="9"/>
  <c r="BY108" i="9"/>
  <c r="BZ108" i="9"/>
  <c r="CA108" i="9"/>
  <c r="CB108" i="9"/>
  <c r="CC108" i="9"/>
  <c r="CD108" i="9"/>
  <c r="CE108" i="9"/>
  <c r="CF108" i="9"/>
  <c r="CG108" i="9"/>
  <c r="CH108" i="9"/>
  <c r="CI108" i="9"/>
  <c r="CJ108" i="9"/>
  <c r="CK108" i="9"/>
  <c r="CL108" i="9"/>
  <c r="CM108" i="9"/>
  <c r="CN108" i="9"/>
  <c r="CO108" i="9"/>
  <c r="CP108" i="9"/>
  <c r="CQ108" i="9"/>
  <c r="CR108" i="9"/>
  <c r="CS108" i="9"/>
  <c r="CT108" i="9"/>
  <c r="CU108" i="9"/>
  <c r="CV108" i="9"/>
  <c r="CW108" i="9"/>
  <c r="CX108" i="9"/>
  <c r="CY108" i="9"/>
  <c r="CZ108" i="9"/>
  <c r="DA108" i="9"/>
  <c r="DB108" i="9"/>
  <c r="DC108" i="9"/>
  <c r="DD108" i="9"/>
  <c r="DE108" i="9"/>
  <c r="DF108" i="9"/>
  <c r="DG108" i="9"/>
  <c r="DH108" i="9"/>
  <c r="DI108" i="9"/>
  <c r="DJ108" i="9"/>
  <c r="DK108" i="9"/>
  <c r="DL108" i="9"/>
  <c r="DM108" i="9"/>
  <c r="DN108" i="9"/>
  <c r="DO108" i="9"/>
  <c r="DP108" i="9"/>
  <c r="DQ108" i="9"/>
  <c r="DR108" i="9"/>
  <c r="DS108" i="9"/>
  <c r="DT108" i="9"/>
  <c r="DU108" i="9"/>
  <c r="DV108" i="9"/>
  <c r="DW108" i="9"/>
  <c r="DX108" i="9"/>
  <c r="DY108" i="9"/>
  <c r="DZ108" i="9"/>
  <c r="EA108" i="9"/>
  <c r="EB108" i="9"/>
  <c r="EC108" i="9"/>
  <c r="ED108" i="9"/>
  <c r="EE108" i="9"/>
  <c r="EF108" i="9"/>
  <c r="EG108" i="9"/>
  <c r="EH108" i="9"/>
  <c r="EI108" i="9"/>
  <c r="EJ108" i="9"/>
  <c r="EK108" i="9"/>
  <c r="EL108" i="9"/>
  <c r="EM108" i="9"/>
  <c r="EN108" i="9"/>
  <c r="EO108" i="9"/>
  <c r="EP108" i="9"/>
  <c r="EQ108" i="9"/>
  <c r="ER108" i="9"/>
  <c r="ES108" i="9"/>
  <c r="ET108" i="9"/>
  <c r="EU108" i="9"/>
  <c r="EV108" i="9"/>
  <c r="EW108" i="9"/>
  <c r="EX108" i="9"/>
  <c r="EY108" i="9"/>
  <c r="EZ108" i="9"/>
  <c r="FA108" i="9"/>
  <c r="FB108" i="9"/>
  <c r="FC108" i="9"/>
  <c r="FD108" i="9"/>
  <c r="FE108" i="9"/>
  <c r="FF108" i="9"/>
  <c r="FG108" i="9"/>
  <c r="FH108" i="9"/>
  <c r="FI108" i="9"/>
  <c r="FJ108" i="9"/>
  <c r="FK108" i="9"/>
  <c r="FL108" i="9"/>
  <c r="FM108" i="9"/>
  <c r="FN108" i="9"/>
  <c r="FO108" i="9"/>
  <c r="FP108" i="9"/>
  <c r="FQ108" i="9"/>
  <c r="FR108" i="9"/>
  <c r="FS108" i="9"/>
  <c r="FT108" i="9"/>
  <c r="FU108" i="9"/>
  <c r="FV108" i="9"/>
  <c r="FW108" i="9"/>
  <c r="FX108" i="9"/>
  <c r="FY108" i="9"/>
  <c r="FZ108" i="9"/>
  <c r="GA108" i="9"/>
  <c r="GB108" i="9"/>
  <c r="GC108" i="9"/>
  <c r="GD108" i="9"/>
  <c r="GE108" i="9"/>
  <c r="GF108" i="9"/>
  <c r="GG108" i="9"/>
  <c r="GH108" i="9"/>
  <c r="GI108" i="9"/>
  <c r="GJ108" i="9"/>
  <c r="GK108" i="9"/>
  <c r="GL108" i="9"/>
  <c r="GM108" i="9"/>
  <c r="GN108" i="9"/>
  <c r="GO108" i="9"/>
  <c r="A107" i="9"/>
  <c r="B107" i="9"/>
  <c r="C107" i="9"/>
  <c r="D107" i="9"/>
  <c r="E107" i="9"/>
  <c r="F107" i="9"/>
  <c r="G107" i="9"/>
  <c r="H107" i="9"/>
  <c r="I107" i="9"/>
  <c r="J107" i="9"/>
  <c r="K107" i="9"/>
  <c r="L107" i="9"/>
  <c r="M107" i="9"/>
  <c r="N107" i="9"/>
  <c r="O107" i="9"/>
  <c r="P107" i="9"/>
  <c r="Q107" i="9"/>
  <c r="R107" i="9"/>
  <c r="S107" i="9"/>
  <c r="T107" i="9"/>
  <c r="U107" i="9"/>
  <c r="V107" i="9"/>
  <c r="W107" i="9"/>
  <c r="X107" i="9"/>
  <c r="Y107" i="9"/>
  <c r="Z107" i="9"/>
  <c r="AA107" i="9"/>
  <c r="AB107" i="9"/>
  <c r="AC107" i="9"/>
  <c r="AD107" i="9"/>
  <c r="AE107" i="9"/>
  <c r="AF107" i="9"/>
  <c r="AG107" i="9"/>
  <c r="AH107" i="9"/>
  <c r="AI107" i="9"/>
  <c r="AJ107" i="9"/>
  <c r="AK107" i="9"/>
  <c r="AL107" i="9"/>
  <c r="AM107" i="9"/>
  <c r="AN107" i="9"/>
  <c r="AO107" i="9"/>
  <c r="AP107" i="9"/>
  <c r="AQ107" i="9"/>
  <c r="AR107" i="9"/>
  <c r="AS107" i="9"/>
  <c r="AT107" i="9"/>
  <c r="AU107" i="9"/>
  <c r="AV107" i="9"/>
  <c r="AW107" i="9"/>
  <c r="AX107" i="9"/>
  <c r="AY107" i="9"/>
  <c r="AZ107" i="9"/>
  <c r="BA107" i="9"/>
  <c r="BB107" i="9"/>
  <c r="BC107" i="9"/>
  <c r="BD107" i="9"/>
  <c r="BE107" i="9"/>
  <c r="BF107" i="9"/>
  <c r="BG107" i="9"/>
  <c r="BH107" i="9"/>
  <c r="BI107" i="9"/>
  <c r="BJ107" i="9"/>
  <c r="BK107" i="9"/>
  <c r="BL107" i="9"/>
  <c r="BM107" i="9"/>
  <c r="BN107" i="9"/>
  <c r="BO107" i="9"/>
  <c r="BP107" i="9"/>
  <c r="BQ107" i="9"/>
  <c r="BR107" i="9"/>
  <c r="BS107" i="9"/>
  <c r="BT107" i="9"/>
  <c r="BU107" i="9"/>
  <c r="BV107" i="9"/>
  <c r="BW107" i="9"/>
  <c r="BX107" i="9"/>
  <c r="BY107" i="9"/>
  <c r="BZ107" i="9"/>
  <c r="CA107" i="9"/>
  <c r="CB107" i="9"/>
  <c r="CC107" i="9"/>
  <c r="CD107" i="9"/>
  <c r="CE107" i="9"/>
  <c r="CF107" i="9"/>
  <c r="CG107" i="9"/>
  <c r="CH107" i="9"/>
  <c r="CI107" i="9"/>
  <c r="CJ107" i="9"/>
  <c r="CK107" i="9"/>
  <c r="CL107" i="9"/>
  <c r="CM107" i="9"/>
  <c r="CN107" i="9"/>
  <c r="CO107" i="9"/>
  <c r="CP107" i="9"/>
  <c r="CQ107" i="9"/>
  <c r="CR107" i="9"/>
  <c r="CS107" i="9"/>
  <c r="CT107" i="9"/>
  <c r="CU107" i="9"/>
  <c r="CV107" i="9"/>
  <c r="CW107" i="9"/>
  <c r="CX107" i="9"/>
  <c r="CY107" i="9"/>
  <c r="CZ107" i="9"/>
  <c r="DA107" i="9"/>
  <c r="DB107" i="9"/>
  <c r="DC107" i="9"/>
  <c r="DD107" i="9"/>
  <c r="DE107" i="9"/>
  <c r="DF107" i="9"/>
  <c r="DG107" i="9"/>
  <c r="DH107" i="9"/>
  <c r="DI107" i="9"/>
  <c r="DJ107" i="9"/>
  <c r="DK107" i="9"/>
  <c r="DL107" i="9"/>
  <c r="DM107" i="9"/>
  <c r="DN107" i="9"/>
  <c r="DO107" i="9"/>
  <c r="DP107" i="9"/>
  <c r="DQ107" i="9"/>
  <c r="DR107" i="9"/>
  <c r="DS107" i="9"/>
  <c r="DT107" i="9"/>
  <c r="DU107" i="9"/>
  <c r="DV107" i="9"/>
  <c r="DW107" i="9"/>
  <c r="DX107" i="9"/>
  <c r="DY107" i="9"/>
  <c r="DZ107" i="9"/>
  <c r="EA107" i="9"/>
  <c r="EB107" i="9"/>
  <c r="EC107" i="9"/>
  <c r="ED107" i="9"/>
  <c r="EE107" i="9"/>
  <c r="EF107" i="9"/>
  <c r="EG107" i="9"/>
  <c r="EH107" i="9"/>
  <c r="EI107" i="9"/>
  <c r="EJ107" i="9"/>
  <c r="EK107" i="9"/>
  <c r="EL107" i="9"/>
  <c r="EM107" i="9"/>
  <c r="EN107" i="9"/>
  <c r="EO107" i="9"/>
  <c r="EP107" i="9"/>
  <c r="EQ107" i="9"/>
  <c r="ER107" i="9"/>
  <c r="ES107" i="9"/>
  <c r="ET107" i="9"/>
  <c r="EU107" i="9"/>
  <c r="EV107" i="9"/>
  <c r="EW107" i="9"/>
  <c r="EX107" i="9"/>
  <c r="EY107" i="9"/>
  <c r="EZ107" i="9"/>
  <c r="FA107" i="9"/>
  <c r="FB107" i="9"/>
  <c r="FC107" i="9"/>
  <c r="FD107" i="9"/>
  <c r="FE107" i="9"/>
  <c r="FF107" i="9"/>
  <c r="FG107" i="9"/>
  <c r="FH107" i="9"/>
  <c r="FI107" i="9"/>
  <c r="FJ107" i="9"/>
  <c r="FK107" i="9"/>
  <c r="FL107" i="9"/>
  <c r="FM107" i="9"/>
  <c r="FN107" i="9"/>
  <c r="FO107" i="9"/>
  <c r="FP107" i="9"/>
  <c r="FQ107" i="9"/>
  <c r="FR107" i="9"/>
  <c r="FS107" i="9"/>
  <c r="FT107" i="9"/>
  <c r="FU107" i="9"/>
  <c r="FV107" i="9"/>
  <c r="FW107" i="9"/>
  <c r="FX107" i="9"/>
  <c r="FY107" i="9"/>
  <c r="FZ107" i="9"/>
  <c r="GA107" i="9"/>
  <c r="GB107" i="9"/>
  <c r="GC107" i="9"/>
  <c r="GD107" i="9"/>
  <c r="GE107" i="9"/>
  <c r="GF107" i="9"/>
  <c r="GG107" i="9"/>
  <c r="GH107" i="9"/>
  <c r="GI107" i="9"/>
  <c r="GJ107" i="9"/>
  <c r="GK107" i="9"/>
  <c r="GL107" i="9"/>
  <c r="GM107" i="9"/>
  <c r="GN107" i="9"/>
  <c r="GO107" i="9"/>
  <c r="GP107" i="9"/>
  <c r="GQ107" i="9"/>
  <c r="GR107" i="9"/>
  <c r="GS107" i="9"/>
  <c r="GT107" i="9"/>
  <c r="GU107" i="9"/>
  <c r="GV107" i="9"/>
  <c r="GW107" i="9"/>
  <c r="GX107" i="9"/>
  <c r="GY107" i="9"/>
  <c r="GZ107" i="9"/>
  <c r="HA107" i="9"/>
  <c r="HB107" i="9"/>
  <c r="HC107" i="9"/>
  <c r="HD107" i="9"/>
  <c r="HE107" i="9"/>
  <c r="HF107" i="9"/>
  <c r="HG107" i="9"/>
  <c r="HH107" i="9"/>
  <c r="HI107" i="9"/>
  <c r="HJ107" i="9"/>
  <c r="HK107" i="9"/>
  <c r="HL107" i="9"/>
  <c r="HM107" i="9"/>
  <c r="HN107" i="9"/>
  <c r="HO107" i="9"/>
  <c r="HP107" i="9"/>
  <c r="HQ107" i="9"/>
  <c r="HR107" i="9"/>
  <c r="HS107" i="9"/>
  <c r="HT107" i="9"/>
  <c r="HU107" i="9"/>
  <c r="HV107" i="9"/>
  <c r="HW107" i="9"/>
  <c r="HX107" i="9"/>
  <c r="HY107" i="9"/>
  <c r="HZ107" i="9"/>
  <c r="IA107" i="9"/>
  <c r="IB107" i="9"/>
  <c r="IC107" i="9"/>
  <c r="ID107" i="9"/>
  <c r="IE107" i="9"/>
  <c r="IF107" i="9"/>
  <c r="IG107" i="9"/>
  <c r="IH107" i="9"/>
  <c r="II107" i="9"/>
  <c r="IJ107" i="9"/>
  <c r="IK107" i="9"/>
  <c r="IL107" i="9"/>
  <c r="IM107" i="9"/>
  <c r="IN107" i="9"/>
  <c r="IO107" i="9"/>
  <c r="IP107" i="9"/>
  <c r="IQ107" i="9"/>
  <c r="IR107" i="9"/>
  <c r="IS107" i="9"/>
  <c r="IT107" i="9"/>
  <c r="IU107" i="9"/>
  <c r="IV107" i="9"/>
  <c r="D106" i="9"/>
  <c r="E106" i="9"/>
  <c r="F106" i="9"/>
  <c r="G106" i="9"/>
  <c r="H106" i="9"/>
  <c r="I106" i="9"/>
  <c r="J106" i="9"/>
  <c r="K106" i="9"/>
  <c r="L106" i="9"/>
  <c r="M106" i="9"/>
  <c r="N106" i="9"/>
  <c r="O106" i="9"/>
  <c r="P106" i="9"/>
  <c r="Q106" i="9"/>
  <c r="R106" i="9"/>
  <c r="S106" i="9"/>
  <c r="T106" i="9"/>
  <c r="U106" i="9"/>
  <c r="V106" i="9"/>
  <c r="W106" i="9"/>
  <c r="X106" i="9"/>
  <c r="Y106" i="9"/>
  <c r="Z106" i="9"/>
  <c r="AA106" i="9"/>
  <c r="AD106" i="9"/>
  <c r="AE106" i="9"/>
  <c r="AF106" i="9"/>
  <c r="AG106" i="9"/>
  <c r="AH106" i="9"/>
  <c r="AI106" i="9"/>
  <c r="AJ106" i="9"/>
  <c r="AK106" i="9"/>
  <c r="AL106" i="9"/>
  <c r="AM106" i="9"/>
  <c r="AN106" i="9"/>
  <c r="AO106" i="9"/>
  <c r="AP106" i="9"/>
  <c r="AQ106" i="9"/>
  <c r="AR106" i="9"/>
  <c r="AS106" i="9"/>
  <c r="AT106" i="9"/>
  <c r="AU106" i="9"/>
  <c r="AV106" i="9"/>
  <c r="AW106" i="9"/>
  <c r="AX106" i="9"/>
  <c r="AY106" i="9"/>
  <c r="AZ106" i="9"/>
  <c r="BA106" i="9"/>
  <c r="BD106" i="9"/>
  <c r="BE106" i="9"/>
  <c r="BF106" i="9"/>
  <c r="BG106" i="9"/>
  <c r="BH106" i="9"/>
  <c r="BI106" i="9"/>
  <c r="BJ106" i="9"/>
  <c r="BK106" i="9"/>
  <c r="BL106" i="9"/>
  <c r="BM106" i="9"/>
  <c r="BN106" i="9"/>
  <c r="BO106" i="9"/>
  <c r="BP106" i="9"/>
  <c r="BQ106" i="9"/>
  <c r="BR106" i="9"/>
  <c r="BS106" i="9"/>
  <c r="BT106" i="9"/>
  <c r="BU106" i="9"/>
  <c r="BV106" i="9"/>
  <c r="BW106" i="9"/>
  <c r="BX106" i="9"/>
  <c r="BY106" i="9"/>
  <c r="BZ106" i="9"/>
  <c r="CA106" i="9"/>
  <c r="CD106" i="9"/>
  <c r="CE106" i="9"/>
  <c r="CF106" i="9"/>
  <c r="CG106" i="9"/>
  <c r="CH106" i="9"/>
  <c r="CI106" i="9"/>
  <c r="CJ106" i="9"/>
  <c r="CK106" i="9"/>
  <c r="CL106" i="9"/>
  <c r="CM106" i="9"/>
  <c r="CN106" i="9"/>
  <c r="CO106" i="9"/>
  <c r="CP106" i="9"/>
  <c r="CQ106" i="9"/>
  <c r="CR106" i="9"/>
  <c r="CS106" i="9"/>
  <c r="CT106" i="9"/>
  <c r="CU106" i="9"/>
  <c r="CV106" i="9"/>
  <c r="CW106" i="9"/>
  <c r="CX106" i="9"/>
  <c r="CY106" i="9"/>
  <c r="CZ106" i="9"/>
  <c r="DA106" i="9"/>
  <c r="DB106" i="9"/>
  <c r="DC106" i="9"/>
  <c r="DD106" i="9"/>
  <c r="DE106" i="9"/>
  <c r="DF106" i="9"/>
  <c r="DG106" i="9"/>
  <c r="DH106" i="9"/>
  <c r="DI106" i="9"/>
  <c r="DJ106" i="9"/>
  <c r="DK106" i="9"/>
  <c r="DL106" i="9"/>
  <c r="DM106" i="9"/>
  <c r="DN106" i="9"/>
  <c r="DO106" i="9"/>
  <c r="DP106" i="9"/>
  <c r="DQ106" i="9"/>
  <c r="DR106" i="9"/>
  <c r="DS106" i="9"/>
  <c r="DT106" i="9"/>
  <c r="DU106" i="9"/>
  <c r="DV106" i="9"/>
  <c r="DW106" i="9"/>
  <c r="DX106" i="9"/>
  <c r="DY106" i="9"/>
  <c r="DZ106" i="9"/>
  <c r="EA106" i="9"/>
  <c r="EB106" i="9"/>
  <c r="EC106" i="9"/>
  <c r="ED106" i="9"/>
  <c r="EE106" i="9"/>
  <c r="EF106" i="9"/>
  <c r="EG106" i="9"/>
  <c r="EH106" i="9"/>
  <c r="EI106" i="9"/>
  <c r="EJ106" i="9"/>
  <c r="EK106" i="9"/>
  <c r="EL106" i="9"/>
  <c r="EM106" i="9"/>
  <c r="EN106" i="9"/>
  <c r="EO106" i="9"/>
  <c r="EP106" i="9"/>
  <c r="EQ106" i="9"/>
  <c r="ER106" i="9"/>
  <c r="ES106" i="9"/>
  <c r="ET106" i="9"/>
  <c r="EU106" i="9"/>
  <c r="EV106" i="9"/>
  <c r="EW106" i="9"/>
  <c r="EX106" i="9"/>
  <c r="EY106" i="9"/>
  <c r="EZ106" i="9"/>
  <c r="FA106" i="9"/>
  <c r="FB106" i="9"/>
  <c r="FC106" i="9"/>
  <c r="FD106" i="9"/>
  <c r="FE106" i="9"/>
  <c r="FF106" i="9"/>
  <c r="FG106" i="9"/>
  <c r="FH106" i="9"/>
  <c r="FI106" i="9"/>
  <c r="FJ106" i="9"/>
  <c r="FK106" i="9"/>
  <c r="FL106" i="9"/>
  <c r="FM106" i="9"/>
  <c r="FN106" i="9"/>
  <c r="FO106" i="9"/>
  <c r="FP106" i="9"/>
  <c r="FQ106" i="9"/>
  <c r="FR106" i="9"/>
  <c r="FS106" i="9"/>
  <c r="FT106" i="9"/>
  <c r="FU106" i="9"/>
  <c r="FV106" i="9"/>
  <c r="FW106" i="9"/>
  <c r="FX106" i="9"/>
  <c r="FY106" i="9"/>
  <c r="FZ106" i="9"/>
  <c r="GA106" i="9"/>
  <c r="GB106" i="9"/>
  <c r="GC106" i="9"/>
  <c r="GD106" i="9"/>
  <c r="GE106" i="9"/>
  <c r="GF106" i="9"/>
  <c r="GG106" i="9"/>
  <c r="GH106" i="9"/>
  <c r="GI106" i="9"/>
  <c r="GJ106" i="9"/>
  <c r="GK106" i="9"/>
  <c r="GL106" i="9"/>
  <c r="GM106" i="9"/>
  <c r="GN106" i="9"/>
  <c r="GO106" i="9"/>
  <c r="GP106" i="9"/>
  <c r="GQ106" i="9"/>
  <c r="GR106" i="9"/>
  <c r="GS106" i="9"/>
  <c r="GT106" i="9"/>
  <c r="GU106" i="9"/>
  <c r="GV106" i="9"/>
  <c r="GW106" i="9"/>
  <c r="GX106" i="9"/>
  <c r="GY106" i="9"/>
  <c r="GZ106" i="9"/>
  <c r="HA106" i="9"/>
  <c r="HB106" i="9"/>
  <c r="HC106" i="9"/>
  <c r="HD106" i="9"/>
  <c r="HE106" i="9"/>
  <c r="HF106" i="9"/>
  <c r="HG106" i="9"/>
  <c r="HH106" i="9"/>
  <c r="HI106" i="9"/>
  <c r="HJ106" i="9"/>
  <c r="HK106" i="9"/>
  <c r="HL106" i="9"/>
  <c r="HM106" i="9"/>
  <c r="HN106" i="9"/>
  <c r="HO106" i="9"/>
  <c r="HP106" i="9"/>
  <c r="HQ106" i="9"/>
  <c r="HR106" i="9"/>
  <c r="HS106" i="9"/>
  <c r="HT106" i="9"/>
  <c r="HU106" i="9"/>
  <c r="HV106" i="9"/>
  <c r="HW106" i="9"/>
  <c r="HX106" i="9"/>
  <c r="HY106" i="9"/>
  <c r="HZ106" i="9"/>
  <c r="IA106" i="9"/>
  <c r="IB106" i="9"/>
  <c r="IC106" i="9"/>
  <c r="ID106" i="9"/>
  <c r="IE106" i="9"/>
  <c r="IF106" i="9"/>
  <c r="IG106" i="9"/>
  <c r="IH106" i="9"/>
  <c r="II106" i="9"/>
  <c r="IJ106" i="9"/>
  <c r="IK106" i="9"/>
  <c r="IL106" i="9"/>
  <c r="IM106" i="9"/>
  <c r="IN106" i="9"/>
  <c r="IO106" i="9"/>
  <c r="IP106" i="9"/>
  <c r="IQ106" i="9"/>
  <c r="IR106" i="9"/>
  <c r="IS106" i="9"/>
  <c r="IT106" i="9"/>
  <c r="IU106" i="9"/>
  <c r="IV106" i="9"/>
  <c r="A105" i="9"/>
  <c r="B105" i="9"/>
  <c r="C105" i="9"/>
  <c r="D105" i="9"/>
  <c r="E105" i="9"/>
  <c r="F105" i="9"/>
  <c r="G105" i="9"/>
  <c r="H105" i="9"/>
  <c r="I105" i="9"/>
  <c r="J105" i="9"/>
  <c r="K105" i="9"/>
  <c r="L105" i="9"/>
  <c r="M105" i="9"/>
  <c r="N105" i="9"/>
  <c r="O105" i="9"/>
  <c r="P105" i="9"/>
  <c r="Q105" i="9"/>
  <c r="R105" i="9"/>
  <c r="S105" i="9"/>
  <c r="T105" i="9"/>
  <c r="U105" i="9"/>
  <c r="V105" i="9"/>
  <c r="W105" i="9"/>
  <c r="X105" i="9"/>
  <c r="Y105" i="9"/>
  <c r="Z105" i="9"/>
  <c r="AA105" i="9"/>
  <c r="AB105" i="9"/>
  <c r="AC105" i="9"/>
  <c r="AD105" i="9"/>
  <c r="AE105" i="9"/>
  <c r="AF105" i="9"/>
  <c r="AG105" i="9"/>
  <c r="AH105" i="9"/>
  <c r="AI105" i="9"/>
  <c r="AJ105" i="9"/>
  <c r="AK105" i="9"/>
  <c r="AL105" i="9"/>
  <c r="AM105" i="9"/>
  <c r="AN105" i="9"/>
  <c r="AO105" i="9"/>
  <c r="AP105" i="9"/>
  <c r="AQ105" i="9"/>
  <c r="AR105" i="9"/>
  <c r="AS105" i="9"/>
  <c r="AT105" i="9"/>
  <c r="AU105" i="9"/>
  <c r="AV105" i="9"/>
  <c r="AW105" i="9"/>
  <c r="AX105" i="9"/>
  <c r="AY105" i="9"/>
  <c r="AZ105" i="9"/>
  <c r="BA105" i="9"/>
  <c r="BB105" i="9"/>
  <c r="BC105" i="9"/>
  <c r="BD105" i="9"/>
  <c r="BE105" i="9"/>
  <c r="BF105" i="9"/>
  <c r="BG105" i="9"/>
  <c r="BH105" i="9"/>
  <c r="BI105" i="9"/>
  <c r="BJ105" i="9"/>
  <c r="BK105" i="9"/>
  <c r="BL105" i="9"/>
  <c r="BM105" i="9"/>
  <c r="BN105" i="9"/>
  <c r="BO105" i="9"/>
  <c r="BP105" i="9"/>
  <c r="BQ105" i="9"/>
  <c r="BR105" i="9"/>
  <c r="BS105" i="9"/>
  <c r="BT105" i="9"/>
  <c r="BU105" i="9"/>
  <c r="BV105" i="9"/>
  <c r="BW105" i="9"/>
  <c r="BX105" i="9"/>
  <c r="BY105" i="9"/>
  <c r="BZ105" i="9"/>
  <c r="CA105" i="9"/>
  <c r="CB105" i="9"/>
  <c r="CC105" i="9"/>
  <c r="CD105" i="9"/>
  <c r="CE105" i="9"/>
  <c r="CF105" i="9"/>
  <c r="CG105" i="9"/>
  <c r="CH105" i="9"/>
  <c r="CI105" i="9"/>
  <c r="CJ105" i="9"/>
  <c r="CK105" i="9"/>
  <c r="CL105" i="9"/>
  <c r="CM105" i="9"/>
  <c r="CN105" i="9"/>
  <c r="CO105" i="9"/>
  <c r="CP105" i="9"/>
  <c r="CQ105" i="9"/>
  <c r="CR105" i="9"/>
  <c r="CS105" i="9"/>
  <c r="CT105" i="9"/>
  <c r="CU105" i="9"/>
  <c r="CV105" i="9"/>
  <c r="CW105" i="9"/>
  <c r="CX105" i="9"/>
  <c r="CY105" i="9"/>
  <c r="CZ105" i="9"/>
  <c r="DA105" i="9"/>
  <c r="DB105" i="9"/>
  <c r="DC105" i="9"/>
  <c r="DD105" i="9"/>
  <c r="DE105" i="9"/>
  <c r="DF105" i="9"/>
  <c r="DG105" i="9"/>
  <c r="DH105" i="9"/>
  <c r="DI105" i="9"/>
  <c r="DJ105" i="9"/>
  <c r="DK105" i="9"/>
  <c r="DL105" i="9"/>
  <c r="DM105" i="9"/>
  <c r="DN105" i="9"/>
  <c r="DO105" i="9"/>
  <c r="DP105" i="9"/>
  <c r="DQ105" i="9"/>
  <c r="DR105" i="9"/>
  <c r="DS105" i="9"/>
  <c r="DT105" i="9"/>
  <c r="DU105" i="9"/>
  <c r="DV105" i="9"/>
  <c r="DW105" i="9"/>
  <c r="DX105" i="9"/>
  <c r="DY105" i="9"/>
  <c r="DZ105" i="9"/>
  <c r="EA105" i="9"/>
  <c r="EB105" i="9"/>
  <c r="EC105" i="9"/>
  <c r="ED105" i="9"/>
  <c r="EE105" i="9"/>
  <c r="EF105" i="9"/>
  <c r="EG105" i="9"/>
  <c r="EH105" i="9"/>
  <c r="EI105" i="9"/>
  <c r="EJ105" i="9"/>
  <c r="EK105" i="9"/>
  <c r="EL105" i="9"/>
  <c r="EM105" i="9"/>
  <c r="EN105" i="9"/>
  <c r="EO105" i="9"/>
  <c r="EP105" i="9"/>
  <c r="EQ105" i="9"/>
  <c r="ER105" i="9"/>
  <c r="ES105" i="9"/>
  <c r="ET105" i="9"/>
  <c r="EU105" i="9"/>
  <c r="EV105" i="9"/>
  <c r="EW105" i="9"/>
  <c r="EX105" i="9"/>
  <c r="EY105" i="9"/>
  <c r="EZ105" i="9"/>
  <c r="FA105" i="9"/>
  <c r="FB105" i="9"/>
  <c r="FC105" i="9"/>
  <c r="FD105" i="9"/>
  <c r="FE105" i="9"/>
  <c r="FF105" i="9"/>
  <c r="FG105" i="9"/>
  <c r="FH105" i="9"/>
  <c r="FI105" i="9"/>
  <c r="FJ105" i="9"/>
  <c r="FK105" i="9"/>
  <c r="FL105" i="9"/>
  <c r="FM105" i="9"/>
  <c r="FN105" i="9"/>
  <c r="FO105" i="9"/>
  <c r="FP105" i="9"/>
  <c r="FQ105" i="9"/>
  <c r="FR105" i="9"/>
  <c r="FS105" i="9"/>
  <c r="FT105" i="9"/>
  <c r="FU105" i="9"/>
  <c r="FV105" i="9"/>
  <c r="FW105" i="9"/>
  <c r="FX105" i="9"/>
  <c r="FY105" i="9"/>
  <c r="FZ105" i="9"/>
  <c r="GA105" i="9"/>
  <c r="GB105" i="9"/>
  <c r="GC105" i="9"/>
  <c r="GD105" i="9"/>
  <c r="GE105" i="9"/>
  <c r="GF105" i="9"/>
  <c r="GG105" i="9"/>
  <c r="GH105" i="9"/>
  <c r="GI105" i="9"/>
  <c r="GJ105" i="9"/>
  <c r="GK105" i="9"/>
  <c r="GL105" i="9"/>
  <c r="GM105" i="9"/>
  <c r="GN105" i="9"/>
  <c r="GO105" i="9"/>
  <c r="GP105" i="9"/>
  <c r="GQ105" i="9"/>
  <c r="GR105" i="9"/>
  <c r="GS105" i="9"/>
  <c r="GT105" i="9"/>
  <c r="GU105" i="9"/>
  <c r="GV105" i="9"/>
  <c r="GW105" i="9"/>
  <c r="GZ105" i="9"/>
  <c r="HA105" i="9"/>
  <c r="HB105" i="9"/>
  <c r="HC105" i="9"/>
  <c r="HD105" i="9"/>
  <c r="HE105" i="9"/>
  <c r="HF105" i="9"/>
  <c r="HG105" i="9"/>
  <c r="HH105" i="9"/>
  <c r="HI105" i="9"/>
  <c r="HJ105" i="9"/>
  <c r="HK105" i="9"/>
  <c r="HL105" i="9"/>
  <c r="HM105" i="9"/>
  <c r="HN105" i="9"/>
  <c r="HO105" i="9"/>
  <c r="HP105" i="9"/>
  <c r="HQ105" i="9"/>
  <c r="HR105" i="9"/>
  <c r="HS105" i="9"/>
  <c r="HT105" i="9"/>
  <c r="HU105" i="9"/>
  <c r="HV105" i="9"/>
  <c r="HW105" i="9"/>
  <c r="HY105" i="9"/>
  <c r="HZ105" i="9"/>
  <c r="IA105" i="9"/>
  <c r="IB105" i="9"/>
  <c r="IC105" i="9"/>
  <c r="ID105" i="9"/>
  <c r="IE105" i="9"/>
  <c r="IF105" i="9"/>
  <c r="IG105" i="9"/>
  <c r="IH105" i="9"/>
  <c r="II105" i="9"/>
  <c r="IJ105" i="9"/>
  <c r="IK105" i="9"/>
  <c r="IL105" i="9"/>
  <c r="IM105" i="9"/>
  <c r="IN105" i="9"/>
  <c r="IO105" i="9"/>
  <c r="IP105" i="9"/>
  <c r="IQ105" i="9"/>
  <c r="IR105" i="9"/>
  <c r="IS105" i="9"/>
  <c r="IT105" i="9"/>
  <c r="IU105" i="9"/>
  <c r="IV105" i="9"/>
  <c r="A104" i="9"/>
  <c r="B104" i="9"/>
  <c r="C104" i="9"/>
  <c r="D104" i="9"/>
  <c r="E104" i="9"/>
  <c r="F104" i="9"/>
  <c r="G104" i="9"/>
  <c r="H104" i="9"/>
  <c r="I104" i="9"/>
  <c r="J104" i="9"/>
  <c r="K104" i="9"/>
  <c r="L104" i="9"/>
  <c r="M104" i="9"/>
  <c r="N104" i="9"/>
  <c r="O104" i="9"/>
  <c r="P104" i="9"/>
  <c r="Q104" i="9"/>
  <c r="R104" i="9"/>
  <c r="S104" i="9"/>
  <c r="T104" i="9"/>
  <c r="U104" i="9"/>
  <c r="V104" i="9"/>
  <c r="W104" i="9"/>
  <c r="X104" i="9"/>
  <c r="Y104" i="9"/>
  <c r="Z104" i="9"/>
  <c r="AA104" i="9"/>
  <c r="AB104" i="9"/>
  <c r="AC104" i="9"/>
  <c r="AD104" i="9"/>
  <c r="AE104" i="9"/>
  <c r="AF104" i="9"/>
  <c r="AG104" i="9"/>
  <c r="AH104" i="9"/>
  <c r="AI104" i="9"/>
  <c r="AJ104" i="9"/>
  <c r="AK104" i="9"/>
  <c r="AL104" i="9"/>
  <c r="AM104" i="9"/>
  <c r="AN104" i="9"/>
  <c r="AO104" i="9"/>
  <c r="AP104" i="9"/>
  <c r="AQ104" i="9"/>
  <c r="AR104" i="9"/>
  <c r="AS104" i="9"/>
  <c r="AT104" i="9"/>
  <c r="AU104" i="9"/>
  <c r="AV104" i="9"/>
  <c r="AW104" i="9"/>
  <c r="AX104" i="9"/>
  <c r="AY104" i="9"/>
  <c r="AZ104" i="9"/>
  <c r="BA104" i="9"/>
  <c r="BB104" i="9"/>
  <c r="BC104" i="9"/>
  <c r="BD104" i="9"/>
  <c r="BE104" i="9"/>
  <c r="BF104" i="9"/>
  <c r="BG104" i="9"/>
  <c r="BH104" i="9"/>
  <c r="BI104" i="9"/>
  <c r="BJ104" i="9"/>
  <c r="BK104" i="9"/>
  <c r="BL104" i="9"/>
  <c r="BM104" i="9"/>
  <c r="BN104" i="9"/>
  <c r="BO104" i="9"/>
  <c r="BP104" i="9"/>
  <c r="BQ104" i="9"/>
  <c r="BR104" i="9"/>
  <c r="BS104" i="9"/>
  <c r="BT104" i="9"/>
  <c r="BU104" i="9"/>
  <c r="BV104" i="9"/>
  <c r="BW104" i="9"/>
  <c r="BX104" i="9"/>
  <c r="BY104" i="9"/>
  <c r="BZ104" i="9"/>
  <c r="CA104" i="9"/>
  <c r="CB104" i="9"/>
  <c r="CC104" i="9"/>
  <c r="CD104" i="9"/>
  <c r="CE104" i="9"/>
  <c r="CF104" i="9"/>
  <c r="CG104" i="9"/>
  <c r="CH104" i="9"/>
  <c r="CI104" i="9"/>
  <c r="CJ104" i="9"/>
  <c r="CK104" i="9"/>
  <c r="CL104" i="9"/>
  <c r="CM104" i="9"/>
  <c r="CN104" i="9"/>
  <c r="CO104" i="9"/>
  <c r="CP104" i="9"/>
  <c r="CQ104" i="9"/>
  <c r="CR104" i="9"/>
  <c r="CS104" i="9"/>
  <c r="CT104" i="9"/>
  <c r="CU104" i="9"/>
  <c r="CV104" i="9"/>
  <c r="CW104" i="9"/>
  <c r="CX104" i="9"/>
  <c r="CY104" i="9"/>
  <c r="CZ104" i="9"/>
  <c r="DA104" i="9"/>
  <c r="DB104" i="9"/>
  <c r="DC104" i="9"/>
  <c r="DD104" i="9"/>
  <c r="DE104" i="9"/>
  <c r="DF104" i="9"/>
  <c r="DG104" i="9"/>
  <c r="DH104" i="9"/>
  <c r="DI104" i="9"/>
  <c r="DJ104" i="9"/>
  <c r="DK104" i="9"/>
  <c r="DL104" i="9"/>
  <c r="DM104" i="9"/>
  <c r="DN104" i="9"/>
  <c r="DO104" i="9"/>
  <c r="DP104" i="9"/>
  <c r="DQ104" i="9"/>
  <c r="DR104" i="9"/>
  <c r="DS104" i="9"/>
  <c r="DT104" i="9"/>
  <c r="DU104" i="9"/>
  <c r="DV104" i="9"/>
  <c r="DW104" i="9"/>
  <c r="DX104" i="9"/>
  <c r="DY104" i="9"/>
  <c r="DZ104" i="9"/>
  <c r="EA104" i="9"/>
  <c r="EB104" i="9"/>
  <c r="EC104" i="9"/>
  <c r="ED104" i="9"/>
  <c r="EE104" i="9"/>
  <c r="EF104" i="9"/>
  <c r="EG104" i="9"/>
  <c r="EH104" i="9"/>
  <c r="EI104" i="9"/>
  <c r="EJ104" i="9"/>
  <c r="EK104" i="9"/>
  <c r="EL104" i="9"/>
  <c r="EM104" i="9"/>
  <c r="EN104" i="9"/>
  <c r="EO104" i="9"/>
  <c r="EP104" i="9"/>
  <c r="EQ104" i="9"/>
  <c r="ER104" i="9"/>
  <c r="ES104" i="9"/>
  <c r="ET104" i="9"/>
  <c r="EU104" i="9"/>
  <c r="EV104" i="9"/>
  <c r="EW104" i="9"/>
  <c r="EX104" i="9"/>
  <c r="EY104" i="9"/>
  <c r="EZ104" i="9"/>
  <c r="FA104" i="9"/>
  <c r="FB104" i="9"/>
  <c r="FC104" i="9"/>
  <c r="FD104" i="9"/>
  <c r="FE104" i="9"/>
  <c r="FF104" i="9"/>
  <c r="FG104" i="9"/>
  <c r="FH104" i="9"/>
  <c r="FI104" i="9"/>
  <c r="FJ104" i="9"/>
  <c r="FK104" i="9"/>
  <c r="FL104" i="9"/>
  <c r="FM104" i="9"/>
  <c r="FN104" i="9"/>
  <c r="FO104" i="9"/>
  <c r="FP104" i="9"/>
  <c r="FQ104" i="9"/>
  <c r="FR104" i="9"/>
  <c r="FS104" i="9"/>
  <c r="FT104" i="9"/>
  <c r="FU104" i="9"/>
  <c r="FV104" i="9"/>
  <c r="FW104" i="9"/>
  <c r="FX104" i="9"/>
  <c r="FY104" i="9"/>
  <c r="FZ104" i="9"/>
  <c r="GA104" i="9"/>
  <c r="GB104" i="9"/>
  <c r="GC104" i="9"/>
  <c r="GD104" i="9"/>
  <c r="GE104" i="9"/>
  <c r="GF104" i="9"/>
  <c r="GG104" i="9"/>
  <c r="GH104" i="9"/>
  <c r="GI104" i="9"/>
  <c r="GJ104" i="9"/>
  <c r="GK104" i="9"/>
  <c r="GL104" i="9"/>
  <c r="GM104" i="9"/>
  <c r="GN104" i="9"/>
  <c r="GO104" i="9"/>
  <c r="GP104" i="9"/>
  <c r="GQ104" i="9"/>
  <c r="GR104" i="9"/>
  <c r="GS104" i="9"/>
  <c r="GT104" i="9"/>
  <c r="GU104" i="9"/>
  <c r="GV104" i="9"/>
  <c r="GW104" i="9"/>
  <c r="GX104" i="9"/>
  <c r="GY104" i="9"/>
  <c r="GZ104" i="9"/>
  <c r="HA104" i="9"/>
  <c r="HB104" i="9"/>
  <c r="HC104" i="9"/>
  <c r="HD104" i="9"/>
  <c r="HE104" i="9"/>
  <c r="HF104" i="9"/>
  <c r="HG104" i="9"/>
  <c r="HH104" i="9"/>
  <c r="HI104" i="9"/>
  <c r="HJ104" i="9"/>
  <c r="HK104" i="9"/>
  <c r="HL104" i="9"/>
  <c r="HM104" i="9"/>
  <c r="HN104" i="9"/>
  <c r="HO104" i="9"/>
  <c r="HP104" i="9"/>
  <c r="HQ104" i="9"/>
  <c r="HR104" i="9"/>
  <c r="HS104" i="9"/>
  <c r="HT104" i="9"/>
  <c r="HU104" i="9"/>
  <c r="HV104" i="9"/>
  <c r="HW104" i="9"/>
  <c r="HX104" i="9"/>
  <c r="HY104" i="9"/>
  <c r="HZ104" i="9"/>
  <c r="IA104" i="9"/>
  <c r="IB104" i="9"/>
  <c r="IC104" i="9"/>
  <c r="ID104" i="9"/>
  <c r="IE104" i="9"/>
  <c r="IF104" i="9"/>
  <c r="IG104" i="9"/>
  <c r="IH104" i="9"/>
  <c r="II104" i="9"/>
  <c r="IJ104" i="9"/>
  <c r="IK104" i="9"/>
  <c r="IL104" i="9"/>
  <c r="IM104" i="9"/>
  <c r="IN104" i="9"/>
  <c r="IO104" i="9"/>
  <c r="IP104" i="9"/>
  <c r="IQ104" i="9"/>
  <c r="IR104" i="9"/>
  <c r="IS104" i="9"/>
  <c r="IT104" i="9"/>
  <c r="IU104" i="9"/>
  <c r="IV104" i="9"/>
  <c r="K103" i="9"/>
  <c r="L103" i="9"/>
  <c r="M103" i="9"/>
  <c r="N103" i="9"/>
  <c r="O103" i="9"/>
  <c r="P103" i="9"/>
  <c r="Q103" i="9"/>
  <c r="R103" i="9"/>
  <c r="S103" i="9"/>
  <c r="T103" i="9"/>
  <c r="U103" i="9"/>
  <c r="V103" i="9"/>
  <c r="W103" i="9"/>
  <c r="X103" i="9"/>
  <c r="Y103" i="9"/>
  <c r="Z103" i="9"/>
  <c r="AA103" i="9"/>
  <c r="AB103" i="9"/>
  <c r="AC103" i="9"/>
  <c r="AD103" i="9"/>
  <c r="AE103" i="9"/>
  <c r="AF103" i="9"/>
  <c r="AG103" i="9"/>
  <c r="AH103" i="9"/>
  <c r="AI103" i="9"/>
  <c r="AJ103" i="9"/>
  <c r="AK103" i="9"/>
  <c r="AL103" i="9"/>
  <c r="AM103" i="9"/>
  <c r="AN103" i="9"/>
  <c r="AO103" i="9"/>
  <c r="AP103" i="9"/>
  <c r="AQ103" i="9"/>
  <c r="AR103" i="9"/>
  <c r="AS103" i="9"/>
  <c r="AT103" i="9"/>
  <c r="AU103" i="9"/>
  <c r="AV103" i="9"/>
  <c r="AW103" i="9"/>
  <c r="AX103" i="9"/>
  <c r="AY103" i="9"/>
  <c r="AZ103" i="9"/>
  <c r="BA103" i="9"/>
  <c r="BB103" i="9"/>
  <c r="BC103" i="9"/>
  <c r="BD103" i="9"/>
  <c r="BE103" i="9"/>
  <c r="BF103" i="9"/>
  <c r="BG103" i="9"/>
  <c r="BH103" i="9"/>
  <c r="BJ103" i="9"/>
  <c r="BK103" i="9"/>
  <c r="BL103" i="9"/>
  <c r="BM103" i="9"/>
  <c r="BN103" i="9"/>
  <c r="BO103" i="9"/>
  <c r="BP103" i="9"/>
  <c r="BQ103" i="9"/>
  <c r="BR103" i="9"/>
  <c r="BS103" i="9"/>
  <c r="BT103" i="9"/>
  <c r="BU103" i="9"/>
  <c r="BV103" i="9"/>
  <c r="BW103" i="9"/>
  <c r="BX103" i="9"/>
  <c r="BY103" i="9"/>
  <c r="BZ103" i="9"/>
  <c r="CA103" i="9"/>
  <c r="CB103" i="9"/>
  <c r="CC103" i="9"/>
  <c r="CD103" i="9"/>
  <c r="CE103" i="9"/>
  <c r="CF103" i="9"/>
  <c r="CG103" i="9"/>
  <c r="CH103" i="9"/>
  <c r="CI103" i="9"/>
  <c r="CJ103" i="9"/>
  <c r="CK103" i="9"/>
  <c r="CL103" i="9"/>
  <c r="CM103" i="9"/>
  <c r="CN103" i="9"/>
  <c r="CO103" i="9"/>
  <c r="CP103" i="9"/>
  <c r="CQ103" i="9"/>
  <c r="CR103" i="9"/>
  <c r="CS103" i="9"/>
  <c r="CT103" i="9"/>
  <c r="CU103" i="9"/>
  <c r="CV103" i="9"/>
  <c r="CW103" i="9"/>
  <c r="CX103" i="9"/>
  <c r="CY103" i="9"/>
  <c r="CZ103" i="9"/>
  <c r="DA103" i="9"/>
  <c r="DB103" i="9"/>
  <c r="DC103" i="9"/>
  <c r="DD103" i="9"/>
  <c r="DE103" i="9"/>
  <c r="DF103" i="9"/>
  <c r="DG103" i="9"/>
  <c r="DH103" i="9"/>
  <c r="DI103" i="9"/>
  <c r="DJ103" i="9"/>
  <c r="DK103" i="9"/>
  <c r="DL103" i="9"/>
  <c r="DM103" i="9"/>
  <c r="DN103" i="9"/>
  <c r="DO103" i="9"/>
  <c r="DP103" i="9"/>
  <c r="DQ103" i="9"/>
  <c r="DR103" i="9"/>
  <c r="DS103" i="9"/>
  <c r="DT103" i="9"/>
  <c r="DU103" i="9"/>
  <c r="DV103" i="9"/>
  <c r="DW103" i="9"/>
  <c r="DX103" i="9"/>
  <c r="DY103" i="9"/>
  <c r="DZ103" i="9"/>
  <c r="EA103" i="9"/>
  <c r="EB103" i="9"/>
  <c r="EC103" i="9"/>
  <c r="ED103" i="9"/>
  <c r="EE103" i="9"/>
  <c r="EF103" i="9"/>
  <c r="EG103" i="9"/>
  <c r="EH103" i="9"/>
  <c r="EI103" i="9"/>
  <c r="EJ103" i="9"/>
  <c r="EK103" i="9"/>
  <c r="EL103" i="9"/>
  <c r="EM103" i="9"/>
  <c r="EN103" i="9"/>
  <c r="EO103" i="9"/>
  <c r="EP103" i="9"/>
  <c r="EQ103" i="9"/>
  <c r="ER103" i="9"/>
  <c r="ES103" i="9"/>
  <c r="ET103" i="9"/>
  <c r="EU103" i="9"/>
  <c r="EV103" i="9"/>
  <c r="EW103" i="9"/>
  <c r="EX103" i="9"/>
  <c r="EY103" i="9"/>
  <c r="EZ103" i="9"/>
  <c r="FA103" i="9"/>
  <c r="FB103" i="9"/>
  <c r="FC103" i="9"/>
  <c r="FD103" i="9"/>
  <c r="FE103" i="9"/>
  <c r="FF103" i="9"/>
  <c r="FG103" i="9"/>
  <c r="FH103" i="9"/>
  <c r="FI103" i="9"/>
  <c r="FJ103" i="9"/>
  <c r="FK103" i="9"/>
  <c r="FL103" i="9"/>
  <c r="FM103" i="9"/>
  <c r="FN103" i="9"/>
  <c r="FO103" i="9"/>
  <c r="FP103" i="9"/>
  <c r="FQ103" i="9"/>
  <c r="FR103" i="9"/>
  <c r="FS103" i="9"/>
  <c r="FT103" i="9"/>
  <c r="FU103" i="9"/>
  <c r="FV103" i="9"/>
  <c r="FW103" i="9"/>
  <c r="FX103" i="9"/>
  <c r="FY103" i="9"/>
  <c r="FZ103" i="9"/>
  <c r="GA103" i="9"/>
  <c r="GB103" i="9"/>
  <c r="GC103" i="9"/>
  <c r="GD103" i="9"/>
  <c r="GE103" i="9"/>
  <c r="GF103" i="9"/>
  <c r="GG103" i="9"/>
  <c r="GH103" i="9"/>
  <c r="GI103" i="9"/>
  <c r="GJ103" i="9"/>
  <c r="GK103" i="9"/>
  <c r="GL103" i="9"/>
  <c r="GM103" i="9"/>
  <c r="GN103" i="9"/>
  <c r="GO103" i="9"/>
  <c r="GP103" i="9"/>
  <c r="GQ103" i="9"/>
  <c r="GR103" i="9"/>
  <c r="GS103" i="9"/>
  <c r="GT103" i="9"/>
  <c r="GU103" i="9"/>
  <c r="GV103" i="9"/>
  <c r="GW103" i="9"/>
  <c r="GX103" i="9"/>
  <c r="GY103" i="9"/>
  <c r="GZ103" i="9"/>
  <c r="HA103" i="9"/>
  <c r="HB103" i="9"/>
  <c r="HC103" i="9"/>
  <c r="HD103" i="9"/>
  <c r="HE103" i="9"/>
  <c r="HF103" i="9"/>
  <c r="HG103" i="9"/>
  <c r="HH103" i="9"/>
  <c r="HI103" i="9"/>
  <c r="HJ103" i="9"/>
  <c r="HK103" i="9"/>
  <c r="HL103" i="9"/>
  <c r="HM103" i="9"/>
  <c r="HN103" i="9"/>
  <c r="HO103" i="9"/>
  <c r="HP103" i="9"/>
  <c r="HQ103" i="9"/>
  <c r="HR103" i="9"/>
  <c r="HS103" i="9"/>
  <c r="HT103" i="9"/>
  <c r="HU103" i="9"/>
  <c r="HV103" i="9"/>
  <c r="HW103" i="9"/>
  <c r="HX103" i="9"/>
  <c r="HY103" i="9"/>
  <c r="HZ103" i="9"/>
  <c r="IA103" i="9"/>
  <c r="IB103" i="9"/>
  <c r="IC103" i="9"/>
  <c r="ID103" i="9"/>
  <c r="IE103" i="9"/>
  <c r="IF103" i="9"/>
  <c r="IG103" i="9"/>
  <c r="IH103" i="9"/>
  <c r="II103" i="9"/>
  <c r="IJ103" i="9"/>
  <c r="IK103" i="9"/>
  <c r="IL103" i="9"/>
  <c r="IM103" i="9"/>
  <c r="IN103" i="9"/>
  <c r="IO103" i="9"/>
  <c r="IP103" i="9"/>
  <c r="IQ103" i="9"/>
  <c r="IR103" i="9"/>
  <c r="IS103" i="9"/>
  <c r="IT103" i="9"/>
  <c r="IU103" i="9"/>
  <c r="IV103" i="9"/>
  <c r="AI183" i="9"/>
  <c r="Z186" i="9"/>
  <c r="U2" i="18"/>
  <c r="BI103" i="9" s="1"/>
  <c r="F205" i="9"/>
  <c r="F185" i="9"/>
  <c r="O182" i="9"/>
  <c r="EC181" i="9"/>
  <c r="DI180" i="9"/>
  <c r="BW185" i="9"/>
  <c r="BL181" i="9"/>
  <c r="X202" i="9"/>
  <c r="AR180" i="9"/>
  <c r="A72" i="9"/>
  <c r="A71" i="9"/>
  <c r="B71" i="9"/>
  <c r="C71" i="9"/>
  <c r="D71" i="9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X71" i="9"/>
  <c r="Y71" i="9"/>
  <c r="Z71" i="9"/>
  <c r="AA71" i="9"/>
  <c r="AB71" i="9"/>
  <c r="AC71" i="9"/>
  <c r="AD71" i="9"/>
  <c r="AE71" i="9"/>
  <c r="AF71" i="9"/>
  <c r="AG71" i="9"/>
  <c r="AH71" i="9"/>
  <c r="AI71" i="9"/>
  <c r="AJ71" i="9"/>
  <c r="AK71" i="9"/>
  <c r="AL71" i="9"/>
  <c r="AM71" i="9"/>
  <c r="AN71" i="9"/>
  <c r="AO71" i="9"/>
  <c r="AP71" i="9"/>
  <c r="AQ71" i="9"/>
  <c r="AR71" i="9"/>
  <c r="AS71" i="9"/>
  <c r="AT71" i="9"/>
  <c r="AU71" i="9"/>
  <c r="AV71" i="9"/>
  <c r="AW71" i="9"/>
  <c r="AX71" i="9"/>
  <c r="AY71" i="9"/>
  <c r="AZ71" i="9"/>
  <c r="BA71" i="9"/>
  <c r="BB71" i="9"/>
  <c r="BC71" i="9"/>
  <c r="BD71" i="9"/>
  <c r="BE71" i="9"/>
  <c r="BF71" i="9"/>
  <c r="BG71" i="9"/>
  <c r="BH71" i="9"/>
  <c r="BI71" i="9"/>
  <c r="BJ71" i="9"/>
  <c r="BK71" i="9"/>
  <c r="BL71" i="9"/>
  <c r="BM71" i="9"/>
  <c r="BN71" i="9"/>
  <c r="BO71" i="9"/>
  <c r="BP71" i="9"/>
  <c r="BQ71" i="9"/>
  <c r="BR71" i="9"/>
  <c r="BS71" i="9"/>
  <c r="BT71" i="9"/>
  <c r="BU71" i="9"/>
  <c r="BV71" i="9"/>
  <c r="BW71" i="9"/>
  <c r="BX71" i="9"/>
  <c r="BY71" i="9"/>
  <c r="BZ71" i="9"/>
  <c r="CA71" i="9"/>
  <c r="CB71" i="9"/>
  <c r="CC71" i="9"/>
  <c r="CD71" i="9"/>
  <c r="CE71" i="9"/>
  <c r="CF71" i="9"/>
  <c r="CG71" i="9"/>
  <c r="CH71" i="9"/>
  <c r="CI71" i="9"/>
  <c r="CJ71" i="9"/>
  <c r="CK71" i="9"/>
  <c r="CL71" i="9"/>
  <c r="CM71" i="9"/>
  <c r="CN71" i="9"/>
  <c r="CO71" i="9"/>
  <c r="CP71" i="9"/>
  <c r="CQ71" i="9"/>
  <c r="CR71" i="9"/>
  <c r="CS71" i="9"/>
  <c r="CT71" i="9"/>
  <c r="CU71" i="9"/>
  <c r="CV71" i="9"/>
  <c r="CW71" i="9"/>
  <c r="CX71" i="9"/>
  <c r="CY71" i="9"/>
  <c r="CZ71" i="9"/>
  <c r="DA71" i="9"/>
  <c r="DB71" i="9"/>
  <c r="DC71" i="9"/>
  <c r="DD71" i="9"/>
  <c r="DE71" i="9"/>
  <c r="DF71" i="9"/>
  <c r="DG71" i="9"/>
  <c r="DH71" i="9"/>
  <c r="DI71" i="9"/>
  <c r="DJ71" i="9"/>
  <c r="DK71" i="9"/>
  <c r="DL71" i="9"/>
  <c r="DM71" i="9"/>
  <c r="DN71" i="9"/>
  <c r="DO71" i="9"/>
  <c r="DP71" i="9"/>
  <c r="DQ71" i="9"/>
  <c r="DR71" i="9"/>
  <c r="DS71" i="9"/>
  <c r="DT71" i="9"/>
  <c r="DU71" i="9"/>
  <c r="DV71" i="9"/>
  <c r="DW71" i="9"/>
  <c r="DX71" i="9"/>
  <c r="DY71" i="9"/>
  <c r="DZ71" i="9"/>
  <c r="EA71" i="9"/>
  <c r="EB71" i="9"/>
  <c r="EC71" i="9"/>
  <c r="ED71" i="9"/>
  <c r="EE71" i="9"/>
  <c r="EF71" i="9"/>
  <c r="EG71" i="9"/>
  <c r="EH71" i="9"/>
  <c r="EI71" i="9"/>
  <c r="EJ71" i="9"/>
  <c r="EK71" i="9"/>
  <c r="EL71" i="9"/>
  <c r="EM71" i="9"/>
  <c r="EN71" i="9"/>
  <c r="EO71" i="9"/>
  <c r="EP71" i="9"/>
  <c r="EQ71" i="9"/>
  <c r="ER71" i="9"/>
  <c r="ES71" i="9"/>
  <c r="ET71" i="9"/>
  <c r="EU71" i="9"/>
  <c r="EV71" i="9"/>
  <c r="EW71" i="9"/>
  <c r="EX71" i="9"/>
  <c r="EY71" i="9"/>
  <c r="EZ71" i="9"/>
  <c r="FA71" i="9"/>
  <c r="FB71" i="9"/>
  <c r="A70" i="9"/>
  <c r="B70" i="9"/>
  <c r="C70" i="9"/>
  <c r="D70" i="9"/>
  <c r="E70" i="9"/>
  <c r="F70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V70" i="9"/>
  <c r="W70" i="9"/>
  <c r="X70" i="9"/>
  <c r="Y70" i="9"/>
  <c r="Z70" i="9"/>
  <c r="AA70" i="9"/>
  <c r="AB70" i="9"/>
  <c r="AC70" i="9"/>
  <c r="AD70" i="9"/>
  <c r="AE70" i="9"/>
  <c r="AF70" i="9"/>
  <c r="AG70" i="9"/>
  <c r="AH70" i="9"/>
  <c r="AI70" i="9"/>
  <c r="AJ70" i="9"/>
  <c r="AK70" i="9"/>
  <c r="AL70" i="9"/>
  <c r="AM70" i="9"/>
  <c r="AN70" i="9"/>
  <c r="AO70" i="9"/>
  <c r="AP70" i="9"/>
  <c r="AQ70" i="9"/>
  <c r="AR70" i="9"/>
  <c r="AS70" i="9"/>
  <c r="AT70" i="9"/>
  <c r="AU70" i="9"/>
  <c r="AV70" i="9"/>
  <c r="AW70" i="9"/>
  <c r="AX70" i="9"/>
  <c r="AY70" i="9"/>
  <c r="AZ70" i="9"/>
  <c r="BA70" i="9"/>
  <c r="BB70" i="9"/>
  <c r="BC70" i="9"/>
  <c r="BD70" i="9"/>
  <c r="BE70" i="9"/>
  <c r="BF70" i="9"/>
  <c r="BG70" i="9"/>
  <c r="BH70" i="9"/>
  <c r="BI70" i="9"/>
  <c r="BJ70" i="9"/>
  <c r="BK70" i="9"/>
  <c r="BL70" i="9"/>
  <c r="BM70" i="9"/>
  <c r="BN70" i="9"/>
  <c r="BO70" i="9"/>
  <c r="BP70" i="9"/>
  <c r="BQ70" i="9"/>
  <c r="BR70" i="9"/>
  <c r="BS70" i="9"/>
  <c r="BT70" i="9"/>
  <c r="BU70" i="9"/>
  <c r="BV70" i="9"/>
  <c r="BW70" i="9"/>
  <c r="BX70" i="9"/>
  <c r="BY70" i="9"/>
  <c r="BZ70" i="9"/>
  <c r="CA70" i="9"/>
  <c r="CB70" i="9"/>
  <c r="CC70" i="9"/>
  <c r="CD70" i="9"/>
  <c r="CE70" i="9"/>
  <c r="CF70" i="9"/>
  <c r="CG70" i="9"/>
  <c r="CH70" i="9"/>
  <c r="CI70" i="9"/>
  <c r="CJ70" i="9"/>
  <c r="CK70" i="9"/>
  <c r="CL70" i="9"/>
  <c r="CM70" i="9"/>
  <c r="CN70" i="9"/>
  <c r="CO70" i="9"/>
  <c r="CP70" i="9"/>
  <c r="CQ70" i="9"/>
  <c r="CR70" i="9"/>
  <c r="CS70" i="9"/>
  <c r="CT70" i="9"/>
  <c r="CU70" i="9"/>
  <c r="CV70" i="9"/>
  <c r="CW70" i="9"/>
  <c r="CX70" i="9"/>
  <c r="CY70" i="9"/>
  <c r="CZ70" i="9"/>
  <c r="DA70" i="9"/>
  <c r="DB70" i="9"/>
  <c r="DC70" i="9"/>
  <c r="DD70" i="9"/>
  <c r="DE70" i="9"/>
  <c r="DF70" i="9"/>
  <c r="DG70" i="9"/>
  <c r="DH70" i="9"/>
  <c r="DI70" i="9"/>
  <c r="DJ70" i="9"/>
  <c r="DK70" i="9"/>
  <c r="DL70" i="9"/>
  <c r="DM70" i="9"/>
  <c r="DN70" i="9"/>
  <c r="DO70" i="9"/>
  <c r="DP70" i="9"/>
  <c r="DQ70" i="9"/>
  <c r="DR70" i="9"/>
  <c r="DS70" i="9"/>
  <c r="DT70" i="9"/>
  <c r="DU70" i="9"/>
  <c r="DV70" i="9"/>
  <c r="DW70" i="9"/>
  <c r="DX70" i="9"/>
  <c r="DY70" i="9"/>
  <c r="DZ70" i="9"/>
  <c r="EA70" i="9"/>
  <c r="EB70" i="9"/>
  <c r="EC70" i="9"/>
  <c r="ED70" i="9"/>
  <c r="EE70" i="9"/>
  <c r="EF70" i="9"/>
  <c r="EG70" i="9"/>
  <c r="EH70" i="9"/>
  <c r="EI70" i="9"/>
  <c r="EJ70" i="9"/>
  <c r="EK70" i="9"/>
  <c r="EL70" i="9"/>
  <c r="EM70" i="9"/>
  <c r="EN70" i="9"/>
  <c r="EO70" i="9"/>
  <c r="EP70" i="9"/>
  <c r="EQ70" i="9"/>
  <c r="ER70" i="9"/>
  <c r="ES70" i="9"/>
  <c r="ET70" i="9"/>
  <c r="EU70" i="9"/>
  <c r="EV70" i="9"/>
  <c r="EW70" i="9"/>
  <c r="EX70" i="9"/>
  <c r="EY70" i="9"/>
  <c r="EZ70" i="9"/>
  <c r="FA70" i="9"/>
  <c r="FB70" i="9"/>
  <c r="FC70" i="9"/>
  <c r="FD70" i="9"/>
  <c r="FE70" i="9"/>
  <c r="FF70" i="9"/>
  <c r="FG70" i="9"/>
  <c r="FH70" i="9"/>
  <c r="FI70" i="9"/>
  <c r="FJ70" i="9"/>
  <c r="FK70" i="9"/>
  <c r="FL70" i="9"/>
  <c r="FM70" i="9"/>
  <c r="FN70" i="9"/>
  <c r="FO70" i="9"/>
  <c r="FP70" i="9"/>
  <c r="FQ70" i="9"/>
  <c r="FR70" i="9"/>
  <c r="FS70" i="9"/>
  <c r="FT70" i="9"/>
  <c r="FU70" i="9"/>
  <c r="FV70" i="9"/>
  <c r="FW70" i="9"/>
  <c r="FX70" i="9"/>
  <c r="FY70" i="9"/>
  <c r="FZ70" i="9"/>
  <c r="GA70" i="9"/>
  <c r="GB70" i="9"/>
  <c r="GC70" i="9"/>
  <c r="GD70" i="9"/>
  <c r="GE70" i="9"/>
  <c r="GF70" i="9"/>
  <c r="GG70" i="9"/>
  <c r="GH70" i="9"/>
  <c r="GI70" i="9"/>
  <c r="GJ70" i="9"/>
  <c r="GK70" i="9"/>
  <c r="GL70" i="9"/>
  <c r="GM70" i="9"/>
  <c r="GN70" i="9"/>
  <c r="GO70" i="9"/>
  <c r="GP70" i="9"/>
  <c r="GQ70" i="9"/>
  <c r="GR70" i="9"/>
  <c r="GS70" i="9"/>
  <c r="GT70" i="9"/>
  <c r="GU70" i="9"/>
  <c r="GV70" i="9"/>
  <c r="GW70" i="9"/>
  <c r="GX70" i="9"/>
  <c r="GY70" i="9"/>
  <c r="GZ70" i="9"/>
  <c r="HA70" i="9"/>
  <c r="HB70" i="9"/>
  <c r="HC70" i="9"/>
  <c r="HD70" i="9"/>
  <c r="HE70" i="9"/>
  <c r="HF70" i="9"/>
  <c r="HG70" i="9"/>
  <c r="HH70" i="9"/>
  <c r="HI70" i="9"/>
  <c r="HJ70" i="9"/>
  <c r="HK70" i="9"/>
  <c r="HL70" i="9"/>
  <c r="HM70" i="9"/>
  <c r="HN70" i="9"/>
  <c r="HO70" i="9"/>
  <c r="HP70" i="9"/>
  <c r="HQ70" i="9"/>
  <c r="HR70" i="9"/>
  <c r="HS70" i="9"/>
  <c r="HT70" i="9"/>
  <c r="HU70" i="9"/>
  <c r="HV70" i="9"/>
  <c r="HW70" i="9"/>
  <c r="HX70" i="9"/>
  <c r="HY70" i="9"/>
  <c r="HZ70" i="9"/>
  <c r="IA70" i="9"/>
  <c r="IB70" i="9"/>
  <c r="IC70" i="9"/>
  <c r="ID70" i="9"/>
  <c r="IE70" i="9"/>
  <c r="IF70" i="9"/>
  <c r="IG70" i="9"/>
  <c r="IH70" i="9"/>
  <c r="II70" i="9"/>
  <c r="IJ70" i="9"/>
  <c r="IK70" i="9"/>
  <c r="IL70" i="9"/>
  <c r="IM70" i="9"/>
  <c r="IN70" i="9"/>
  <c r="IO70" i="9"/>
  <c r="IP70" i="9"/>
  <c r="IQ70" i="9"/>
  <c r="IR70" i="9"/>
  <c r="IS70" i="9"/>
  <c r="IT70" i="9"/>
  <c r="IU70" i="9"/>
  <c r="IV70" i="9"/>
  <c r="A69" i="9"/>
  <c r="A68" i="9"/>
  <c r="B68" i="9"/>
  <c r="C68" i="9"/>
  <c r="D68" i="9"/>
  <c r="E68" i="9"/>
  <c r="F68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X68" i="9"/>
  <c r="Y68" i="9"/>
  <c r="Z68" i="9"/>
  <c r="AA68" i="9"/>
  <c r="AB68" i="9"/>
  <c r="AC68" i="9"/>
  <c r="AD68" i="9"/>
  <c r="AE68" i="9"/>
  <c r="AF68" i="9"/>
  <c r="AG68" i="9"/>
  <c r="AH68" i="9"/>
  <c r="AI68" i="9"/>
  <c r="AJ68" i="9"/>
  <c r="AK68" i="9"/>
  <c r="AL68" i="9"/>
  <c r="AM68" i="9"/>
  <c r="AN68" i="9"/>
  <c r="AO68" i="9"/>
  <c r="AP68" i="9"/>
  <c r="AQ68" i="9"/>
  <c r="AR68" i="9"/>
  <c r="AS68" i="9"/>
  <c r="AT68" i="9"/>
  <c r="AU68" i="9"/>
  <c r="AV68" i="9"/>
  <c r="AW68" i="9"/>
  <c r="AX68" i="9"/>
  <c r="AY68" i="9"/>
  <c r="AZ68" i="9"/>
  <c r="BA68" i="9"/>
  <c r="BB68" i="9"/>
  <c r="BC68" i="9"/>
  <c r="BD68" i="9"/>
  <c r="BE68" i="9"/>
  <c r="BF68" i="9"/>
  <c r="BG68" i="9"/>
  <c r="BH68" i="9"/>
  <c r="BI68" i="9"/>
  <c r="BJ68" i="9"/>
  <c r="BK68" i="9"/>
  <c r="BL68" i="9"/>
  <c r="BM68" i="9"/>
  <c r="BN68" i="9"/>
  <c r="BO68" i="9"/>
  <c r="BP68" i="9"/>
  <c r="BQ68" i="9"/>
  <c r="BR68" i="9"/>
  <c r="BS68" i="9"/>
  <c r="BT68" i="9"/>
  <c r="BU68" i="9"/>
  <c r="BV68" i="9"/>
  <c r="BW68" i="9"/>
  <c r="BX68" i="9"/>
  <c r="BY68" i="9"/>
  <c r="BZ68" i="9"/>
  <c r="CA68" i="9"/>
  <c r="CB68" i="9"/>
  <c r="CC68" i="9"/>
  <c r="CD68" i="9"/>
  <c r="CE68" i="9"/>
  <c r="CF68" i="9"/>
  <c r="CG68" i="9"/>
  <c r="CH68" i="9"/>
  <c r="CI68" i="9"/>
  <c r="CJ68" i="9"/>
  <c r="CK68" i="9"/>
  <c r="CL68" i="9"/>
  <c r="CM68" i="9"/>
  <c r="CN68" i="9"/>
  <c r="CO68" i="9"/>
  <c r="CP68" i="9"/>
  <c r="CQ68" i="9"/>
  <c r="CR68" i="9"/>
  <c r="CS68" i="9"/>
  <c r="CT68" i="9"/>
  <c r="CU68" i="9"/>
  <c r="CV68" i="9"/>
  <c r="CW68" i="9"/>
  <c r="CX68" i="9"/>
  <c r="CY68" i="9"/>
  <c r="CZ68" i="9"/>
  <c r="DA68" i="9"/>
  <c r="DB68" i="9"/>
  <c r="DC68" i="9"/>
  <c r="DD68" i="9"/>
  <c r="DE68" i="9"/>
  <c r="DF68" i="9"/>
  <c r="DG68" i="9"/>
  <c r="DH68" i="9"/>
  <c r="DI68" i="9"/>
  <c r="DJ68" i="9"/>
  <c r="DK68" i="9"/>
  <c r="DL68" i="9"/>
  <c r="DM68" i="9"/>
  <c r="DN68" i="9"/>
  <c r="DO68" i="9"/>
  <c r="DP68" i="9"/>
  <c r="DQ68" i="9"/>
  <c r="DR68" i="9"/>
  <c r="DS68" i="9"/>
  <c r="DT68" i="9"/>
  <c r="DU68" i="9"/>
  <c r="DV68" i="9"/>
  <c r="DW68" i="9"/>
  <c r="DX68" i="9"/>
  <c r="DY68" i="9"/>
  <c r="DZ68" i="9"/>
  <c r="EA68" i="9"/>
  <c r="EB68" i="9"/>
  <c r="EC68" i="9"/>
  <c r="ED68" i="9"/>
  <c r="EE68" i="9"/>
  <c r="EF68" i="9"/>
  <c r="EG68" i="9"/>
  <c r="EH68" i="9"/>
  <c r="EI68" i="9"/>
  <c r="EJ68" i="9"/>
  <c r="EK68" i="9"/>
  <c r="EL68" i="9"/>
  <c r="EM68" i="9"/>
  <c r="EN68" i="9"/>
  <c r="EO68" i="9"/>
  <c r="EP68" i="9"/>
  <c r="EQ68" i="9"/>
  <c r="ER68" i="9"/>
  <c r="ES68" i="9"/>
  <c r="ET68" i="9"/>
  <c r="EU68" i="9"/>
  <c r="EV68" i="9"/>
  <c r="EW68" i="9"/>
  <c r="EX68" i="9"/>
  <c r="EY68" i="9"/>
  <c r="EZ68" i="9"/>
  <c r="FA68" i="9"/>
  <c r="FB68" i="9"/>
  <c r="FC68" i="9"/>
  <c r="FD68" i="9"/>
  <c r="FE68" i="9"/>
  <c r="FF68" i="9"/>
  <c r="FG68" i="9"/>
  <c r="FH68" i="9"/>
  <c r="FI68" i="9"/>
  <c r="FJ68" i="9"/>
  <c r="FK68" i="9"/>
  <c r="FL68" i="9"/>
  <c r="FM68" i="9"/>
  <c r="FN68" i="9"/>
  <c r="FO68" i="9"/>
  <c r="FP68" i="9"/>
  <c r="FQ68" i="9"/>
  <c r="FR68" i="9"/>
  <c r="FS68" i="9"/>
  <c r="FT68" i="9"/>
  <c r="FU68" i="9"/>
  <c r="FV68" i="9"/>
  <c r="FW68" i="9"/>
  <c r="FX68" i="9"/>
  <c r="FY68" i="9"/>
  <c r="FZ68" i="9"/>
  <c r="GA68" i="9"/>
  <c r="GB68" i="9"/>
  <c r="GC68" i="9"/>
  <c r="GD68" i="9"/>
  <c r="GE68" i="9"/>
  <c r="GF68" i="9"/>
  <c r="GG68" i="9"/>
  <c r="GH68" i="9"/>
  <c r="GI68" i="9"/>
  <c r="GJ68" i="9"/>
  <c r="GK68" i="9"/>
  <c r="GL68" i="9"/>
  <c r="GO68" i="9"/>
  <c r="GP68" i="9"/>
  <c r="GQ68" i="9"/>
  <c r="GR68" i="9"/>
  <c r="GS68" i="9"/>
  <c r="GT68" i="9"/>
  <c r="GU68" i="9"/>
  <c r="GV68" i="9"/>
  <c r="GW68" i="9"/>
  <c r="GX68" i="9"/>
  <c r="GY68" i="9"/>
  <c r="GZ68" i="9"/>
  <c r="HA68" i="9"/>
  <c r="HB68" i="9"/>
  <c r="HC68" i="9"/>
  <c r="HD68" i="9"/>
  <c r="HE68" i="9"/>
  <c r="HF68" i="9"/>
  <c r="HG68" i="9"/>
  <c r="HH68" i="9"/>
  <c r="HI68" i="9"/>
  <c r="HJ68" i="9"/>
  <c r="HK68" i="9"/>
  <c r="HL68" i="9"/>
  <c r="HM68" i="9"/>
  <c r="HN68" i="9"/>
  <c r="HO68" i="9"/>
  <c r="HP68" i="9"/>
  <c r="HQ68" i="9"/>
  <c r="HR68" i="9"/>
  <c r="HS68" i="9"/>
  <c r="HT68" i="9"/>
  <c r="HU68" i="9"/>
  <c r="HV68" i="9"/>
  <c r="HW68" i="9"/>
  <c r="HX68" i="9"/>
  <c r="HY68" i="9"/>
  <c r="HZ68" i="9"/>
  <c r="IA68" i="9"/>
  <c r="IC68" i="9"/>
  <c r="ID68" i="9"/>
  <c r="A67" i="9"/>
  <c r="B67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AA67" i="9"/>
  <c r="AB67" i="9"/>
  <c r="AC67" i="9"/>
  <c r="AD67" i="9"/>
  <c r="AE67" i="9"/>
  <c r="AF67" i="9"/>
  <c r="AG67" i="9"/>
  <c r="AH67" i="9"/>
  <c r="AI67" i="9"/>
  <c r="AJ67" i="9"/>
  <c r="AK67" i="9"/>
  <c r="AL67" i="9"/>
  <c r="AM67" i="9"/>
  <c r="AN67" i="9"/>
  <c r="AO67" i="9"/>
  <c r="AP67" i="9"/>
  <c r="AQ67" i="9"/>
  <c r="AR67" i="9"/>
  <c r="AT67" i="9"/>
  <c r="AU67" i="9"/>
  <c r="AV67" i="9"/>
  <c r="AW67" i="9"/>
  <c r="AX67" i="9"/>
  <c r="AY67" i="9"/>
  <c r="AZ67" i="9"/>
  <c r="BA67" i="9"/>
  <c r="BB67" i="9"/>
  <c r="BC67" i="9"/>
  <c r="BD67" i="9"/>
  <c r="BE67" i="9"/>
  <c r="BF67" i="9"/>
  <c r="BG67" i="9"/>
  <c r="BH67" i="9"/>
  <c r="BI67" i="9"/>
  <c r="BJ67" i="9"/>
  <c r="BK67" i="9"/>
  <c r="BL67" i="9"/>
  <c r="BM67" i="9"/>
  <c r="BN67" i="9"/>
  <c r="BO67" i="9"/>
  <c r="BP67" i="9"/>
  <c r="BQ67" i="9"/>
  <c r="BR67" i="9"/>
  <c r="BS67" i="9"/>
  <c r="BT67" i="9"/>
  <c r="BU67" i="9"/>
  <c r="BV67" i="9"/>
  <c r="BW67" i="9"/>
  <c r="BX67" i="9"/>
  <c r="BY67" i="9"/>
  <c r="BZ67" i="9"/>
  <c r="CA67" i="9"/>
  <c r="CB67" i="9"/>
  <c r="CC67" i="9"/>
  <c r="CD67" i="9"/>
  <c r="CE67" i="9"/>
  <c r="CF67" i="9"/>
  <c r="CG67" i="9"/>
  <c r="CH67" i="9"/>
  <c r="CI67" i="9"/>
  <c r="CJ67" i="9"/>
  <c r="CK67" i="9"/>
  <c r="CL67" i="9"/>
  <c r="CM67" i="9"/>
  <c r="CN67" i="9"/>
  <c r="CO67" i="9"/>
  <c r="CP67" i="9"/>
  <c r="CQ67" i="9"/>
  <c r="CR67" i="9"/>
  <c r="CS67" i="9"/>
  <c r="CT67" i="9"/>
  <c r="CU67" i="9"/>
  <c r="CV67" i="9"/>
  <c r="CW67" i="9"/>
  <c r="CX67" i="9"/>
  <c r="CY67" i="9"/>
  <c r="CZ67" i="9"/>
  <c r="DA67" i="9"/>
  <c r="DB67" i="9"/>
  <c r="DC67" i="9"/>
  <c r="DD67" i="9"/>
  <c r="DE67" i="9"/>
  <c r="DF67" i="9"/>
  <c r="DG67" i="9"/>
  <c r="DH67" i="9"/>
  <c r="DI67" i="9"/>
  <c r="DJ67" i="9"/>
  <c r="DK67" i="9"/>
  <c r="DL67" i="9"/>
  <c r="DM67" i="9"/>
  <c r="DN67" i="9"/>
  <c r="DO67" i="9"/>
  <c r="DP67" i="9"/>
  <c r="DQ67" i="9"/>
  <c r="DR67" i="9"/>
  <c r="DS67" i="9"/>
  <c r="DT67" i="9"/>
  <c r="DU67" i="9"/>
  <c r="DV67" i="9"/>
  <c r="DW67" i="9"/>
  <c r="DX67" i="9"/>
  <c r="DY67" i="9"/>
  <c r="DZ67" i="9"/>
  <c r="EA67" i="9"/>
  <c r="EB67" i="9"/>
  <c r="EC67" i="9"/>
  <c r="ED67" i="9"/>
  <c r="EE67" i="9"/>
  <c r="EF67" i="9"/>
  <c r="EG67" i="9"/>
  <c r="EH67" i="9"/>
  <c r="EI67" i="9"/>
  <c r="EJ67" i="9"/>
  <c r="EK67" i="9"/>
  <c r="EL67" i="9"/>
  <c r="EM67" i="9"/>
  <c r="EN67" i="9"/>
  <c r="EO67" i="9"/>
  <c r="EP67" i="9"/>
  <c r="EQ67" i="9"/>
  <c r="ER67" i="9"/>
  <c r="ES67" i="9"/>
  <c r="ET67" i="9"/>
  <c r="EU67" i="9"/>
  <c r="EV67" i="9"/>
  <c r="EW67" i="9"/>
  <c r="EX67" i="9"/>
  <c r="EY67" i="9"/>
  <c r="EZ67" i="9"/>
  <c r="FA67" i="9"/>
  <c r="FB67" i="9"/>
  <c r="FC67" i="9"/>
  <c r="FD67" i="9"/>
  <c r="FE67" i="9"/>
  <c r="FF67" i="9"/>
  <c r="FG67" i="9"/>
  <c r="FH67" i="9"/>
  <c r="FI67" i="9"/>
  <c r="FJ67" i="9"/>
  <c r="FK67" i="9"/>
  <c r="FL67" i="9"/>
  <c r="FM67" i="9"/>
  <c r="FN67" i="9"/>
  <c r="FO67" i="9"/>
  <c r="FP67" i="9"/>
  <c r="FQ67" i="9"/>
  <c r="FR67" i="9"/>
  <c r="FS67" i="9"/>
  <c r="FT67" i="9"/>
  <c r="FU67" i="9"/>
  <c r="FV67" i="9"/>
  <c r="FW67" i="9"/>
  <c r="FX67" i="9"/>
  <c r="FY67" i="9"/>
  <c r="FZ67" i="9"/>
  <c r="GA67" i="9"/>
  <c r="GB67" i="9"/>
  <c r="GC67" i="9"/>
  <c r="GD67" i="9"/>
  <c r="GE67" i="9"/>
  <c r="GF67" i="9"/>
  <c r="GG67" i="9"/>
  <c r="GH67" i="9"/>
  <c r="GI67" i="9"/>
  <c r="GJ67" i="9"/>
  <c r="GK67" i="9"/>
  <c r="GL67" i="9"/>
  <c r="GM67" i="9"/>
  <c r="GN67" i="9"/>
  <c r="GO67" i="9"/>
  <c r="GP67" i="9"/>
  <c r="GQ67" i="9"/>
  <c r="GR67" i="9"/>
  <c r="GS67" i="9"/>
  <c r="GT67" i="9"/>
  <c r="GU67" i="9"/>
  <c r="GV67" i="9"/>
  <c r="GW67" i="9"/>
  <c r="GX67" i="9"/>
  <c r="GY67" i="9"/>
  <c r="GZ67" i="9"/>
  <c r="HA67" i="9"/>
  <c r="HB67" i="9"/>
  <c r="HC67" i="9"/>
  <c r="HD67" i="9"/>
  <c r="HE67" i="9"/>
  <c r="HF67" i="9"/>
  <c r="HG67" i="9"/>
  <c r="HH67" i="9"/>
  <c r="HI67" i="9"/>
  <c r="HJ67" i="9"/>
  <c r="HK67" i="9"/>
  <c r="HL67" i="9"/>
  <c r="HM67" i="9"/>
  <c r="HN67" i="9"/>
  <c r="HO67" i="9"/>
  <c r="HP67" i="9"/>
  <c r="HQ67" i="9"/>
  <c r="HR67" i="9"/>
  <c r="HS67" i="9"/>
  <c r="HT67" i="9"/>
  <c r="HU67" i="9"/>
  <c r="HV67" i="9"/>
  <c r="HW67" i="9"/>
  <c r="HX67" i="9"/>
  <c r="HY67" i="9"/>
  <c r="HZ67" i="9"/>
  <c r="IA67" i="9"/>
  <c r="IB67" i="9"/>
  <c r="IC67" i="9"/>
  <c r="ID67" i="9"/>
  <c r="IE67" i="9"/>
  <c r="IF67" i="9"/>
  <c r="IG67" i="9"/>
  <c r="IH67" i="9"/>
  <c r="II67" i="9"/>
  <c r="IJ67" i="9"/>
  <c r="IK67" i="9"/>
  <c r="IL67" i="9"/>
  <c r="IM67" i="9"/>
  <c r="IN67" i="9"/>
  <c r="IO67" i="9"/>
  <c r="IP67" i="9"/>
  <c r="IQ67" i="9"/>
  <c r="IR67" i="9"/>
  <c r="IS67" i="9"/>
  <c r="IT67" i="9"/>
  <c r="IU67" i="9"/>
  <c r="IV67" i="9"/>
  <c r="A66" i="9"/>
  <c r="B66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AA66" i="9"/>
  <c r="AB66" i="9"/>
  <c r="AC66" i="9"/>
  <c r="AD66" i="9"/>
  <c r="AE66" i="9"/>
  <c r="AF66" i="9"/>
  <c r="AG66" i="9"/>
  <c r="AH66" i="9"/>
  <c r="AI66" i="9"/>
  <c r="AJ66" i="9"/>
  <c r="AK66" i="9"/>
  <c r="AL66" i="9"/>
  <c r="AM66" i="9"/>
  <c r="AN66" i="9"/>
  <c r="AO66" i="9"/>
  <c r="AP66" i="9"/>
  <c r="AQ66" i="9"/>
  <c r="AR66" i="9"/>
  <c r="AS66" i="9"/>
  <c r="AT66" i="9"/>
  <c r="AU66" i="9"/>
  <c r="AV66" i="9"/>
  <c r="AW66" i="9"/>
  <c r="AX66" i="9"/>
  <c r="AY66" i="9"/>
  <c r="AZ66" i="9"/>
  <c r="BA66" i="9"/>
  <c r="BB66" i="9"/>
  <c r="BC66" i="9"/>
  <c r="BD66" i="9"/>
  <c r="BE66" i="9"/>
  <c r="BF66" i="9"/>
  <c r="BG66" i="9"/>
  <c r="BH66" i="9"/>
  <c r="BI66" i="9"/>
  <c r="BJ66" i="9"/>
  <c r="BK66" i="9"/>
  <c r="BL66" i="9"/>
  <c r="BM66" i="9"/>
  <c r="BN66" i="9"/>
  <c r="BO66" i="9"/>
  <c r="BP66" i="9"/>
  <c r="BQ66" i="9"/>
  <c r="BR66" i="9"/>
  <c r="BS66" i="9"/>
  <c r="BT66" i="9"/>
  <c r="BU66" i="9"/>
  <c r="BV66" i="9"/>
  <c r="BW66" i="9"/>
  <c r="BX66" i="9"/>
  <c r="BY66" i="9"/>
  <c r="BZ66" i="9"/>
  <c r="CA66" i="9"/>
  <c r="CB66" i="9"/>
  <c r="CC66" i="9"/>
  <c r="CD66" i="9"/>
  <c r="CE66" i="9"/>
  <c r="CF66" i="9"/>
  <c r="CG66" i="9"/>
  <c r="CH66" i="9"/>
  <c r="CI66" i="9"/>
  <c r="CJ66" i="9"/>
  <c r="CK66" i="9"/>
  <c r="CL66" i="9"/>
  <c r="CM66" i="9"/>
  <c r="CN66" i="9"/>
  <c r="CO66" i="9"/>
  <c r="CP66" i="9"/>
  <c r="CQ66" i="9"/>
  <c r="CR66" i="9"/>
  <c r="CS66" i="9"/>
  <c r="CT66" i="9"/>
  <c r="CU66" i="9"/>
  <c r="CV66" i="9"/>
  <c r="CW66" i="9"/>
  <c r="CX66" i="9"/>
  <c r="CY66" i="9"/>
  <c r="CZ66" i="9"/>
  <c r="DA66" i="9"/>
  <c r="DB66" i="9"/>
  <c r="DC66" i="9"/>
  <c r="DD66" i="9"/>
  <c r="DE66" i="9"/>
  <c r="DF66" i="9"/>
  <c r="DG66" i="9"/>
  <c r="DH66" i="9"/>
  <c r="DI66" i="9"/>
  <c r="DJ66" i="9"/>
  <c r="DK66" i="9"/>
  <c r="DL66" i="9"/>
  <c r="DM66" i="9"/>
  <c r="DN66" i="9"/>
  <c r="DO66" i="9"/>
  <c r="DP66" i="9"/>
  <c r="DQ66" i="9"/>
  <c r="DR66" i="9"/>
  <c r="DS66" i="9"/>
  <c r="DT66" i="9"/>
  <c r="DU66" i="9"/>
  <c r="DV66" i="9"/>
  <c r="DW66" i="9"/>
  <c r="DX66" i="9"/>
  <c r="DY66" i="9"/>
  <c r="DZ66" i="9"/>
  <c r="EA66" i="9"/>
  <c r="EB66" i="9"/>
  <c r="EC66" i="9"/>
  <c r="ED66" i="9"/>
  <c r="EE66" i="9"/>
  <c r="EF66" i="9"/>
  <c r="EG66" i="9"/>
  <c r="EH66" i="9"/>
  <c r="EI66" i="9"/>
  <c r="EJ66" i="9"/>
  <c r="EK66" i="9"/>
  <c r="EL66" i="9"/>
  <c r="EM66" i="9"/>
  <c r="EN66" i="9"/>
  <c r="EO66" i="9"/>
  <c r="EP66" i="9"/>
  <c r="EQ66" i="9"/>
  <c r="ER66" i="9"/>
  <c r="ES66" i="9"/>
  <c r="ET66" i="9"/>
  <c r="EU66" i="9"/>
  <c r="EV66" i="9"/>
  <c r="EW66" i="9"/>
  <c r="EX66" i="9"/>
  <c r="EY66" i="9"/>
  <c r="EZ66" i="9"/>
  <c r="FA66" i="9"/>
  <c r="FB66" i="9"/>
  <c r="FC66" i="9"/>
  <c r="FD66" i="9"/>
  <c r="FE66" i="9"/>
  <c r="FF66" i="9"/>
  <c r="FG66" i="9"/>
  <c r="FH66" i="9"/>
  <c r="FI66" i="9"/>
  <c r="FJ66" i="9"/>
  <c r="FK66" i="9"/>
  <c r="FL66" i="9"/>
  <c r="FM66" i="9"/>
  <c r="FN66" i="9"/>
  <c r="FO66" i="9"/>
  <c r="FP66" i="9"/>
  <c r="FQ66" i="9"/>
  <c r="FR66" i="9"/>
  <c r="FS66" i="9"/>
  <c r="FT66" i="9"/>
  <c r="FU66" i="9"/>
  <c r="FV66" i="9"/>
  <c r="FW66" i="9"/>
  <c r="FX66" i="9"/>
  <c r="FY66" i="9"/>
  <c r="FZ66" i="9"/>
  <c r="GA66" i="9"/>
  <c r="GB66" i="9"/>
  <c r="GC66" i="9"/>
  <c r="GD66" i="9"/>
  <c r="GE66" i="9"/>
  <c r="GF66" i="9"/>
  <c r="GG66" i="9"/>
  <c r="GH66" i="9"/>
  <c r="GI66" i="9"/>
  <c r="GJ66" i="9"/>
  <c r="GK66" i="9"/>
  <c r="GL66" i="9"/>
  <c r="GM66" i="9"/>
  <c r="GN66" i="9"/>
  <c r="GO66" i="9"/>
  <c r="GP66" i="9"/>
  <c r="GQ66" i="9"/>
  <c r="GR66" i="9"/>
  <c r="GS66" i="9"/>
  <c r="GT66" i="9"/>
  <c r="GU66" i="9"/>
  <c r="GV66" i="9"/>
  <c r="GW66" i="9"/>
  <c r="GX66" i="9"/>
  <c r="GY66" i="9"/>
  <c r="GZ66" i="9"/>
  <c r="HA66" i="9"/>
  <c r="HB66" i="9"/>
  <c r="HC66" i="9"/>
  <c r="HD66" i="9"/>
  <c r="HE66" i="9"/>
  <c r="HF66" i="9"/>
  <c r="HG66" i="9"/>
  <c r="HH66" i="9"/>
  <c r="HI66" i="9"/>
  <c r="HJ66" i="9"/>
  <c r="HK66" i="9"/>
  <c r="HL66" i="9"/>
  <c r="HM66" i="9"/>
  <c r="HN66" i="9"/>
  <c r="HO66" i="9"/>
  <c r="HP66" i="9"/>
  <c r="HQ66" i="9"/>
  <c r="HR66" i="9"/>
  <c r="HS66" i="9"/>
  <c r="HT66" i="9"/>
  <c r="HU66" i="9"/>
  <c r="HV66" i="9"/>
  <c r="HW66" i="9"/>
  <c r="HX66" i="9"/>
  <c r="HY66" i="9"/>
  <c r="HZ66" i="9"/>
  <c r="IA66" i="9"/>
  <c r="IB66" i="9"/>
  <c r="IC66" i="9"/>
  <c r="ID66" i="9"/>
  <c r="IE66" i="9"/>
  <c r="IF66" i="9"/>
  <c r="IG66" i="9"/>
  <c r="IH66" i="9"/>
  <c r="II66" i="9"/>
  <c r="IJ66" i="9"/>
  <c r="IK66" i="9"/>
  <c r="IL66" i="9"/>
  <c r="IM66" i="9"/>
  <c r="IN66" i="9"/>
  <c r="IO66" i="9"/>
  <c r="IP66" i="9"/>
  <c r="IQ66" i="9"/>
  <c r="IR66" i="9"/>
  <c r="IS66" i="9"/>
  <c r="IT66" i="9"/>
  <c r="IU66" i="9"/>
  <c r="IV66" i="9"/>
  <c r="A65" i="9"/>
  <c r="B65" i="9"/>
  <c r="C65" i="9"/>
  <c r="D65" i="9"/>
  <c r="E65" i="9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U65" i="9"/>
  <c r="V65" i="9"/>
  <c r="W65" i="9"/>
  <c r="X65" i="9"/>
  <c r="Y65" i="9"/>
  <c r="Z65" i="9"/>
  <c r="AA65" i="9"/>
  <c r="AB65" i="9"/>
  <c r="AC65" i="9"/>
  <c r="AD65" i="9"/>
  <c r="AE65" i="9"/>
  <c r="AF65" i="9"/>
  <c r="AG65" i="9"/>
  <c r="AH65" i="9"/>
  <c r="AI65" i="9"/>
  <c r="AJ65" i="9"/>
  <c r="AK65" i="9"/>
  <c r="AL65" i="9"/>
  <c r="AM65" i="9"/>
  <c r="AN65" i="9"/>
  <c r="AO65" i="9"/>
  <c r="AP65" i="9"/>
  <c r="AQ65" i="9"/>
  <c r="AR65" i="9"/>
  <c r="AS65" i="9"/>
  <c r="AT65" i="9"/>
  <c r="AU65" i="9"/>
  <c r="AV65" i="9"/>
  <c r="AW65" i="9"/>
  <c r="AX65" i="9"/>
  <c r="AY65" i="9"/>
  <c r="AZ65" i="9"/>
  <c r="BA65" i="9"/>
  <c r="BB65" i="9"/>
  <c r="BC65" i="9"/>
  <c r="BD65" i="9"/>
  <c r="BE65" i="9"/>
  <c r="BF65" i="9"/>
  <c r="BG65" i="9"/>
  <c r="BH65" i="9"/>
  <c r="BI65" i="9"/>
  <c r="BJ65" i="9"/>
  <c r="BK65" i="9"/>
  <c r="BL65" i="9"/>
  <c r="BM65" i="9"/>
  <c r="BN65" i="9"/>
  <c r="BO65" i="9"/>
  <c r="BP65" i="9"/>
  <c r="BQ65" i="9"/>
  <c r="BR65" i="9"/>
  <c r="BS65" i="9"/>
  <c r="BT65" i="9"/>
  <c r="BU65" i="9"/>
  <c r="BV65" i="9"/>
  <c r="BW65" i="9"/>
  <c r="BX65" i="9"/>
  <c r="BY65" i="9"/>
  <c r="BZ65" i="9"/>
  <c r="CA65" i="9"/>
  <c r="CB65" i="9"/>
  <c r="CC65" i="9"/>
  <c r="CD65" i="9"/>
  <c r="CE65" i="9"/>
  <c r="CF65" i="9"/>
  <c r="CG65" i="9"/>
  <c r="CH65" i="9"/>
  <c r="CI65" i="9"/>
  <c r="CJ65" i="9"/>
  <c r="CK65" i="9"/>
  <c r="CL65" i="9"/>
  <c r="CM65" i="9"/>
  <c r="CN65" i="9"/>
  <c r="CO65" i="9"/>
  <c r="CP65" i="9"/>
  <c r="CQ65" i="9"/>
  <c r="CR65" i="9"/>
  <c r="CS65" i="9"/>
  <c r="CT65" i="9"/>
  <c r="CU65" i="9"/>
  <c r="CV65" i="9"/>
  <c r="CW65" i="9"/>
  <c r="CX65" i="9"/>
  <c r="CY65" i="9"/>
  <c r="CZ65" i="9"/>
  <c r="DA65" i="9"/>
  <c r="DB65" i="9"/>
  <c r="DC65" i="9"/>
  <c r="DD65" i="9"/>
  <c r="DE65" i="9"/>
  <c r="DF65" i="9"/>
  <c r="DG65" i="9"/>
  <c r="DH65" i="9"/>
  <c r="DI65" i="9"/>
  <c r="DJ65" i="9"/>
  <c r="DK65" i="9"/>
  <c r="DL65" i="9"/>
  <c r="DM65" i="9"/>
  <c r="DN65" i="9"/>
  <c r="DO65" i="9"/>
  <c r="DP65" i="9"/>
  <c r="DQ65" i="9"/>
  <c r="DR65" i="9"/>
  <c r="DS65" i="9"/>
  <c r="DT65" i="9"/>
  <c r="DU65" i="9"/>
  <c r="DV65" i="9"/>
  <c r="DW65" i="9"/>
  <c r="DX65" i="9"/>
  <c r="DY65" i="9"/>
  <c r="DZ65" i="9"/>
  <c r="EA65" i="9"/>
  <c r="EB65" i="9"/>
  <c r="EC65" i="9"/>
  <c r="ED65" i="9"/>
  <c r="EE65" i="9"/>
  <c r="EF65" i="9"/>
  <c r="EG65" i="9"/>
  <c r="EH65" i="9"/>
  <c r="EI65" i="9"/>
  <c r="EJ65" i="9"/>
  <c r="EK65" i="9"/>
  <c r="EL65" i="9"/>
  <c r="EM65" i="9"/>
  <c r="EN65" i="9"/>
  <c r="EO65" i="9"/>
  <c r="EP65" i="9"/>
  <c r="EQ65" i="9"/>
  <c r="ER65" i="9"/>
  <c r="ES65" i="9"/>
  <c r="ET65" i="9"/>
  <c r="EU65" i="9"/>
  <c r="EV65" i="9"/>
  <c r="EW65" i="9"/>
  <c r="EX65" i="9"/>
  <c r="EY65" i="9"/>
  <c r="EZ65" i="9"/>
  <c r="FA65" i="9"/>
  <c r="FB65" i="9"/>
  <c r="FC65" i="9"/>
  <c r="FD65" i="9"/>
  <c r="FE65" i="9"/>
  <c r="FF65" i="9"/>
  <c r="FG65" i="9"/>
  <c r="FH65" i="9"/>
  <c r="FI65" i="9"/>
  <c r="FJ65" i="9"/>
  <c r="FK65" i="9"/>
  <c r="FL65" i="9"/>
  <c r="FM65" i="9"/>
  <c r="FN65" i="9"/>
  <c r="FO65" i="9"/>
  <c r="FP65" i="9"/>
  <c r="FQ65" i="9"/>
  <c r="FR65" i="9"/>
  <c r="FS65" i="9"/>
  <c r="FT65" i="9"/>
  <c r="FU65" i="9"/>
  <c r="FV65" i="9"/>
  <c r="FW65" i="9"/>
  <c r="FX65" i="9"/>
  <c r="FY65" i="9"/>
  <c r="FZ65" i="9"/>
  <c r="GA65" i="9"/>
  <c r="GB65" i="9"/>
  <c r="GC65" i="9"/>
  <c r="GD65" i="9"/>
  <c r="GE65" i="9"/>
  <c r="GF65" i="9"/>
  <c r="GG65" i="9"/>
  <c r="GH65" i="9"/>
  <c r="GI65" i="9"/>
  <c r="GJ65" i="9"/>
  <c r="GK65" i="9"/>
  <c r="GL65" i="9"/>
  <c r="GM65" i="9"/>
  <c r="GN65" i="9"/>
  <c r="GO65" i="9"/>
  <c r="GP65" i="9"/>
  <c r="GQ65" i="9"/>
  <c r="GR65" i="9"/>
  <c r="GS65" i="9"/>
  <c r="GT65" i="9"/>
  <c r="GU65" i="9"/>
  <c r="GV65" i="9"/>
  <c r="GW65" i="9"/>
  <c r="GX65" i="9"/>
  <c r="GY65" i="9"/>
  <c r="GZ65" i="9"/>
  <c r="HA65" i="9"/>
  <c r="HB65" i="9"/>
  <c r="HC65" i="9"/>
  <c r="HD65" i="9"/>
  <c r="HE65" i="9"/>
  <c r="HF65" i="9"/>
  <c r="HG65" i="9"/>
  <c r="HH65" i="9"/>
  <c r="HI65" i="9"/>
  <c r="HJ65" i="9"/>
  <c r="HK65" i="9"/>
  <c r="HL65" i="9"/>
  <c r="HM65" i="9"/>
  <c r="HN65" i="9"/>
  <c r="HO65" i="9"/>
  <c r="HP65" i="9"/>
  <c r="HQ65" i="9"/>
  <c r="HR65" i="9"/>
  <c r="HS65" i="9"/>
  <c r="HT65" i="9"/>
  <c r="HU65" i="9"/>
  <c r="HV65" i="9"/>
  <c r="HW65" i="9"/>
  <c r="HX65" i="9"/>
  <c r="HY65" i="9"/>
  <c r="HZ65" i="9"/>
  <c r="IA65" i="9"/>
  <c r="IB65" i="9"/>
  <c r="IC65" i="9"/>
  <c r="ID65" i="9"/>
  <c r="IE65" i="9"/>
  <c r="IF65" i="9"/>
  <c r="IG65" i="9"/>
  <c r="IH65" i="9"/>
  <c r="II65" i="9"/>
  <c r="IJ65" i="9"/>
  <c r="IK65" i="9"/>
  <c r="IL65" i="9"/>
  <c r="IM65" i="9"/>
  <c r="IN65" i="9"/>
  <c r="IO65" i="9"/>
  <c r="IP65" i="9"/>
  <c r="IQ65" i="9"/>
  <c r="IR65" i="9"/>
  <c r="IS65" i="9"/>
  <c r="IT65" i="9"/>
  <c r="IU65" i="9"/>
  <c r="IV65" i="9"/>
  <c r="A64" i="9"/>
  <c r="B64" i="9"/>
  <c r="C64" i="9"/>
  <c r="D64" i="9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U64" i="9"/>
  <c r="V64" i="9"/>
  <c r="W64" i="9"/>
  <c r="X64" i="9"/>
  <c r="Y64" i="9"/>
  <c r="Z64" i="9"/>
  <c r="AA64" i="9"/>
  <c r="AB64" i="9"/>
  <c r="AC64" i="9"/>
  <c r="AD64" i="9"/>
  <c r="AE64" i="9"/>
  <c r="AF64" i="9"/>
  <c r="AG64" i="9"/>
  <c r="AH64" i="9"/>
  <c r="AI64" i="9"/>
  <c r="AJ64" i="9"/>
  <c r="AK64" i="9"/>
  <c r="AL64" i="9"/>
  <c r="AM64" i="9"/>
  <c r="AN64" i="9"/>
  <c r="AO64" i="9"/>
  <c r="AP64" i="9"/>
  <c r="AQ64" i="9"/>
  <c r="AR64" i="9"/>
  <c r="AS64" i="9"/>
  <c r="AT64" i="9"/>
  <c r="AU64" i="9"/>
  <c r="AV64" i="9"/>
  <c r="AW64" i="9"/>
  <c r="AX64" i="9"/>
  <c r="AY64" i="9"/>
  <c r="AZ64" i="9"/>
  <c r="BA64" i="9"/>
  <c r="BB64" i="9"/>
  <c r="BC64" i="9"/>
  <c r="BD64" i="9"/>
  <c r="BE64" i="9"/>
  <c r="BF64" i="9"/>
  <c r="BG64" i="9"/>
  <c r="BH64" i="9"/>
  <c r="BI64" i="9"/>
  <c r="BJ64" i="9"/>
  <c r="BK64" i="9"/>
  <c r="BL64" i="9"/>
  <c r="BM64" i="9"/>
  <c r="BN64" i="9"/>
  <c r="BO64" i="9"/>
  <c r="BP64" i="9"/>
  <c r="BQ64" i="9"/>
  <c r="BR64" i="9"/>
  <c r="BS64" i="9"/>
  <c r="BT64" i="9"/>
  <c r="BU64" i="9"/>
  <c r="BV64" i="9"/>
  <c r="BW64" i="9"/>
  <c r="BX64" i="9"/>
  <c r="BY64" i="9"/>
  <c r="BZ64" i="9"/>
  <c r="CA64" i="9"/>
  <c r="CB64" i="9"/>
  <c r="CC64" i="9"/>
  <c r="CD64" i="9"/>
  <c r="CE64" i="9"/>
  <c r="CF64" i="9"/>
  <c r="CG64" i="9"/>
  <c r="CH64" i="9"/>
  <c r="CI64" i="9"/>
  <c r="CJ64" i="9"/>
  <c r="CK64" i="9"/>
  <c r="CL64" i="9"/>
  <c r="CM64" i="9"/>
  <c r="CN64" i="9"/>
  <c r="CO64" i="9"/>
  <c r="CP64" i="9"/>
  <c r="CQ64" i="9"/>
  <c r="CR64" i="9"/>
  <c r="CS64" i="9"/>
  <c r="CT64" i="9"/>
  <c r="CU64" i="9"/>
  <c r="CV64" i="9"/>
  <c r="CW64" i="9"/>
  <c r="CX64" i="9"/>
  <c r="CY64" i="9"/>
  <c r="CZ64" i="9"/>
  <c r="DA64" i="9"/>
  <c r="DB64" i="9"/>
  <c r="DC64" i="9"/>
  <c r="DD64" i="9"/>
  <c r="DE64" i="9"/>
  <c r="DF64" i="9"/>
  <c r="DG64" i="9"/>
  <c r="DH64" i="9"/>
  <c r="DI64" i="9"/>
  <c r="DJ64" i="9"/>
  <c r="DK64" i="9"/>
  <c r="DL64" i="9"/>
  <c r="DM64" i="9"/>
  <c r="DN64" i="9"/>
  <c r="DO64" i="9"/>
  <c r="DP64" i="9"/>
  <c r="DQ64" i="9"/>
  <c r="DR64" i="9"/>
  <c r="DS64" i="9"/>
  <c r="DT64" i="9"/>
  <c r="DU64" i="9"/>
  <c r="DV64" i="9"/>
  <c r="DW64" i="9"/>
  <c r="DX64" i="9"/>
  <c r="DY64" i="9"/>
  <c r="DZ64" i="9"/>
  <c r="EA64" i="9"/>
  <c r="EB64" i="9"/>
  <c r="EC64" i="9"/>
  <c r="ED64" i="9"/>
  <c r="EE64" i="9"/>
  <c r="EF64" i="9"/>
  <c r="EG64" i="9"/>
  <c r="EH64" i="9"/>
  <c r="EI64" i="9"/>
  <c r="EJ64" i="9"/>
  <c r="EK64" i="9"/>
  <c r="EL64" i="9"/>
  <c r="EM64" i="9"/>
  <c r="EN64" i="9"/>
  <c r="EO64" i="9"/>
  <c r="EP64" i="9"/>
  <c r="EQ64" i="9"/>
  <c r="ER64" i="9"/>
  <c r="ES64" i="9"/>
  <c r="ET64" i="9"/>
  <c r="EU64" i="9"/>
  <c r="EV64" i="9"/>
  <c r="EW64" i="9"/>
  <c r="EX64" i="9"/>
  <c r="EY64" i="9"/>
  <c r="EZ64" i="9"/>
  <c r="FA64" i="9"/>
  <c r="FB64" i="9"/>
  <c r="FC64" i="9"/>
  <c r="FD64" i="9"/>
  <c r="FE64" i="9"/>
  <c r="FF64" i="9"/>
  <c r="FG64" i="9"/>
  <c r="FH64" i="9"/>
  <c r="FI64" i="9"/>
  <c r="FJ64" i="9"/>
  <c r="FK64" i="9"/>
  <c r="FL64" i="9"/>
  <c r="FM64" i="9"/>
  <c r="FN64" i="9"/>
  <c r="FO64" i="9"/>
  <c r="FP64" i="9"/>
  <c r="FQ64" i="9"/>
  <c r="FR64" i="9"/>
  <c r="FS64" i="9"/>
  <c r="FT64" i="9"/>
  <c r="FU64" i="9"/>
  <c r="FV64" i="9"/>
  <c r="FW64" i="9"/>
  <c r="FX64" i="9"/>
  <c r="FY64" i="9"/>
  <c r="FZ64" i="9"/>
  <c r="GA64" i="9"/>
  <c r="GB64" i="9"/>
  <c r="GC64" i="9"/>
  <c r="GD64" i="9"/>
  <c r="GE64" i="9"/>
  <c r="GF64" i="9"/>
  <c r="GG64" i="9"/>
  <c r="GH64" i="9"/>
  <c r="GI64" i="9"/>
  <c r="GJ64" i="9"/>
  <c r="GK64" i="9"/>
  <c r="GL64" i="9"/>
  <c r="GM64" i="9"/>
  <c r="GN64" i="9"/>
  <c r="GO64" i="9"/>
  <c r="GP64" i="9"/>
  <c r="GQ64" i="9"/>
  <c r="GR64" i="9"/>
  <c r="GS64" i="9"/>
  <c r="GT64" i="9"/>
  <c r="GU64" i="9"/>
  <c r="GV64" i="9"/>
  <c r="GW64" i="9"/>
  <c r="GX64" i="9"/>
  <c r="GY64" i="9"/>
  <c r="GZ64" i="9"/>
  <c r="HA64" i="9"/>
  <c r="HB64" i="9"/>
  <c r="HC64" i="9"/>
  <c r="HD64" i="9"/>
  <c r="HE64" i="9"/>
  <c r="HF64" i="9"/>
  <c r="HG64" i="9"/>
  <c r="HH64" i="9"/>
  <c r="HI64" i="9"/>
  <c r="HJ64" i="9"/>
  <c r="HK64" i="9"/>
  <c r="HL64" i="9"/>
  <c r="HM64" i="9"/>
  <c r="HN64" i="9"/>
  <c r="HO64" i="9"/>
  <c r="HP64" i="9"/>
  <c r="HQ64" i="9"/>
  <c r="HR64" i="9"/>
  <c r="HS64" i="9"/>
  <c r="HT64" i="9"/>
  <c r="HU64" i="9"/>
  <c r="HV64" i="9"/>
  <c r="HW64" i="9"/>
  <c r="HX64" i="9"/>
  <c r="HY64" i="9"/>
  <c r="HZ64" i="9"/>
  <c r="IA64" i="9"/>
  <c r="IB64" i="9"/>
  <c r="IC64" i="9"/>
  <c r="ID64" i="9"/>
  <c r="IE64" i="9"/>
  <c r="IF64" i="9"/>
  <c r="IG64" i="9"/>
  <c r="IH64" i="9"/>
  <c r="II64" i="9"/>
  <c r="IJ64" i="9"/>
  <c r="IK64" i="9"/>
  <c r="IL64" i="9"/>
  <c r="IM64" i="9"/>
  <c r="IN64" i="9"/>
  <c r="IO64" i="9"/>
  <c r="IP64" i="9"/>
  <c r="IQ64" i="9"/>
  <c r="IR64" i="9"/>
  <c r="IS64" i="9"/>
  <c r="IT64" i="9"/>
  <c r="IU64" i="9"/>
  <c r="IV64" i="9"/>
  <c r="A63" i="9"/>
  <c r="B63" i="9"/>
  <c r="C63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X63" i="9"/>
  <c r="Y63" i="9"/>
  <c r="Z63" i="9"/>
  <c r="AA63" i="9"/>
  <c r="AB63" i="9"/>
  <c r="AC63" i="9"/>
  <c r="AD63" i="9"/>
  <c r="AE63" i="9"/>
  <c r="AF63" i="9"/>
  <c r="AG63" i="9"/>
  <c r="AH63" i="9"/>
  <c r="AI63" i="9"/>
  <c r="AJ63" i="9"/>
  <c r="AK63" i="9"/>
  <c r="AL63" i="9"/>
  <c r="AM63" i="9"/>
  <c r="AN63" i="9"/>
  <c r="AO63" i="9"/>
  <c r="AP63" i="9"/>
  <c r="AQ63" i="9"/>
  <c r="AR63" i="9"/>
  <c r="AS63" i="9"/>
  <c r="AT63" i="9"/>
  <c r="AU63" i="9"/>
  <c r="AV63" i="9"/>
  <c r="AW63" i="9"/>
  <c r="AX63" i="9"/>
  <c r="AY63" i="9"/>
  <c r="AZ63" i="9"/>
  <c r="BA63" i="9"/>
  <c r="BB63" i="9"/>
  <c r="BC63" i="9"/>
  <c r="BD63" i="9"/>
  <c r="BE63" i="9"/>
  <c r="BF63" i="9"/>
  <c r="BG63" i="9"/>
  <c r="BH63" i="9"/>
  <c r="BI63" i="9"/>
  <c r="BJ63" i="9"/>
  <c r="BK63" i="9"/>
  <c r="BL63" i="9"/>
  <c r="BM63" i="9"/>
  <c r="BN63" i="9"/>
  <c r="BO63" i="9"/>
  <c r="BP63" i="9"/>
  <c r="BQ63" i="9"/>
  <c r="BR63" i="9"/>
  <c r="BS63" i="9"/>
  <c r="BT63" i="9"/>
  <c r="BU63" i="9"/>
  <c r="BV63" i="9"/>
  <c r="BW63" i="9"/>
  <c r="BX63" i="9"/>
  <c r="BY63" i="9"/>
  <c r="BZ63" i="9"/>
  <c r="CA63" i="9"/>
  <c r="CB63" i="9"/>
  <c r="CC63" i="9"/>
  <c r="CD63" i="9"/>
  <c r="CE63" i="9"/>
  <c r="CF63" i="9"/>
  <c r="CG63" i="9"/>
  <c r="CH63" i="9"/>
  <c r="CI63" i="9"/>
  <c r="CJ63" i="9"/>
  <c r="CK63" i="9"/>
  <c r="CL63" i="9"/>
  <c r="CM63" i="9"/>
  <c r="CN63" i="9"/>
  <c r="CO63" i="9"/>
  <c r="CP63" i="9"/>
  <c r="CQ63" i="9"/>
  <c r="CR63" i="9"/>
  <c r="CS63" i="9"/>
  <c r="CT63" i="9"/>
  <c r="CU63" i="9"/>
  <c r="CV63" i="9"/>
  <c r="CW63" i="9"/>
  <c r="CX63" i="9"/>
  <c r="CY63" i="9"/>
  <c r="CZ63" i="9"/>
  <c r="DA63" i="9"/>
  <c r="DB63" i="9"/>
  <c r="DC63" i="9"/>
  <c r="DD63" i="9"/>
  <c r="DE63" i="9"/>
  <c r="DF63" i="9"/>
  <c r="DG63" i="9"/>
  <c r="DH63" i="9"/>
  <c r="DI63" i="9"/>
  <c r="DJ63" i="9"/>
  <c r="DK63" i="9"/>
  <c r="DL63" i="9"/>
  <c r="DM63" i="9"/>
  <c r="DN63" i="9"/>
  <c r="DO63" i="9"/>
  <c r="DP63" i="9"/>
  <c r="DQ63" i="9"/>
  <c r="DR63" i="9"/>
  <c r="DS63" i="9"/>
  <c r="DT63" i="9"/>
  <c r="DU63" i="9"/>
  <c r="DV63" i="9"/>
  <c r="DW63" i="9"/>
  <c r="DX63" i="9"/>
  <c r="DY63" i="9"/>
  <c r="DZ63" i="9"/>
  <c r="EA63" i="9"/>
  <c r="EB63" i="9"/>
  <c r="EC63" i="9"/>
  <c r="ED63" i="9"/>
  <c r="EE63" i="9"/>
  <c r="EF63" i="9"/>
  <c r="EG63" i="9"/>
  <c r="EH63" i="9"/>
  <c r="EI63" i="9"/>
  <c r="EJ63" i="9"/>
  <c r="EK63" i="9"/>
  <c r="EL63" i="9"/>
  <c r="EM63" i="9"/>
  <c r="EN63" i="9"/>
  <c r="EO63" i="9"/>
  <c r="EP63" i="9"/>
  <c r="EQ63" i="9"/>
  <c r="ER63" i="9"/>
  <c r="ES63" i="9"/>
  <c r="ET63" i="9"/>
  <c r="EU63" i="9"/>
  <c r="EV63" i="9"/>
  <c r="EW63" i="9"/>
  <c r="EX63" i="9"/>
  <c r="EY63" i="9"/>
  <c r="EZ63" i="9"/>
  <c r="FA63" i="9"/>
  <c r="FB63" i="9"/>
  <c r="FC63" i="9"/>
  <c r="FD63" i="9"/>
  <c r="FE63" i="9"/>
  <c r="FF63" i="9"/>
  <c r="FG63" i="9"/>
  <c r="FH63" i="9"/>
  <c r="FI63" i="9"/>
  <c r="FJ63" i="9"/>
  <c r="FK63" i="9"/>
  <c r="FL63" i="9"/>
  <c r="FM63" i="9"/>
  <c r="FN63" i="9"/>
  <c r="FO63" i="9"/>
  <c r="FP63" i="9"/>
  <c r="FQ63" i="9"/>
  <c r="FR63" i="9"/>
  <c r="FS63" i="9"/>
  <c r="FT63" i="9"/>
  <c r="FU63" i="9"/>
  <c r="FV63" i="9"/>
  <c r="FW63" i="9"/>
  <c r="FX63" i="9"/>
  <c r="FY63" i="9"/>
  <c r="FZ63" i="9"/>
  <c r="GA63" i="9"/>
  <c r="GB63" i="9"/>
  <c r="GC63" i="9"/>
  <c r="GD63" i="9"/>
  <c r="GE63" i="9"/>
  <c r="GF63" i="9"/>
  <c r="GG63" i="9"/>
  <c r="GH63" i="9"/>
  <c r="GI63" i="9"/>
  <c r="GJ63" i="9"/>
  <c r="GK63" i="9"/>
  <c r="GL63" i="9"/>
  <c r="GM63" i="9"/>
  <c r="GN63" i="9"/>
  <c r="GO63" i="9"/>
  <c r="GP63" i="9"/>
  <c r="GQ63" i="9"/>
  <c r="GR63" i="9"/>
  <c r="GS63" i="9"/>
  <c r="GT63" i="9"/>
  <c r="GU63" i="9"/>
  <c r="GV63" i="9"/>
  <c r="GW63" i="9"/>
  <c r="GX63" i="9"/>
  <c r="GY63" i="9"/>
  <c r="GZ63" i="9"/>
  <c r="HA63" i="9"/>
  <c r="HB63" i="9"/>
  <c r="HC63" i="9"/>
  <c r="HD63" i="9"/>
  <c r="HE63" i="9"/>
  <c r="HF63" i="9"/>
  <c r="HG63" i="9"/>
  <c r="HH63" i="9"/>
  <c r="HI63" i="9"/>
  <c r="HJ63" i="9"/>
  <c r="HK63" i="9"/>
  <c r="HL63" i="9"/>
  <c r="HM63" i="9"/>
  <c r="HN63" i="9"/>
  <c r="HO63" i="9"/>
  <c r="HP63" i="9"/>
  <c r="HQ63" i="9"/>
  <c r="HR63" i="9"/>
  <c r="HS63" i="9"/>
  <c r="HT63" i="9"/>
  <c r="HU63" i="9"/>
  <c r="HV63" i="9"/>
  <c r="HW63" i="9"/>
  <c r="HX63" i="9"/>
  <c r="HY63" i="9"/>
  <c r="HZ63" i="9"/>
  <c r="IA63" i="9"/>
  <c r="IB63" i="9"/>
  <c r="IC63" i="9"/>
  <c r="ID63" i="9"/>
  <c r="IE63" i="9"/>
  <c r="IF63" i="9"/>
  <c r="IG63" i="9"/>
  <c r="IH63" i="9"/>
  <c r="II63" i="9"/>
  <c r="IJ63" i="9"/>
  <c r="IK63" i="9"/>
  <c r="IL63" i="9"/>
  <c r="IM63" i="9"/>
  <c r="IN63" i="9"/>
  <c r="IO63" i="9"/>
  <c r="IP63" i="9"/>
  <c r="IQ63" i="9"/>
  <c r="IR63" i="9"/>
  <c r="IS63" i="9"/>
  <c r="IT63" i="9"/>
  <c r="IU63" i="9"/>
  <c r="IV63" i="9"/>
  <c r="A62" i="9"/>
  <c r="B62" i="9"/>
  <c r="C62" i="9"/>
  <c r="D62" i="9"/>
  <c r="E62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V62" i="9"/>
  <c r="W62" i="9"/>
  <c r="X62" i="9"/>
  <c r="Y62" i="9"/>
  <c r="Z62" i="9"/>
  <c r="AA62" i="9"/>
  <c r="AB62" i="9"/>
  <c r="AC62" i="9"/>
  <c r="AD62" i="9"/>
  <c r="AE62" i="9"/>
  <c r="AF62" i="9"/>
  <c r="AG62" i="9"/>
  <c r="AH62" i="9"/>
  <c r="AI62" i="9"/>
  <c r="AJ62" i="9"/>
  <c r="AK62" i="9"/>
  <c r="AL62" i="9"/>
  <c r="AM62" i="9"/>
  <c r="AN62" i="9"/>
  <c r="AO62" i="9"/>
  <c r="AP62" i="9"/>
  <c r="AQ62" i="9"/>
  <c r="AR62" i="9"/>
  <c r="AS62" i="9"/>
  <c r="AT62" i="9"/>
  <c r="AU62" i="9"/>
  <c r="AV62" i="9"/>
  <c r="AW62" i="9"/>
  <c r="AX62" i="9"/>
  <c r="AY62" i="9"/>
  <c r="AZ62" i="9"/>
  <c r="BA62" i="9"/>
  <c r="BB62" i="9"/>
  <c r="BC62" i="9"/>
  <c r="BD62" i="9"/>
  <c r="BE62" i="9"/>
  <c r="BF62" i="9"/>
  <c r="BG62" i="9"/>
  <c r="BH62" i="9"/>
  <c r="BI62" i="9"/>
  <c r="BJ62" i="9"/>
  <c r="BK62" i="9"/>
  <c r="BL62" i="9"/>
  <c r="BM62" i="9"/>
  <c r="BN62" i="9"/>
  <c r="BO62" i="9"/>
  <c r="BP62" i="9"/>
  <c r="BQ62" i="9"/>
  <c r="BR62" i="9"/>
  <c r="BS62" i="9"/>
  <c r="BT62" i="9"/>
  <c r="BU62" i="9"/>
  <c r="BV62" i="9"/>
  <c r="BW62" i="9"/>
  <c r="BX62" i="9"/>
  <c r="BY62" i="9"/>
  <c r="BZ62" i="9"/>
  <c r="CA62" i="9"/>
  <c r="CB62" i="9"/>
  <c r="CC62" i="9"/>
  <c r="CD62" i="9"/>
  <c r="CE62" i="9"/>
  <c r="CF62" i="9"/>
  <c r="CG62" i="9"/>
  <c r="CH62" i="9"/>
  <c r="CI62" i="9"/>
  <c r="CJ62" i="9"/>
  <c r="CK62" i="9"/>
  <c r="CL62" i="9"/>
  <c r="CM62" i="9"/>
  <c r="CN62" i="9"/>
  <c r="CO62" i="9"/>
  <c r="CP62" i="9"/>
  <c r="CQ62" i="9"/>
  <c r="CR62" i="9"/>
  <c r="CS62" i="9"/>
  <c r="CT62" i="9"/>
  <c r="CU62" i="9"/>
  <c r="CV62" i="9"/>
  <c r="CW62" i="9"/>
  <c r="CX62" i="9"/>
  <c r="CY62" i="9"/>
  <c r="CZ62" i="9"/>
  <c r="DA62" i="9"/>
  <c r="DB62" i="9"/>
  <c r="DC62" i="9"/>
  <c r="DD62" i="9"/>
  <c r="DE62" i="9"/>
  <c r="DF62" i="9"/>
  <c r="DG62" i="9"/>
  <c r="DH62" i="9"/>
  <c r="DI62" i="9"/>
  <c r="DJ62" i="9"/>
  <c r="DK62" i="9"/>
  <c r="DL62" i="9"/>
  <c r="DM62" i="9"/>
  <c r="DN62" i="9"/>
  <c r="DO62" i="9"/>
  <c r="DP62" i="9"/>
  <c r="DQ62" i="9"/>
  <c r="DR62" i="9"/>
  <c r="DS62" i="9"/>
  <c r="DT62" i="9"/>
  <c r="DU62" i="9"/>
  <c r="DV62" i="9"/>
  <c r="DW62" i="9"/>
  <c r="DX62" i="9"/>
  <c r="DY62" i="9"/>
  <c r="DZ62" i="9"/>
  <c r="EA62" i="9"/>
  <c r="EB62" i="9"/>
  <c r="EC62" i="9"/>
  <c r="ED62" i="9"/>
  <c r="EE62" i="9"/>
  <c r="EF62" i="9"/>
  <c r="EG62" i="9"/>
  <c r="EH62" i="9"/>
  <c r="EI62" i="9"/>
  <c r="EJ62" i="9"/>
  <c r="EK62" i="9"/>
  <c r="EL62" i="9"/>
  <c r="EM62" i="9"/>
  <c r="EN62" i="9"/>
  <c r="EO62" i="9"/>
  <c r="EP62" i="9"/>
  <c r="EQ62" i="9"/>
  <c r="ER62" i="9"/>
  <c r="ES62" i="9"/>
  <c r="ET62" i="9"/>
  <c r="EU62" i="9"/>
  <c r="EV62" i="9"/>
  <c r="EW62" i="9"/>
  <c r="EX62" i="9"/>
  <c r="EY62" i="9"/>
  <c r="EZ62" i="9"/>
  <c r="FA62" i="9"/>
  <c r="FB62" i="9"/>
  <c r="FC62" i="9"/>
  <c r="FD62" i="9"/>
  <c r="FE62" i="9"/>
  <c r="FF62" i="9"/>
  <c r="FG62" i="9"/>
  <c r="FH62" i="9"/>
  <c r="FI62" i="9"/>
  <c r="FJ62" i="9"/>
  <c r="FK62" i="9"/>
  <c r="FL62" i="9"/>
  <c r="FM62" i="9"/>
  <c r="FN62" i="9"/>
  <c r="FO62" i="9"/>
  <c r="FP62" i="9"/>
  <c r="FQ62" i="9"/>
  <c r="FR62" i="9"/>
  <c r="FS62" i="9"/>
  <c r="FT62" i="9"/>
  <c r="FU62" i="9"/>
  <c r="FV62" i="9"/>
  <c r="FW62" i="9"/>
  <c r="FX62" i="9"/>
  <c r="FY62" i="9"/>
  <c r="FZ62" i="9"/>
  <c r="GA62" i="9"/>
  <c r="GB62" i="9"/>
  <c r="GC62" i="9"/>
  <c r="GD62" i="9"/>
  <c r="GE62" i="9"/>
  <c r="GF62" i="9"/>
  <c r="GG62" i="9"/>
  <c r="GH62" i="9"/>
  <c r="GI62" i="9"/>
  <c r="GJ62" i="9"/>
  <c r="GK62" i="9"/>
  <c r="GL62" i="9"/>
  <c r="GM62" i="9"/>
  <c r="GN62" i="9"/>
  <c r="GO62" i="9"/>
  <c r="GP62" i="9"/>
  <c r="GQ62" i="9"/>
  <c r="GR62" i="9"/>
  <c r="GS62" i="9"/>
  <c r="GT62" i="9"/>
  <c r="GU62" i="9"/>
  <c r="GV62" i="9"/>
  <c r="GW62" i="9"/>
  <c r="GX62" i="9"/>
  <c r="GY62" i="9"/>
  <c r="GZ62" i="9"/>
  <c r="HA62" i="9"/>
  <c r="HB62" i="9"/>
  <c r="HC62" i="9"/>
  <c r="HD62" i="9"/>
  <c r="HE62" i="9"/>
  <c r="HF62" i="9"/>
  <c r="HG62" i="9"/>
  <c r="HH62" i="9"/>
  <c r="HI62" i="9"/>
  <c r="HJ62" i="9"/>
  <c r="HK62" i="9"/>
  <c r="HL62" i="9"/>
  <c r="HM62" i="9"/>
  <c r="HN62" i="9"/>
  <c r="HO62" i="9"/>
  <c r="HP62" i="9"/>
  <c r="HQ62" i="9"/>
  <c r="HR62" i="9"/>
  <c r="HS62" i="9"/>
  <c r="HT62" i="9"/>
  <c r="HU62" i="9"/>
  <c r="HV62" i="9"/>
  <c r="HW62" i="9"/>
  <c r="HX62" i="9"/>
  <c r="HY62" i="9"/>
  <c r="HZ62" i="9"/>
  <c r="IA62" i="9"/>
  <c r="IB62" i="9"/>
  <c r="IC62" i="9"/>
  <c r="ID62" i="9"/>
  <c r="IE62" i="9"/>
  <c r="IF62" i="9"/>
  <c r="IG62" i="9"/>
  <c r="IH62" i="9"/>
  <c r="II62" i="9"/>
  <c r="IJ62" i="9"/>
  <c r="IK62" i="9"/>
  <c r="IL62" i="9"/>
  <c r="IM62" i="9"/>
  <c r="IN62" i="9"/>
  <c r="IO62" i="9"/>
  <c r="IP62" i="9"/>
  <c r="IQ62" i="9"/>
  <c r="IR62" i="9"/>
  <c r="IS62" i="9"/>
  <c r="IT62" i="9"/>
  <c r="IU62" i="9"/>
  <c r="IV62" i="9"/>
  <c r="A61" i="9"/>
  <c r="B61" i="9"/>
  <c r="C61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V61" i="9"/>
  <c r="W61" i="9"/>
  <c r="X61" i="9"/>
  <c r="Y61" i="9"/>
  <c r="Z61" i="9"/>
  <c r="AA61" i="9"/>
  <c r="AB61" i="9"/>
  <c r="AC61" i="9"/>
  <c r="AD61" i="9"/>
  <c r="AE61" i="9"/>
  <c r="AF61" i="9"/>
  <c r="AG61" i="9"/>
  <c r="AH61" i="9"/>
  <c r="AI61" i="9"/>
  <c r="AJ61" i="9"/>
  <c r="AK61" i="9"/>
  <c r="AL61" i="9"/>
  <c r="AM61" i="9"/>
  <c r="AN61" i="9"/>
  <c r="AO61" i="9"/>
  <c r="AP61" i="9"/>
  <c r="AQ61" i="9"/>
  <c r="AR61" i="9"/>
  <c r="AS61" i="9"/>
  <c r="AT61" i="9"/>
  <c r="AU61" i="9"/>
  <c r="AV61" i="9"/>
  <c r="AW61" i="9"/>
  <c r="AX61" i="9"/>
  <c r="AY61" i="9"/>
  <c r="AZ61" i="9"/>
  <c r="BA61" i="9"/>
  <c r="BB61" i="9"/>
  <c r="BC61" i="9"/>
  <c r="BD61" i="9"/>
  <c r="BE61" i="9"/>
  <c r="BF61" i="9"/>
  <c r="BG61" i="9"/>
  <c r="BH61" i="9"/>
  <c r="BI61" i="9"/>
  <c r="BJ61" i="9"/>
  <c r="BK61" i="9"/>
  <c r="BL61" i="9"/>
  <c r="BM61" i="9"/>
  <c r="BN61" i="9"/>
  <c r="BO61" i="9"/>
  <c r="BP61" i="9"/>
  <c r="BQ61" i="9"/>
  <c r="BR61" i="9"/>
  <c r="BS61" i="9"/>
  <c r="BT61" i="9"/>
  <c r="BU61" i="9"/>
  <c r="BV61" i="9"/>
  <c r="BW61" i="9"/>
  <c r="BX61" i="9"/>
  <c r="BY61" i="9"/>
  <c r="BZ61" i="9"/>
  <c r="CA61" i="9"/>
  <c r="CB61" i="9"/>
  <c r="CC61" i="9"/>
  <c r="CD61" i="9"/>
  <c r="CE61" i="9"/>
  <c r="CF61" i="9"/>
  <c r="CG61" i="9"/>
  <c r="CH61" i="9"/>
  <c r="CI61" i="9"/>
  <c r="CJ61" i="9"/>
  <c r="CK61" i="9"/>
  <c r="CL61" i="9"/>
  <c r="CM61" i="9"/>
  <c r="CN61" i="9"/>
  <c r="CO61" i="9"/>
  <c r="CP61" i="9"/>
  <c r="CQ61" i="9"/>
  <c r="CR61" i="9"/>
  <c r="CS61" i="9"/>
  <c r="CT61" i="9"/>
  <c r="CU61" i="9"/>
  <c r="CV61" i="9"/>
  <c r="CW61" i="9"/>
  <c r="CX61" i="9"/>
  <c r="CY61" i="9"/>
  <c r="CZ61" i="9"/>
  <c r="DA61" i="9"/>
  <c r="DB61" i="9"/>
  <c r="DC61" i="9"/>
  <c r="DD61" i="9"/>
  <c r="DE61" i="9"/>
  <c r="DF61" i="9"/>
  <c r="DG61" i="9"/>
  <c r="DH61" i="9"/>
  <c r="DI61" i="9"/>
  <c r="DJ61" i="9"/>
  <c r="DK61" i="9"/>
  <c r="DL61" i="9"/>
  <c r="DM61" i="9"/>
  <c r="DN61" i="9"/>
  <c r="DO61" i="9"/>
  <c r="DP61" i="9"/>
  <c r="DQ61" i="9"/>
  <c r="DR61" i="9"/>
  <c r="DS61" i="9"/>
  <c r="DT61" i="9"/>
  <c r="DU61" i="9"/>
  <c r="DV61" i="9"/>
  <c r="DW61" i="9"/>
  <c r="DX61" i="9"/>
  <c r="DY61" i="9"/>
  <c r="DZ61" i="9"/>
  <c r="EA61" i="9"/>
  <c r="EB61" i="9"/>
  <c r="EC61" i="9"/>
  <c r="ED61" i="9"/>
  <c r="EE61" i="9"/>
  <c r="EF61" i="9"/>
  <c r="EG61" i="9"/>
  <c r="EH61" i="9"/>
  <c r="EI61" i="9"/>
  <c r="EJ61" i="9"/>
  <c r="EK61" i="9"/>
  <c r="EL61" i="9"/>
  <c r="EM61" i="9"/>
  <c r="EN61" i="9"/>
  <c r="EO61" i="9"/>
  <c r="EP61" i="9"/>
  <c r="EQ61" i="9"/>
  <c r="ER61" i="9"/>
  <c r="ES61" i="9"/>
  <c r="ET61" i="9"/>
  <c r="EU61" i="9"/>
  <c r="EV61" i="9"/>
  <c r="EW61" i="9"/>
  <c r="EX61" i="9"/>
  <c r="EY61" i="9"/>
  <c r="EZ61" i="9"/>
  <c r="FA61" i="9"/>
  <c r="FB61" i="9"/>
  <c r="FC61" i="9"/>
  <c r="FD61" i="9"/>
  <c r="FE61" i="9"/>
  <c r="FF61" i="9"/>
  <c r="FG61" i="9"/>
  <c r="FH61" i="9"/>
  <c r="FI61" i="9"/>
  <c r="FJ61" i="9"/>
  <c r="FK61" i="9"/>
  <c r="FL61" i="9"/>
  <c r="FM61" i="9"/>
  <c r="FN61" i="9"/>
  <c r="FO61" i="9"/>
  <c r="FP61" i="9"/>
  <c r="FQ61" i="9"/>
  <c r="FR61" i="9"/>
  <c r="FS61" i="9"/>
  <c r="FT61" i="9"/>
  <c r="FU61" i="9"/>
  <c r="FV61" i="9"/>
  <c r="FW61" i="9"/>
  <c r="FX61" i="9"/>
  <c r="FY61" i="9"/>
  <c r="FZ61" i="9"/>
  <c r="GA61" i="9"/>
  <c r="GB61" i="9"/>
  <c r="GC61" i="9"/>
  <c r="GD61" i="9"/>
  <c r="GE61" i="9"/>
  <c r="GF61" i="9"/>
  <c r="GG61" i="9"/>
  <c r="GH61" i="9"/>
  <c r="GI61" i="9"/>
  <c r="GJ61" i="9"/>
  <c r="GK61" i="9"/>
  <c r="GL61" i="9"/>
  <c r="GM61" i="9"/>
  <c r="GN61" i="9"/>
  <c r="GO61" i="9"/>
  <c r="GP61" i="9"/>
  <c r="GQ61" i="9"/>
  <c r="GR61" i="9"/>
  <c r="GS61" i="9"/>
  <c r="GT61" i="9"/>
  <c r="GU61" i="9"/>
  <c r="GV61" i="9"/>
  <c r="GW61" i="9"/>
  <c r="GX61" i="9"/>
  <c r="GY61" i="9"/>
  <c r="GZ61" i="9"/>
  <c r="HA61" i="9"/>
  <c r="HB61" i="9"/>
  <c r="HC61" i="9"/>
  <c r="HD61" i="9"/>
  <c r="HE61" i="9"/>
  <c r="HF61" i="9"/>
  <c r="HG61" i="9"/>
  <c r="HH61" i="9"/>
  <c r="HI61" i="9"/>
  <c r="HJ61" i="9"/>
  <c r="HK61" i="9"/>
  <c r="HL61" i="9"/>
  <c r="HM61" i="9"/>
  <c r="HN61" i="9"/>
  <c r="HO61" i="9"/>
  <c r="HP61" i="9"/>
  <c r="HQ61" i="9"/>
  <c r="HR61" i="9"/>
  <c r="HS61" i="9"/>
  <c r="HT61" i="9"/>
  <c r="HU61" i="9"/>
  <c r="HV61" i="9"/>
  <c r="HW61" i="9"/>
  <c r="HX61" i="9"/>
  <c r="HY61" i="9"/>
  <c r="HZ61" i="9"/>
  <c r="IA61" i="9"/>
  <c r="IB61" i="9"/>
  <c r="IC61" i="9"/>
  <c r="ID61" i="9"/>
  <c r="IE61" i="9"/>
  <c r="IF61" i="9"/>
  <c r="IG61" i="9"/>
  <c r="IH61" i="9"/>
  <c r="II61" i="9"/>
  <c r="IJ61" i="9"/>
  <c r="IK61" i="9"/>
  <c r="IL61" i="9"/>
  <c r="IM61" i="9"/>
  <c r="IN61" i="9"/>
  <c r="IO61" i="9"/>
  <c r="IP61" i="9"/>
  <c r="IQ61" i="9"/>
  <c r="IR61" i="9"/>
  <c r="IS61" i="9"/>
  <c r="IT61" i="9"/>
  <c r="IU61" i="9"/>
  <c r="IV61" i="9"/>
  <c r="A60" i="9"/>
  <c r="B60" i="9"/>
  <c r="C60" i="9"/>
  <c r="D60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U60" i="9"/>
  <c r="V60" i="9"/>
  <c r="W60" i="9"/>
  <c r="X60" i="9"/>
  <c r="Y60" i="9"/>
  <c r="Z60" i="9"/>
  <c r="AA60" i="9"/>
  <c r="AB60" i="9"/>
  <c r="AC60" i="9"/>
  <c r="AD60" i="9"/>
  <c r="AE60" i="9"/>
  <c r="AF60" i="9"/>
  <c r="AG60" i="9"/>
  <c r="AH60" i="9"/>
  <c r="AI60" i="9"/>
  <c r="AJ60" i="9"/>
  <c r="AK60" i="9"/>
  <c r="AL60" i="9"/>
  <c r="AM60" i="9"/>
  <c r="AN60" i="9"/>
  <c r="AO60" i="9"/>
  <c r="AP60" i="9"/>
  <c r="AQ60" i="9"/>
  <c r="AR60" i="9"/>
  <c r="AS60" i="9"/>
  <c r="AT60" i="9"/>
  <c r="AU60" i="9"/>
  <c r="AV60" i="9"/>
  <c r="AW60" i="9"/>
  <c r="AX60" i="9"/>
  <c r="AY60" i="9"/>
  <c r="AZ60" i="9"/>
  <c r="BA60" i="9"/>
  <c r="BB60" i="9"/>
  <c r="BC60" i="9"/>
  <c r="BD60" i="9"/>
  <c r="BE60" i="9"/>
  <c r="BF60" i="9"/>
  <c r="BG60" i="9"/>
  <c r="BH60" i="9"/>
  <c r="BI60" i="9"/>
  <c r="BJ60" i="9"/>
  <c r="BK60" i="9"/>
  <c r="BL60" i="9"/>
  <c r="BM60" i="9"/>
  <c r="BN60" i="9"/>
  <c r="BO60" i="9"/>
  <c r="BP60" i="9"/>
  <c r="BQ60" i="9"/>
  <c r="BR60" i="9"/>
  <c r="BS60" i="9"/>
  <c r="BT60" i="9"/>
  <c r="BU60" i="9"/>
  <c r="BV60" i="9"/>
  <c r="BW60" i="9"/>
  <c r="BX60" i="9"/>
  <c r="BY60" i="9"/>
  <c r="BZ60" i="9"/>
  <c r="CA60" i="9"/>
  <c r="CB60" i="9"/>
  <c r="CC60" i="9"/>
  <c r="CD60" i="9"/>
  <c r="CE60" i="9"/>
  <c r="CF60" i="9"/>
  <c r="CG60" i="9"/>
  <c r="CH60" i="9"/>
  <c r="CI60" i="9"/>
  <c r="CJ60" i="9"/>
  <c r="CK60" i="9"/>
  <c r="CL60" i="9"/>
  <c r="CM60" i="9"/>
  <c r="CN60" i="9"/>
  <c r="CO60" i="9"/>
  <c r="CP60" i="9"/>
  <c r="CQ60" i="9"/>
  <c r="CR60" i="9"/>
  <c r="CS60" i="9"/>
  <c r="CT60" i="9"/>
  <c r="CU60" i="9"/>
  <c r="CV60" i="9"/>
  <c r="CW60" i="9"/>
  <c r="CX60" i="9"/>
  <c r="CY60" i="9"/>
  <c r="CZ60" i="9"/>
  <c r="DA60" i="9"/>
  <c r="DB60" i="9"/>
  <c r="DC60" i="9"/>
  <c r="DD60" i="9"/>
  <c r="DE60" i="9"/>
  <c r="DF60" i="9"/>
  <c r="DG60" i="9"/>
  <c r="DH60" i="9"/>
  <c r="DI60" i="9"/>
  <c r="DJ60" i="9"/>
  <c r="DK60" i="9"/>
  <c r="DL60" i="9"/>
  <c r="DM60" i="9"/>
  <c r="DN60" i="9"/>
  <c r="DO60" i="9"/>
  <c r="DP60" i="9"/>
  <c r="DQ60" i="9"/>
  <c r="DR60" i="9"/>
  <c r="DS60" i="9"/>
  <c r="DT60" i="9"/>
  <c r="DU60" i="9"/>
  <c r="DV60" i="9"/>
  <c r="DW60" i="9"/>
  <c r="DX60" i="9"/>
  <c r="DY60" i="9"/>
  <c r="DZ60" i="9"/>
  <c r="EA60" i="9"/>
  <c r="EB60" i="9"/>
  <c r="EC60" i="9"/>
  <c r="ED60" i="9"/>
  <c r="EE60" i="9"/>
  <c r="EF60" i="9"/>
  <c r="EG60" i="9"/>
  <c r="EH60" i="9"/>
  <c r="EI60" i="9"/>
  <c r="EJ60" i="9"/>
  <c r="EK60" i="9"/>
  <c r="EL60" i="9"/>
  <c r="EM60" i="9"/>
  <c r="EN60" i="9"/>
  <c r="EO60" i="9"/>
  <c r="EP60" i="9"/>
  <c r="EQ60" i="9"/>
  <c r="ER60" i="9"/>
  <c r="ES60" i="9"/>
  <c r="ET60" i="9"/>
  <c r="EU60" i="9"/>
  <c r="EV60" i="9"/>
  <c r="EW60" i="9"/>
  <c r="EX60" i="9"/>
  <c r="EY60" i="9"/>
  <c r="EZ60" i="9"/>
  <c r="FA60" i="9"/>
  <c r="FB60" i="9"/>
  <c r="FC60" i="9"/>
  <c r="FD60" i="9"/>
  <c r="FE60" i="9"/>
  <c r="FF60" i="9"/>
  <c r="FG60" i="9"/>
  <c r="FH60" i="9"/>
  <c r="FI60" i="9"/>
  <c r="FJ60" i="9"/>
  <c r="FK60" i="9"/>
  <c r="FL60" i="9"/>
  <c r="FM60" i="9"/>
  <c r="FN60" i="9"/>
  <c r="FO60" i="9"/>
  <c r="FP60" i="9"/>
  <c r="FQ60" i="9"/>
  <c r="FR60" i="9"/>
  <c r="FS60" i="9"/>
  <c r="FT60" i="9"/>
  <c r="FU60" i="9"/>
  <c r="FV60" i="9"/>
  <c r="FW60" i="9"/>
  <c r="FX60" i="9"/>
  <c r="FY60" i="9"/>
  <c r="FZ60" i="9"/>
  <c r="GA60" i="9"/>
  <c r="GB60" i="9"/>
  <c r="GC60" i="9"/>
  <c r="GD60" i="9"/>
  <c r="GE60" i="9"/>
  <c r="GF60" i="9"/>
  <c r="GG60" i="9"/>
  <c r="GH60" i="9"/>
  <c r="GI60" i="9"/>
  <c r="GJ60" i="9"/>
  <c r="GK60" i="9"/>
  <c r="GL60" i="9"/>
  <c r="GM60" i="9"/>
  <c r="GN60" i="9"/>
  <c r="GO60" i="9"/>
  <c r="GP60" i="9"/>
  <c r="GQ60" i="9"/>
  <c r="GR60" i="9"/>
  <c r="GS60" i="9"/>
  <c r="GT60" i="9"/>
  <c r="GU60" i="9"/>
  <c r="GV60" i="9"/>
  <c r="GW60" i="9"/>
  <c r="GX60" i="9"/>
  <c r="GY60" i="9"/>
  <c r="GZ60" i="9"/>
  <c r="HA60" i="9"/>
  <c r="HB60" i="9"/>
  <c r="HC60" i="9"/>
  <c r="HD60" i="9"/>
  <c r="HE60" i="9"/>
  <c r="HF60" i="9"/>
  <c r="HG60" i="9"/>
  <c r="HH60" i="9"/>
  <c r="HI60" i="9"/>
  <c r="HJ60" i="9"/>
  <c r="HK60" i="9"/>
  <c r="HL60" i="9"/>
  <c r="HM60" i="9"/>
  <c r="HN60" i="9"/>
  <c r="HO60" i="9"/>
  <c r="HP60" i="9"/>
  <c r="HQ60" i="9"/>
  <c r="HR60" i="9"/>
  <c r="HS60" i="9"/>
  <c r="HT60" i="9"/>
  <c r="HU60" i="9"/>
  <c r="HV60" i="9"/>
  <c r="HW60" i="9"/>
  <c r="HX60" i="9"/>
  <c r="HY60" i="9"/>
  <c r="HZ60" i="9"/>
  <c r="IA60" i="9"/>
  <c r="IB60" i="9"/>
  <c r="IC60" i="9"/>
  <c r="ID60" i="9"/>
  <c r="IE60" i="9"/>
  <c r="IF60" i="9"/>
  <c r="IG60" i="9"/>
  <c r="IH60" i="9"/>
  <c r="II60" i="9"/>
  <c r="IJ60" i="9"/>
  <c r="IK60" i="9"/>
  <c r="IL60" i="9"/>
  <c r="IM60" i="9"/>
  <c r="IN60" i="9"/>
  <c r="IO60" i="9"/>
  <c r="IP60" i="9"/>
  <c r="IQ60" i="9"/>
  <c r="IR60" i="9"/>
  <c r="IS60" i="9"/>
  <c r="IT60" i="9"/>
  <c r="IU60" i="9"/>
  <c r="IV60" i="9"/>
  <c r="A59" i="9"/>
  <c r="B59" i="9"/>
  <c r="C59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V59" i="9"/>
  <c r="W59" i="9"/>
  <c r="X59" i="9"/>
  <c r="Y59" i="9"/>
  <c r="Z59" i="9"/>
  <c r="AA59" i="9"/>
  <c r="AB59" i="9"/>
  <c r="AC59" i="9"/>
  <c r="AD59" i="9"/>
  <c r="AE59" i="9"/>
  <c r="AF59" i="9"/>
  <c r="AG59" i="9"/>
  <c r="AH59" i="9"/>
  <c r="AI59" i="9"/>
  <c r="AJ59" i="9"/>
  <c r="AK59" i="9"/>
  <c r="AL59" i="9"/>
  <c r="AM59" i="9"/>
  <c r="AN59" i="9"/>
  <c r="AO59" i="9"/>
  <c r="AP59" i="9"/>
  <c r="AQ59" i="9"/>
  <c r="AR59" i="9"/>
  <c r="AS59" i="9"/>
  <c r="AT59" i="9"/>
  <c r="AU59" i="9"/>
  <c r="AV59" i="9"/>
  <c r="AW59" i="9"/>
  <c r="AX59" i="9"/>
  <c r="AY59" i="9"/>
  <c r="AZ59" i="9"/>
  <c r="BA59" i="9"/>
  <c r="BB59" i="9"/>
  <c r="BC59" i="9"/>
  <c r="BD59" i="9"/>
  <c r="BE59" i="9"/>
  <c r="BF59" i="9"/>
  <c r="BG59" i="9"/>
  <c r="BH59" i="9"/>
  <c r="BI59" i="9"/>
  <c r="BJ59" i="9"/>
  <c r="BK59" i="9"/>
  <c r="BL59" i="9"/>
  <c r="BM59" i="9"/>
  <c r="BN59" i="9"/>
  <c r="BO59" i="9"/>
  <c r="BP59" i="9"/>
  <c r="BQ59" i="9"/>
  <c r="BR59" i="9"/>
  <c r="BS59" i="9"/>
  <c r="BT59" i="9"/>
  <c r="BU59" i="9"/>
  <c r="BV59" i="9"/>
  <c r="BW59" i="9"/>
  <c r="BX59" i="9"/>
  <c r="BY59" i="9"/>
  <c r="BZ59" i="9"/>
  <c r="CA59" i="9"/>
  <c r="CB59" i="9"/>
  <c r="CC59" i="9"/>
  <c r="CD59" i="9"/>
  <c r="CE59" i="9"/>
  <c r="CF59" i="9"/>
  <c r="CG59" i="9"/>
  <c r="CH59" i="9"/>
  <c r="CI59" i="9"/>
  <c r="CJ59" i="9"/>
  <c r="CK59" i="9"/>
  <c r="CL59" i="9"/>
  <c r="CM59" i="9"/>
  <c r="CN59" i="9"/>
  <c r="CO59" i="9"/>
  <c r="CP59" i="9"/>
  <c r="CQ59" i="9"/>
  <c r="CR59" i="9"/>
  <c r="CS59" i="9"/>
  <c r="CT59" i="9"/>
  <c r="CU59" i="9"/>
  <c r="CV59" i="9"/>
  <c r="CW59" i="9"/>
  <c r="CX59" i="9"/>
  <c r="CY59" i="9"/>
  <c r="CZ59" i="9"/>
  <c r="DA59" i="9"/>
  <c r="DB59" i="9"/>
  <c r="DC59" i="9"/>
  <c r="DD59" i="9"/>
  <c r="DE59" i="9"/>
  <c r="DF59" i="9"/>
  <c r="DG59" i="9"/>
  <c r="DH59" i="9"/>
  <c r="DI59" i="9"/>
  <c r="DJ59" i="9"/>
  <c r="DK59" i="9"/>
  <c r="DL59" i="9"/>
  <c r="DM59" i="9"/>
  <c r="DN59" i="9"/>
  <c r="DO59" i="9"/>
  <c r="DP59" i="9"/>
  <c r="DQ59" i="9"/>
  <c r="DR59" i="9"/>
  <c r="DS59" i="9"/>
  <c r="DT59" i="9"/>
  <c r="DU59" i="9"/>
  <c r="DV59" i="9"/>
  <c r="DW59" i="9"/>
  <c r="DX59" i="9"/>
  <c r="DY59" i="9"/>
  <c r="DZ59" i="9"/>
  <c r="EA59" i="9"/>
  <c r="EB59" i="9"/>
  <c r="EC59" i="9"/>
  <c r="ED59" i="9"/>
  <c r="EE59" i="9"/>
  <c r="EF59" i="9"/>
  <c r="EG59" i="9"/>
  <c r="EH59" i="9"/>
  <c r="EI59" i="9"/>
  <c r="EJ59" i="9"/>
  <c r="EK59" i="9"/>
  <c r="EL59" i="9"/>
  <c r="EM59" i="9"/>
  <c r="EN59" i="9"/>
  <c r="EO59" i="9"/>
  <c r="EP59" i="9"/>
  <c r="EQ59" i="9"/>
  <c r="ER59" i="9"/>
  <c r="ES59" i="9"/>
  <c r="ET59" i="9"/>
  <c r="EU59" i="9"/>
  <c r="EV59" i="9"/>
  <c r="EW59" i="9"/>
  <c r="EX59" i="9"/>
  <c r="EY59" i="9"/>
  <c r="EZ59" i="9"/>
  <c r="FA59" i="9"/>
  <c r="FB59" i="9"/>
  <c r="FC59" i="9"/>
  <c r="FD59" i="9"/>
  <c r="FE59" i="9"/>
  <c r="FF59" i="9"/>
  <c r="FG59" i="9"/>
  <c r="FH59" i="9"/>
  <c r="FI59" i="9"/>
  <c r="FJ59" i="9"/>
  <c r="FK59" i="9"/>
  <c r="FL59" i="9"/>
  <c r="FM59" i="9"/>
  <c r="FN59" i="9"/>
  <c r="FO59" i="9"/>
  <c r="FP59" i="9"/>
  <c r="FQ59" i="9"/>
  <c r="FR59" i="9"/>
  <c r="FS59" i="9"/>
  <c r="FT59" i="9"/>
  <c r="FU59" i="9"/>
  <c r="FV59" i="9"/>
  <c r="FW59" i="9"/>
  <c r="FX59" i="9"/>
  <c r="FY59" i="9"/>
  <c r="FZ59" i="9"/>
  <c r="GA59" i="9"/>
  <c r="GB59" i="9"/>
  <c r="GC59" i="9"/>
  <c r="GD59" i="9"/>
  <c r="GE59" i="9"/>
  <c r="GF59" i="9"/>
  <c r="GG59" i="9"/>
  <c r="GH59" i="9"/>
  <c r="GI59" i="9"/>
  <c r="GJ59" i="9"/>
  <c r="GK59" i="9"/>
  <c r="GL59" i="9"/>
  <c r="GM59" i="9"/>
  <c r="GN59" i="9"/>
  <c r="GO59" i="9"/>
  <c r="GP59" i="9"/>
  <c r="GQ59" i="9"/>
  <c r="GR59" i="9"/>
  <c r="GS59" i="9"/>
  <c r="GT59" i="9"/>
  <c r="GU59" i="9"/>
  <c r="GV59" i="9"/>
  <c r="GW59" i="9"/>
  <c r="GX59" i="9"/>
  <c r="GY59" i="9"/>
  <c r="GZ59" i="9"/>
  <c r="HA59" i="9"/>
  <c r="HB59" i="9"/>
  <c r="HC59" i="9"/>
  <c r="HD59" i="9"/>
  <c r="HE59" i="9"/>
  <c r="HF59" i="9"/>
  <c r="HG59" i="9"/>
  <c r="HH59" i="9"/>
  <c r="HI59" i="9"/>
  <c r="HJ59" i="9"/>
  <c r="HK59" i="9"/>
  <c r="HL59" i="9"/>
  <c r="HM59" i="9"/>
  <c r="HN59" i="9"/>
  <c r="HO59" i="9"/>
  <c r="HP59" i="9"/>
  <c r="HQ59" i="9"/>
  <c r="HR59" i="9"/>
  <c r="HS59" i="9"/>
  <c r="HT59" i="9"/>
  <c r="HU59" i="9"/>
  <c r="HV59" i="9"/>
  <c r="HW59" i="9"/>
  <c r="HX59" i="9"/>
  <c r="HY59" i="9"/>
  <c r="HZ59" i="9"/>
  <c r="IA59" i="9"/>
  <c r="IB59" i="9"/>
  <c r="IC59" i="9"/>
  <c r="ID59" i="9"/>
  <c r="IE59" i="9"/>
  <c r="IF59" i="9"/>
  <c r="IG59" i="9"/>
  <c r="IH59" i="9"/>
  <c r="II59" i="9"/>
  <c r="IJ59" i="9"/>
  <c r="IK59" i="9"/>
  <c r="IL59" i="9"/>
  <c r="IM59" i="9"/>
  <c r="IN59" i="9"/>
  <c r="IO59" i="9"/>
  <c r="IP59" i="9"/>
  <c r="IQ59" i="9"/>
  <c r="IR59" i="9"/>
  <c r="IS59" i="9"/>
  <c r="IT59" i="9"/>
  <c r="IU59" i="9"/>
  <c r="IV59" i="9"/>
  <c r="A58" i="9"/>
  <c r="B58" i="9"/>
  <c r="C58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X58" i="9"/>
  <c r="Y58" i="9"/>
  <c r="Z58" i="9"/>
  <c r="AA58" i="9"/>
  <c r="AB58" i="9"/>
  <c r="AC58" i="9"/>
  <c r="AD58" i="9"/>
  <c r="AE58" i="9"/>
  <c r="AF58" i="9"/>
  <c r="AG58" i="9"/>
  <c r="AH58" i="9"/>
  <c r="AI58" i="9"/>
  <c r="AJ58" i="9"/>
  <c r="AK58" i="9"/>
  <c r="AL58" i="9"/>
  <c r="AM58" i="9"/>
  <c r="AN58" i="9"/>
  <c r="AO58" i="9"/>
  <c r="AP58" i="9"/>
  <c r="AQ58" i="9"/>
  <c r="AR58" i="9"/>
  <c r="AS58" i="9"/>
  <c r="AT58" i="9"/>
  <c r="AU58" i="9"/>
  <c r="AV58" i="9"/>
  <c r="AW58" i="9"/>
  <c r="AX58" i="9"/>
  <c r="AY58" i="9"/>
  <c r="AZ58" i="9"/>
  <c r="BA58" i="9"/>
  <c r="BB58" i="9"/>
  <c r="BC58" i="9"/>
  <c r="BD58" i="9"/>
  <c r="BE58" i="9"/>
  <c r="BF58" i="9"/>
  <c r="BG58" i="9"/>
  <c r="BH58" i="9"/>
  <c r="BI58" i="9"/>
  <c r="BJ58" i="9"/>
  <c r="BK58" i="9"/>
  <c r="BL58" i="9"/>
  <c r="BM58" i="9"/>
  <c r="BN58" i="9"/>
  <c r="BO58" i="9"/>
  <c r="BP58" i="9"/>
  <c r="BQ58" i="9"/>
  <c r="BR58" i="9"/>
  <c r="BS58" i="9"/>
  <c r="BT58" i="9"/>
  <c r="BU58" i="9"/>
  <c r="BV58" i="9"/>
  <c r="BW58" i="9"/>
  <c r="BX58" i="9"/>
  <c r="BY58" i="9"/>
  <c r="BZ58" i="9"/>
  <c r="CA58" i="9"/>
  <c r="CB58" i="9"/>
  <c r="CC58" i="9"/>
  <c r="CD58" i="9"/>
  <c r="CE58" i="9"/>
  <c r="CF58" i="9"/>
  <c r="CG58" i="9"/>
  <c r="CH58" i="9"/>
  <c r="CI58" i="9"/>
  <c r="CJ58" i="9"/>
  <c r="CK58" i="9"/>
  <c r="CL58" i="9"/>
  <c r="CM58" i="9"/>
  <c r="CN58" i="9"/>
  <c r="CO58" i="9"/>
  <c r="CP58" i="9"/>
  <c r="CQ58" i="9"/>
  <c r="CR58" i="9"/>
  <c r="CS58" i="9"/>
  <c r="CT58" i="9"/>
  <c r="CU58" i="9"/>
  <c r="CV58" i="9"/>
  <c r="CW58" i="9"/>
  <c r="CX58" i="9"/>
  <c r="CY58" i="9"/>
  <c r="CZ58" i="9"/>
  <c r="DA58" i="9"/>
  <c r="DB58" i="9"/>
  <c r="DC58" i="9"/>
  <c r="DD58" i="9"/>
  <c r="DE58" i="9"/>
  <c r="DF58" i="9"/>
  <c r="DG58" i="9"/>
  <c r="DH58" i="9"/>
  <c r="DI58" i="9"/>
  <c r="DJ58" i="9"/>
  <c r="DK58" i="9"/>
  <c r="DL58" i="9"/>
  <c r="DM58" i="9"/>
  <c r="DN58" i="9"/>
  <c r="DO58" i="9"/>
  <c r="DP58" i="9"/>
  <c r="DQ58" i="9"/>
  <c r="DR58" i="9"/>
  <c r="DS58" i="9"/>
  <c r="DT58" i="9"/>
  <c r="DU58" i="9"/>
  <c r="DV58" i="9"/>
  <c r="DW58" i="9"/>
  <c r="DX58" i="9"/>
  <c r="DY58" i="9"/>
  <c r="DZ58" i="9"/>
  <c r="EA58" i="9"/>
  <c r="EB58" i="9"/>
  <c r="EC58" i="9"/>
  <c r="ED58" i="9"/>
  <c r="EE58" i="9"/>
  <c r="EF58" i="9"/>
  <c r="EG58" i="9"/>
  <c r="EH58" i="9"/>
  <c r="EI58" i="9"/>
  <c r="EJ58" i="9"/>
  <c r="EK58" i="9"/>
  <c r="EL58" i="9"/>
  <c r="EM58" i="9"/>
  <c r="EN58" i="9"/>
  <c r="EO58" i="9"/>
  <c r="EP58" i="9"/>
  <c r="EQ58" i="9"/>
  <c r="ER58" i="9"/>
  <c r="ES58" i="9"/>
  <c r="ET58" i="9"/>
  <c r="EU58" i="9"/>
  <c r="EV58" i="9"/>
  <c r="EW58" i="9"/>
  <c r="EX58" i="9"/>
  <c r="EY58" i="9"/>
  <c r="EZ58" i="9"/>
  <c r="FA58" i="9"/>
  <c r="FB58" i="9"/>
  <c r="FC58" i="9"/>
  <c r="FD58" i="9"/>
  <c r="FE58" i="9"/>
  <c r="FF58" i="9"/>
  <c r="FG58" i="9"/>
  <c r="FH58" i="9"/>
  <c r="FI58" i="9"/>
  <c r="FJ58" i="9"/>
  <c r="FK58" i="9"/>
  <c r="FL58" i="9"/>
  <c r="FM58" i="9"/>
  <c r="FN58" i="9"/>
  <c r="FO58" i="9"/>
  <c r="FP58" i="9"/>
  <c r="FQ58" i="9"/>
  <c r="FR58" i="9"/>
  <c r="FS58" i="9"/>
  <c r="FT58" i="9"/>
  <c r="FU58" i="9"/>
  <c r="FV58" i="9"/>
  <c r="FW58" i="9"/>
  <c r="FX58" i="9"/>
  <c r="FY58" i="9"/>
  <c r="FZ58" i="9"/>
  <c r="GA58" i="9"/>
  <c r="GB58" i="9"/>
  <c r="GC58" i="9"/>
  <c r="GD58" i="9"/>
  <c r="GE58" i="9"/>
  <c r="GF58" i="9"/>
  <c r="GG58" i="9"/>
  <c r="GH58" i="9"/>
  <c r="GI58" i="9"/>
  <c r="GJ58" i="9"/>
  <c r="GK58" i="9"/>
  <c r="GL58" i="9"/>
  <c r="GM58" i="9"/>
  <c r="GN58" i="9"/>
  <c r="GO58" i="9"/>
  <c r="GP58" i="9"/>
  <c r="GQ58" i="9"/>
  <c r="GR58" i="9"/>
  <c r="GS58" i="9"/>
  <c r="GT58" i="9"/>
  <c r="GU58" i="9"/>
  <c r="GV58" i="9"/>
  <c r="GW58" i="9"/>
  <c r="GX58" i="9"/>
  <c r="GY58" i="9"/>
  <c r="GZ58" i="9"/>
  <c r="HA58" i="9"/>
  <c r="HB58" i="9"/>
  <c r="HC58" i="9"/>
  <c r="HD58" i="9"/>
  <c r="HE58" i="9"/>
  <c r="HF58" i="9"/>
  <c r="HG58" i="9"/>
  <c r="HH58" i="9"/>
  <c r="HI58" i="9"/>
  <c r="HJ58" i="9"/>
  <c r="HK58" i="9"/>
  <c r="HL58" i="9"/>
  <c r="HM58" i="9"/>
  <c r="HN58" i="9"/>
  <c r="HO58" i="9"/>
  <c r="HP58" i="9"/>
  <c r="HQ58" i="9"/>
  <c r="HR58" i="9"/>
  <c r="HS58" i="9"/>
  <c r="HT58" i="9"/>
  <c r="HU58" i="9"/>
  <c r="HV58" i="9"/>
  <c r="HW58" i="9"/>
  <c r="HX58" i="9"/>
  <c r="HY58" i="9"/>
  <c r="HZ58" i="9"/>
  <c r="IA58" i="9"/>
  <c r="IB58" i="9"/>
  <c r="IC58" i="9"/>
  <c r="ID58" i="9"/>
  <c r="IE58" i="9"/>
  <c r="IF58" i="9"/>
  <c r="IG58" i="9"/>
  <c r="IH58" i="9"/>
  <c r="II58" i="9"/>
  <c r="IJ58" i="9"/>
  <c r="IK58" i="9"/>
  <c r="IL58" i="9"/>
  <c r="IM58" i="9"/>
  <c r="IN58" i="9"/>
  <c r="IO58" i="9"/>
  <c r="IP58" i="9"/>
  <c r="IQ58" i="9"/>
  <c r="IR58" i="9"/>
  <c r="IS58" i="9"/>
  <c r="IT58" i="9"/>
  <c r="IU58" i="9"/>
  <c r="IV58" i="9"/>
  <c r="A57" i="9"/>
  <c r="B57" i="9"/>
  <c r="C57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Y57" i="9"/>
  <c r="Z57" i="9"/>
  <c r="AA57" i="9"/>
  <c r="AB57" i="9"/>
  <c r="AC57" i="9"/>
  <c r="AD57" i="9"/>
  <c r="AE57" i="9"/>
  <c r="AF57" i="9"/>
  <c r="AG57" i="9"/>
  <c r="AH57" i="9"/>
  <c r="AI57" i="9"/>
  <c r="AJ57" i="9"/>
  <c r="AK57" i="9"/>
  <c r="AL57" i="9"/>
  <c r="AM57" i="9"/>
  <c r="AN57" i="9"/>
  <c r="AO57" i="9"/>
  <c r="AP57" i="9"/>
  <c r="AQ57" i="9"/>
  <c r="AR57" i="9"/>
  <c r="AS57" i="9"/>
  <c r="AT57" i="9"/>
  <c r="AU57" i="9"/>
  <c r="AV57" i="9"/>
  <c r="AW57" i="9"/>
  <c r="AX57" i="9"/>
  <c r="AY57" i="9"/>
  <c r="AZ57" i="9"/>
  <c r="BA57" i="9"/>
  <c r="BB57" i="9"/>
  <c r="BC57" i="9"/>
  <c r="BD57" i="9"/>
  <c r="BE57" i="9"/>
  <c r="BF57" i="9"/>
  <c r="BG57" i="9"/>
  <c r="BH57" i="9"/>
  <c r="BI57" i="9"/>
  <c r="BJ57" i="9"/>
  <c r="BK57" i="9"/>
  <c r="BL57" i="9"/>
  <c r="BM57" i="9"/>
  <c r="BN57" i="9"/>
  <c r="BO57" i="9"/>
  <c r="BP57" i="9"/>
  <c r="BQ57" i="9"/>
  <c r="BR57" i="9"/>
  <c r="BS57" i="9"/>
  <c r="BT57" i="9"/>
  <c r="BU57" i="9"/>
  <c r="BV57" i="9"/>
  <c r="BW57" i="9"/>
  <c r="BX57" i="9"/>
  <c r="BY57" i="9"/>
  <c r="BZ57" i="9"/>
  <c r="CA57" i="9"/>
  <c r="CB57" i="9"/>
  <c r="CC57" i="9"/>
  <c r="CD57" i="9"/>
  <c r="CE57" i="9"/>
  <c r="CF57" i="9"/>
  <c r="CG57" i="9"/>
  <c r="CH57" i="9"/>
  <c r="CI57" i="9"/>
  <c r="CJ57" i="9"/>
  <c r="CK57" i="9"/>
  <c r="CL57" i="9"/>
  <c r="CM57" i="9"/>
  <c r="CN57" i="9"/>
  <c r="CO57" i="9"/>
  <c r="CP57" i="9"/>
  <c r="CQ57" i="9"/>
  <c r="CR57" i="9"/>
  <c r="CS57" i="9"/>
  <c r="CT57" i="9"/>
  <c r="CU57" i="9"/>
  <c r="CV57" i="9"/>
  <c r="CW57" i="9"/>
  <c r="CX57" i="9"/>
  <c r="CY57" i="9"/>
  <c r="CZ57" i="9"/>
  <c r="DA57" i="9"/>
  <c r="DB57" i="9"/>
  <c r="DC57" i="9"/>
  <c r="DD57" i="9"/>
  <c r="DE57" i="9"/>
  <c r="DF57" i="9"/>
  <c r="DG57" i="9"/>
  <c r="DH57" i="9"/>
  <c r="DI57" i="9"/>
  <c r="DJ57" i="9"/>
  <c r="DK57" i="9"/>
  <c r="DL57" i="9"/>
  <c r="DM57" i="9"/>
  <c r="DN57" i="9"/>
  <c r="DO57" i="9"/>
  <c r="DP57" i="9"/>
  <c r="DQ57" i="9"/>
  <c r="DR57" i="9"/>
  <c r="DS57" i="9"/>
  <c r="DT57" i="9"/>
  <c r="DU57" i="9"/>
  <c r="DV57" i="9"/>
  <c r="DW57" i="9"/>
  <c r="DX57" i="9"/>
  <c r="DY57" i="9"/>
  <c r="DZ57" i="9"/>
  <c r="EA57" i="9"/>
  <c r="EB57" i="9"/>
  <c r="EC57" i="9"/>
  <c r="ED57" i="9"/>
  <c r="EE57" i="9"/>
  <c r="EF57" i="9"/>
  <c r="EG57" i="9"/>
  <c r="EH57" i="9"/>
  <c r="EI57" i="9"/>
  <c r="EJ57" i="9"/>
  <c r="EK57" i="9"/>
  <c r="EL57" i="9"/>
  <c r="EM57" i="9"/>
  <c r="EN57" i="9"/>
  <c r="EO57" i="9"/>
  <c r="EP57" i="9"/>
  <c r="EQ57" i="9"/>
  <c r="ER57" i="9"/>
  <c r="ES57" i="9"/>
  <c r="ET57" i="9"/>
  <c r="EU57" i="9"/>
  <c r="EV57" i="9"/>
  <c r="EW57" i="9"/>
  <c r="EX57" i="9"/>
  <c r="EY57" i="9"/>
  <c r="EZ57" i="9"/>
  <c r="FA57" i="9"/>
  <c r="FB57" i="9"/>
  <c r="FC57" i="9"/>
  <c r="FD57" i="9"/>
  <c r="FE57" i="9"/>
  <c r="FF57" i="9"/>
  <c r="FG57" i="9"/>
  <c r="FH57" i="9"/>
  <c r="FI57" i="9"/>
  <c r="FJ57" i="9"/>
  <c r="FK57" i="9"/>
  <c r="FL57" i="9"/>
  <c r="FM57" i="9"/>
  <c r="FN57" i="9"/>
  <c r="FO57" i="9"/>
  <c r="FP57" i="9"/>
  <c r="FQ57" i="9"/>
  <c r="FR57" i="9"/>
  <c r="FS57" i="9"/>
  <c r="FT57" i="9"/>
  <c r="FU57" i="9"/>
  <c r="FV57" i="9"/>
  <c r="FW57" i="9"/>
  <c r="FX57" i="9"/>
  <c r="FY57" i="9"/>
  <c r="FZ57" i="9"/>
  <c r="GA57" i="9"/>
  <c r="GB57" i="9"/>
  <c r="GC57" i="9"/>
  <c r="GD57" i="9"/>
  <c r="GE57" i="9"/>
  <c r="GF57" i="9"/>
  <c r="GG57" i="9"/>
  <c r="GH57" i="9"/>
  <c r="GI57" i="9"/>
  <c r="GJ57" i="9"/>
  <c r="GK57" i="9"/>
  <c r="GL57" i="9"/>
  <c r="GM57" i="9"/>
  <c r="GN57" i="9"/>
  <c r="GO57" i="9"/>
  <c r="GP57" i="9"/>
  <c r="GQ57" i="9"/>
  <c r="GR57" i="9"/>
  <c r="GS57" i="9"/>
  <c r="GT57" i="9"/>
  <c r="GU57" i="9"/>
  <c r="GV57" i="9"/>
  <c r="GW57" i="9"/>
  <c r="GX57" i="9"/>
  <c r="GY57" i="9"/>
  <c r="GZ57" i="9"/>
  <c r="HA57" i="9"/>
  <c r="HB57" i="9"/>
  <c r="HC57" i="9"/>
  <c r="HD57" i="9"/>
  <c r="HE57" i="9"/>
  <c r="HF57" i="9"/>
  <c r="HG57" i="9"/>
  <c r="HH57" i="9"/>
  <c r="HI57" i="9"/>
  <c r="HJ57" i="9"/>
  <c r="HK57" i="9"/>
  <c r="HL57" i="9"/>
  <c r="HM57" i="9"/>
  <c r="HN57" i="9"/>
  <c r="HO57" i="9"/>
  <c r="HP57" i="9"/>
  <c r="HQ57" i="9"/>
  <c r="HR57" i="9"/>
  <c r="HS57" i="9"/>
  <c r="HT57" i="9"/>
  <c r="HU57" i="9"/>
  <c r="HV57" i="9"/>
  <c r="HW57" i="9"/>
  <c r="HX57" i="9"/>
  <c r="HY57" i="9"/>
  <c r="HZ57" i="9"/>
  <c r="IA57" i="9"/>
  <c r="IB57" i="9"/>
  <c r="IC57" i="9"/>
  <c r="ID57" i="9"/>
  <c r="IE57" i="9"/>
  <c r="IF57" i="9"/>
  <c r="IG57" i="9"/>
  <c r="IH57" i="9"/>
  <c r="II57" i="9"/>
  <c r="IJ57" i="9"/>
  <c r="IK57" i="9"/>
  <c r="IL57" i="9"/>
  <c r="IM57" i="9"/>
  <c r="IN57" i="9"/>
  <c r="IO57" i="9"/>
  <c r="IP57" i="9"/>
  <c r="IQ57" i="9"/>
  <c r="IR57" i="9"/>
  <c r="IS57" i="9"/>
  <c r="IT57" i="9"/>
  <c r="IU57" i="9"/>
  <c r="IV57" i="9"/>
  <c r="A56" i="9"/>
  <c r="B56" i="9"/>
  <c r="C56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Z56" i="9"/>
  <c r="AA56" i="9"/>
  <c r="AB56" i="9"/>
  <c r="AC56" i="9"/>
  <c r="AD56" i="9"/>
  <c r="AE56" i="9"/>
  <c r="AF56" i="9"/>
  <c r="AG56" i="9"/>
  <c r="AH56" i="9"/>
  <c r="AI56" i="9"/>
  <c r="AJ56" i="9"/>
  <c r="AK56" i="9"/>
  <c r="AL56" i="9"/>
  <c r="AM56" i="9"/>
  <c r="AN56" i="9"/>
  <c r="AO56" i="9"/>
  <c r="AP56" i="9"/>
  <c r="AQ56" i="9"/>
  <c r="AR56" i="9"/>
  <c r="AT56" i="9"/>
  <c r="AU56" i="9"/>
  <c r="AV56" i="9"/>
  <c r="AW56" i="9"/>
  <c r="AX56" i="9"/>
  <c r="AY56" i="9"/>
  <c r="AZ56" i="9"/>
  <c r="BA56" i="9"/>
  <c r="BB56" i="9"/>
  <c r="BC56" i="9"/>
  <c r="BD56" i="9"/>
  <c r="BE56" i="9"/>
  <c r="BF56" i="9"/>
  <c r="BG56" i="9"/>
  <c r="BH56" i="9"/>
  <c r="BI56" i="9"/>
  <c r="BJ56" i="9"/>
  <c r="BK56" i="9"/>
  <c r="BL56" i="9"/>
  <c r="BM56" i="9"/>
  <c r="BN56" i="9"/>
  <c r="BO56" i="9"/>
  <c r="BP56" i="9"/>
  <c r="BQ56" i="9"/>
  <c r="BR56" i="9"/>
  <c r="BS56" i="9"/>
  <c r="BT56" i="9"/>
  <c r="BU56" i="9"/>
  <c r="BV56" i="9"/>
  <c r="BW56" i="9"/>
  <c r="BX56" i="9"/>
  <c r="BY56" i="9"/>
  <c r="BZ56" i="9"/>
  <c r="CA56" i="9"/>
  <c r="CB56" i="9"/>
  <c r="CC56" i="9"/>
  <c r="CD56" i="9"/>
  <c r="CE56" i="9"/>
  <c r="CF56" i="9"/>
  <c r="CG56" i="9"/>
  <c r="CH56" i="9"/>
  <c r="CI56" i="9"/>
  <c r="CJ56" i="9"/>
  <c r="CK56" i="9"/>
  <c r="CL56" i="9"/>
  <c r="CM56" i="9"/>
  <c r="CN56" i="9"/>
  <c r="CO56" i="9"/>
  <c r="CP56" i="9"/>
  <c r="CQ56" i="9"/>
  <c r="CR56" i="9"/>
  <c r="CS56" i="9"/>
  <c r="CT56" i="9"/>
  <c r="CU56" i="9"/>
  <c r="CV56" i="9"/>
  <c r="CW56" i="9"/>
  <c r="CX56" i="9"/>
  <c r="CY56" i="9"/>
  <c r="CZ56" i="9"/>
  <c r="DA56" i="9"/>
  <c r="DB56" i="9"/>
  <c r="DC56" i="9"/>
  <c r="DD56" i="9"/>
  <c r="DE56" i="9"/>
  <c r="DF56" i="9"/>
  <c r="DG56" i="9"/>
  <c r="DH56" i="9"/>
  <c r="DI56" i="9"/>
  <c r="DJ56" i="9"/>
  <c r="DK56" i="9"/>
  <c r="DL56" i="9"/>
  <c r="DM56" i="9"/>
  <c r="DN56" i="9"/>
  <c r="DO56" i="9"/>
  <c r="DP56" i="9"/>
  <c r="DQ56" i="9"/>
  <c r="DR56" i="9"/>
  <c r="DS56" i="9"/>
  <c r="DT56" i="9"/>
  <c r="DU56" i="9"/>
  <c r="DV56" i="9"/>
  <c r="DW56" i="9"/>
  <c r="DX56" i="9"/>
  <c r="DY56" i="9"/>
  <c r="DZ56" i="9"/>
  <c r="EA56" i="9"/>
  <c r="EB56" i="9"/>
  <c r="EC56" i="9"/>
  <c r="ED56" i="9"/>
  <c r="EE56" i="9"/>
  <c r="EF56" i="9"/>
  <c r="EG56" i="9"/>
  <c r="EH56" i="9"/>
  <c r="EI56" i="9"/>
  <c r="EJ56" i="9"/>
  <c r="EK56" i="9"/>
  <c r="EL56" i="9"/>
  <c r="EM56" i="9"/>
  <c r="EN56" i="9"/>
  <c r="EO56" i="9"/>
  <c r="EP56" i="9"/>
  <c r="EQ56" i="9"/>
  <c r="ER56" i="9"/>
  <c r="ES56" i="9"/>
  <c r="ET56" i="9"/>
  <c r="EU56" i="9"/>
  <c r="EV56" i="9"/>
  <c r="EW56" i="9"/>
  <c r="EX56" i="9"/>
  <c r="EY56" i="9"/>
  <c r="EZ56" i="9"/>
  <c r="FA56" i="9"/>
  <c r="FB56" i="9"/>
  <c r="FC56" i="9"/>
  <c r="FD56" i="9"/>
  <c r="FE56" i="9"/>
  <c r="FF56" i="9"/>
  <c r="FG56" i="9"/>
  <c r="FH56" i="9"/>
  <c r="FI56" i="9"/>
  <c r="FJ56" i="9"/>
  <c r="FK56" i="9"/>
  <c r="FL56" i="9"/>
  <c r="FM56" i="9"/>
  <c r="FN56" i="9"/>
  <c r="FO56" i="9"/>
  <c r="FP56" i="9"/>
  <c r="FQ56" i="9"/>
  <c r="FR56" i="9"/>
  <c r="FS56" i="9"/>
  <c r="FT56" i="9"/>
  <c r="FU56" i="9"/>
  <c r="FV56" i="9"/>
  <c r="FW56" i="9"/>
  <c r="FX56" i="9"/>
  <c r="FY56" i="9"/>
  <c r="FZ56" i="9"/>
  <c r="GA56" i="9"/>
  <c r="GB56" i="9"/>
  <c r="GC56" i="9"/>
  <c r="GD56" i="9"/>
  <c r="GE56" i="9"/>
  <c r="GF56" i="9"/>
  <c r="GG56" i="9"/>
  <c r="GH56" i="9"/>
  <c r="GI56" i="9"/>
  <c r="GJ56" i="9"/>
  <c r="GK56" i="9"/>
  <c r="GL56" i="9"/>
  <c r="GM56" i="9"/>
  <c r="GN56" i="9"/>
  <c r="GO56" i="9"/>
  <c r="GP56" i="9"/>
  <c r="GQ56" i="9"/>
  <c r="GR56" i="9"/>
  <c r="GS56" i="9"/>
  <c r="GT56" i="9"/>
  <c r="GU56" i="9"/>
  <c r="GV56" i="9"/>
  <c r="GW56" i="9"/>
  <c r="GX56" i="9"/>
  <c r="GY56" i="9"/>
  <c r="GZ56" i="9"/>
  <c r="HA56" i="9"/>
  <c r="HB56" i="9"/>
  <c r="HC56" i="9"/>
  <c r="HD56" i="9"/>
  <c r="HE56" i="9"/>
  <c r="HF56" i="9"/>
  <c r="HG56" i="9"/>
  <c r="HH56" i="9"/>
  <c r="HI56" i="9"/>
  <c r="HJ56" i="9"/>
  <c r="HK56" i="9"/>
  <c r="HL56" i="9"/>
  <c r="HM56" i="9"/>
  <c r="HN56" i="9"/>
  <c r="HO56" i="9"/>
  <c r="HP56" i="9"/>
  <c r="HQ56" i="9"/>
  <c r="HR56" i="9"/>
  <c r="HS56" i="9"/>
  <c r="HT56" i="9"/>
  <c r="HU56" i="9"/>
  <c r="HV56" i="9"/>
  <c r="HW56" i="9"/>
  <c r="HX56" i="9"/>
  <c r="HY56" i="9"/>
  <c r="HZ56" i="9"/>
  <c r="IA56" i="9"/>
  <c r="IB56" i="9"/>
  <c r="IC56" i="9"/>
  <c r="ID56" i="9"/>
  <c r="IE56" i="9"/>
  <c r="IF56" i="9"/>
  <c r="IG56" i="9"/>
  <c r="IH56" i="9"/>
  <c r="II56" i="9"/>
  <c r="IJ56" i="9"/>
  <c r="IK56" i="9"/>
  <c r="IL56" i="9"/>
  <c r="IM56" i="9"/>
  <c r="IN56" i="9"/>
  <c r="IO56" i="9"/>
  <c r="IP56" i="9"/>
  <c r="IQ56" i="9"/>
  <c r="IR56" i="9"/>
  <c r="IS56" i="9"/>
  <c r="IT56" i="9"/>
  <c r="IU56" i="9"/>
  <c r="IV56" i="9"/>
  <c r="A55" i="9"/>
  <c r="B55" i="9"/>
  <c r="C55" i="9"/>
  <c r="D55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Y55" i="9"/>
  <c r="Z55" i="9"/>
  <c r="AA55" i="9"/>
  <c r="AB55" i="9"/>
  <c r="AC55" i="9"/>
  <c r="AD55" i="9"/>
  <c r="AE55" i="9"/>
  <c r="AF55" i="9"/>
  <c r="AG55" i="9"/>
  <c r="AH55" i="9"/>
  <c r="AI55" i="9"/>
  <c r="AJ55" i="9"/>
  <c r="AK55" i="9"/>
  <c r="AL55" i="9"/>
  <c r="AM55" i="9"/>
  <c r="AN55" i="9"/>
  <c r="AO55" i="9"/>
  <c r="AP55" i="9"/>
  <c r="AQ55" i="9"/>
  <c r="AR55" i="9"/>
  <c r="AS55" i="9"/>
  <c r="AT55" i="9"/>
  <c r="AU55" i="9"/>
  <c r="AV55" i="9"/>
  <c r="AW55" i="9"/>
  <c r="AX55" i="9"/>
  <c r="AY55" i="9"/>
  <c r="AZ55" i="9"/>
  <c r="BA55" i="9"/>
  <c r="BB55" i="9"/>
  <c r="BC55" i="9"/>
  <c r="BD55" i="9"/>
  <c r="BE55" i="9"/>
  <c r="BF55" i="9"/>
  <c r="BG55" i="9"/>
  <c r="BH55" i="9"/>
  <c r="BI55" i="9"/>
  <c r="BJ55" i="9"/>
  <c r="BK55" i="9"/>
  <c r="BL55" i="9"/>
  <c r="BM55" i="9"/>
  <c r="BN55" i="9"/>
  <c r="BO55" i="9"/>
  <c r="BP55" i="9"/>
  <c r="BQ55" i="9"/>
  <c r="BR55" i="9"/>
  <c r="BS55" i="9"/>
  <c r="BT55" i="9"/>
  <c r="BU55" i="9"/>
  <c r="BV55" i="9"/>
  <c r="BW55" i="9"/>
  <c r="BX55" i="9"/>
  <c r="BY55" i="9"/>
  <c r="BZ55" i="9"/>
  <c r="CA55" i="9"/>
  <c r="CB55" i="9"/>
  <c r="CC55" i="9"/>
  <c r="CD55" i="9"/>
  <c r="CE55" i="9"/>
  <c r="CF55" i="9"/>
  <c r="CG55" i="9"/>
  <c r="CH55" i="9"/>
  <c r="CI55" i="9"/>
  <c r="CJ55" i="9"/>
  <c r="CK55" i="9"/>
  <c r="CL55" i="9"/>
  <c r="CM55" i="9"/>
  <c r="CN55" i="9"/>
  <c r="CO55" i="9"/>
  <c r="CP55" i="9"/>
  <c r="CQ55" i="9"/>
  <c r="CR55" i="9"/>
  <c r="CS55" i="9"/>
  <c r="CT55" i="9"/>
  <c r="CU55" i="9"/>
  <c r="CV55" i="9"/>
  <c r="CW55" i="9"/>
  <c r="CX55" i="9"/>
  <c r="CY55" i="9"/>
  <c r="CZ55" i="9"/>
  <c r="DA55" i="9"/>
  <c r="DB55" i="9"/>
  <c r="DC55" i="9"/>
  <c r="DD55" i="9"/>
  <c r="DE55" i="9"/>
  <c r="DF55" i="9"/>
  <c r="DG55" i="9"/>
  <c r="DH55" i="9"/>
  <c r="DI55" i="9"/>
  <c r="DJ55" i="9"/>
  <c r="DK55" i="9"/>
  <c r="DL55" i="9"/>
  <c r="DM55" i="9"/>
  <c r="DN55" i="9"/>
  <c r="DO55" i="9"/>
  <c r="DP55" i="9"/>
  <c r="DQ55" i="9"/>
  <c r="DR55" i="9"/>
  <c r="DS55" i="9"/>
  <c r="DT55" i="9"/>
  <c r="DU55" i="9"/>
  <c r="DV55" i="9"/>
  <c r="DW55" i="9"/>
  <c r="DX55" i="9"/>
  <c r="DY55" i="9"/>
  <c r="DZ55" i="9"/>
  <c r="EA55" i="9"/>
  <c r="EB55" i="9"/>
  <c r="EC55" i="9"/>
  <c r="ED55" i="9"/>
  <c r="EE55" i="9"/>
  <c r="EF55" i="9"/>
  <c r="EG55" i="9"/>
  <c r="EH55" i="9"/>
  <c r="EI55" i="9"/>
  <c r="EJ55" i="9"/>
  <c r="EK55" i="9"/>
  <c r="EL55" i="9"/>
  <c r="EM55" i="9"/>
  <c r="EN55" i="9"/>
  <c r="EO55" i="9"/>
  <c r="EP55" i="9"/>
  <c r="EQ55" i="9"/>
  <c r="ER55" i="9"/>
  <c r="ES55" i="9"/>
  <c r="ET55" i="9"/>
  <c r="EU55" i="9"/>
  <c r="EV55" i="9"/>
  <c r="EW55" i="9"/>
  <c r="EX55" i="9"/>
  <c r="EY55" i="9"/>
  <c r="EZ55" i="9"/>
  <c r="FA55" i="9"/>
  <c r="FB55" i="9"/>
  <c r="FC55" i="9"/>
  <c r="FD55" i="9"/>
  <c r="FE55" i="9"/>
  <c r="FF55" i="9"/>
  <c r="FG55" i="9"/>
  <c r="FH55" i="9"/>
  <c r="FI55" i="9"/>
  <c r="FJ55" i="9"/>
  <c r="FK55" i="9"/>
  <c r="FL55" i="9"/>
  <c r="FM55" i="9"/>
  <c r="FN55" i="9"/>
  <c r="FO55" i="9"/>
  <c r="FP55" i="9"/>
  <c r="FQ55" i="9"/>
  <c r="FR55" i="9"/>
  <c r="FS55" i="9"/>
  <c r="FT55" i="9"/>
  <c r="FU55" i="9"/>
  <c r="FV55" i="9"/>
  <c r="FW55" i="9"/>
  <c r="FX55" i="9"/>
  <c r="FY55" i="9"/>
  <c r="FZ55" i="9"/>
  <c r="GA55" i="9"/>
  <c r="GB55" i="9"/>
  <c r="GC55" i="9"/>
  <c r="GD55" i="9"/>
  <c r="GE55" i="9"/>
  <c r="GF55" i="9"/>
  <c r="GG55" i="9"/>
  <c r="GH55" i="9"/>
  <c r="GI55" i="9"/>
  <c r="GJ55" i="9"/>
  <c r="GK55" i="9"/>
  <c r="GL55" i="9"/>
  <c r="GM55" i="9"/>
  <c r="GN55" i="9"/>
  <c r="GO55" i="9"/>
  <c r="GP55" i="9"/>
  <c r="GQ55" i="9"/>
  <c r="GR55" i="9"/>
  <c r="GS55" i="9"/>
  <c r="GT55" i="9"/>
  <c r="GU55" i="9"/>
  <c r="GV55" i="9"/>
  <c r="GW55" i="9"/>
  <c r="GX55" i="9"/>
  <c r="GY55" i="9"/>
  <c r="GZ55" i="9"/>
  <c r="HA55" i="9"/>
  <c r="HB55" i="9"/>
  <c r="HC55" i="9"/>
  <c r="HD55" i="9"/>
  <c r="HE55" i="9"/>
  <c r="HF55" i="9"/>
  <c r="HG55" i="9"/>
  <c r="HH55" i="9"/>
  <c r="HI55" i="9"/>
  <c r="HJ55" i="9"/>
  <c r="HK55" i="9"/>
  <c r="HL55" i="9"/>
  <c r="HM55" i="9"/>
  <c r="HN55" i="9"/>
  <c r="HO55" i="9"/>
  <c r="HP55" i="9"/>
  <c r="HQ55" i="9"/>
  <c r="HR55" i="9"/>
  <c r="HS55" i="9"/>
  <c r="HT55" i="9"/>
  <c r="HU55" i="9"/>
  <c r="HV55" i="9"/>
  <c r="HW55" i="9"/>
  <c r="HX55" i="9"/>
  <c r="HY55" i="9"/>
  <c r="HZ55" i="9"/>
  <c r="IA55" i="9"/>
  <c r="IB55" i="9"/>
  <c r="IC55" i="9"/>
  <c r="ID55" i="9"/>
  <c r="IE55" i="9"/>
  <c r="IF55" i="9"/>
  <c r="IG55" i="9"/>
  <c r="IH55" i="9"/>
  <c r="II55" i="9"/>
  <c r="IJ55" i="9"/>
  <c r="IK55" i="9"/>
  <c r="IL55" i="9"/>
  <c r="IM55" i="9"/>
  <c r="IN55" i="9"/>
  <c r="IO55" i="9"/>
  <c r="IP55" i="9"/>
  <c r="IQ55" i="9"/>
  <c r="IR55" i="9"/>
  <c r="IS55" i="9"/>
  <c r="IT55" i="9"/>
  <c r="IU55" i="9"/>
  <c r="IV55" i="9"/>
  <c r="A54" i="9"/>
  <c r="B54" i="9"/>
  <c r="C54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X54" i="9"/>
  <c r="Y54" i="9"/>
  <c r="Z54" i="9"/>
  <c r="AA54" i="9"/>
  <c r="AB54" i="9"/>
  <c r="AC54" i="9"/>
  <c r="AD54" i="9"/>
  <c r="AE54" i="9"/>
  <c r="AF54" i="9"/>
  <c r="AG54" i="9"/>
  <c r="AH54" i="9"/>
  <c r="AI54" i="9"/>
  <c r="AJ54" i="9"/>
  <c r="AK54" i="9"/>
  <c r="AL54" i="9"/>
  <c r="AM54" i="9"/>
  <c r="AN54" i="9"/>
  <c r="AO54" i="9"/>
  <c r="AP54" i="9"/>
  <c r="AQ54" i="9"/>
  <c r="AR54" i="9"/>
  <c r="AS54" i="9"/>
  <c r="AT54" i="9"/>
  <c r="AU54" i="9"/>
  <c r="AV54" i="9"/>
  <c r="AW54" i="9"/>
  <c r="AX54" i="9"/>
  <c r="AY54" i="9"/>
  <c r="AZ54" i="9"/>
  <c r="BA54" i="9"/>
  <c r="BB54" i="9"/>
  <c r="BC54" i="9"/>
  <c r="BD54" i="9"/>
  <c r="BE54" i="9"/>
  <c r="BF54" i="9"/>
  <c r="BG54" i="9"/>
  <c r="BH54" i="9"/>
  <c r="BI54" i="9"/>
  <c r="BJ54" i="9"/>
  <c r="BK54" i="9"/>
  <c r="BL54" i="9"/>
  <c r="BM54" i="9"/>
  <c r="BN54" i="9"/>
  <c r="BO54" i="9"/>
  <c r="BP54" i="9"/>
  <c r="BQ54" i="9"/>
  <c r="BR54" i="9"/>
  <c r="BS54" i="9"/>
  <c r="BT54" i="9"/>
  <c r="BU54" i="9"/>
  <c r="BV54" i="9"/>
  <c r="BW54" i="9"/>
  <c r="BX54" i="9"/>
  <c r="BY54" i="9"/>
  <c r="BZ54" i="9"/>
  <c r="CA54" i="9"/>
  <c r="CB54" i="9"/>
  <c r="CC54" i="9"/>
  <c r="CD54" i="9"/>
  <c r="CE54" i="9"/>
  <c r="CF54" i="9"/>
  <c r="CG54" i="9"/>
  <c r="CH54" i="9"/>
  <c r="CI54" i="9"/>
  <c r="CJ54" i="9"/>
  <c r="CK54" i="9"/>
  <c r="CL54" i="9"/>
  <c r="CM54" i="9"/>
  <c r="CN54" i="9"/>
  <c r="CO54" i="9"/>
  <c r="CP54" i="9"/>
  <c r="CQ54" i="9"/>
  <c r="CR54" i="9"/>
  <c r="CS54" i="9"/>
  <c r="CT54" i="9"/>
  <c r="CU54" i="9"/>
  <c r="CV54" i="9"/>
  <c r="CW54" i="9"/>
  <c r="CX54" i="9"/>
  <c r="CY54" i="9"/>
  <c r="CZ54" i="9"/>
  <c r="DA54" i="9"/>
  <c r="DB54" i="9"/>
  <c r="DC54" i="9"/>
  <c r="DD54" i="9"/>
  <c r="DE54" i="9"/>
  <c r="DF54" i="9"/>
  <c r="DG54" i="9"/>
  <c r="DH54" i="9"/>
  <c r="DI54" i="9"/>
  <c r="DJ54" i="9"/>
  <c r="DK54" i="9"/>
  <c r="DL54" i="9"/>
  <c r="DM54" i="9"/>
  <c r="DN54" i="9"/>
  <c r="DO54" i="9"/>
  <c r="DP54" i="9"/>
  <c r="DQ54" i="9"/>
  <c r="DR54" i="9"/>
  <c r="DS54" i="9"/>
  <c r="DT54" i="9"/>
  <c r="DU54" i="9"/>
  <c r="DV54" i="9"/>
  <c r="DW54" i="9"/>
  <c r="DX54" i="9"/>
  <c r="DY54" i="9"/>
  <c r="DZ54" i="9"/>
  <c r="EA54" i="9"/>
  <c r="EB54" i="9"/>
  <c r="EC54" i="9"/>
  <c r="ED54" i="9"/>
  <c r="EE54" i="9"/>
  <c r="EF54" i="9"/>
  <c r="EG54" i="9"/>
  <c r="EH54" i="9"/>
  <c r="EI54" i="9"/>
  <c r="EJ54" i="9"/>
  <c r="EK54" i="9"/>
  <c r="EL54" i="9"/>
  <c r="EM54" i="9"/>
  <c r="EN54" i="9"/>
  <c r="EO54" i="9"/>
  <c r="EP54" i="9"/>
  <c r="EQ54" i="9"/>
  <c r="ER54" i="9"/>
  <c r="ES54" i="9"/>
  <c r="ET54" i="9"/>
  <c r="EU54" i="9"/>
  <c r="EV54" i="9"/>
  <c r="EW54" i="9"/>
  <c r="EX54" i="9"/>
  <c r="EY54" i="9"/>
  <c r="EZ54" i="9"/>
  <c r="FA54" i="9"/>
  <c r="FB54" i="9"/>
  <c r="FC54" i="9"/>
  <c r="FD54" i="9"/>
  <c r="FE54" i="9"/>
  <c r="FF54" i="9"/>
  <c r="FG54" i="9"/>
  <c r="FH54" i="9"/>
  <c r="FI54" i="9"/>
  <c r="FJ54" i="9"/>
  <c r="FK54" i="9"/>
  <c r="FL54" i="9"/>
  <c r="FM54" i="9"/>
  <c r="FN54" i="9"/>
  <c r="FO54" i="9"/>
  <c r="FP54" i="9"/>
  <c r="FQ54" i="9"/>
  <c r="FR54" i="9"/>
  <c r="FS54" i="9"/>
  <c r="FT54" i="9"/>
  <c r="FU54" i="9"/>
  <c r="FV54" i="9"/>
  <c r="FW54" i="9"/>
  <c r="FX54" i="9"/>
  <c r="FY54" i="9"/>
  <c r="FZ54" i="9"/>
  <c r="GA54" i="9"/>
  <c r="GB54" i="9"/>
  <c r="GC54" i="9"/>
  <c r="GD54" i="9"/>
  <c r="GE54" i="9"/>
  <c r="GF54" i="9"/>
  <c r="GG54" i="9"/>
  <c r="GH54" i="9"/>
  <c r="GI54" i="9"/>
  <c r="GJ54" i="9"/>
  <c r="GK54" i="9"/>
  <c r="GL54" i="9"/>
  <c r="GM54" i="9"/>
  <c r="GN54" i="9"/>
  <c r="GO54" i="9"/>
  <c r="GP54" i="9"/>
  <c r="GQ54" i="9"/>
  <c r="GR54" i="9"/>
  <c r="GS54" i="9"/>
  <c r="GT54" i="9"/>
  <c r="GU54" i="9"/>
  <c r="GV54" i="9"/>
  <c r="GW54" i="9"/>
  <c r="GX54" i="9"/>
  <c r="GY54" i="9"/>
  <c r="GZ54" i="9"/>
  <c r="HA54" i="9"/>
  <c r="HB54" i="9"/>
  <c r="HC54" i="9"/>
  <c r="HD54" i="9"/>
  <c r="HE54" i="9"/>
  <c r="HF54" i="9"/>
  <c r="HG54" i="9"/>
  <c r="HH54" i="9"/>
  <c r="HI54" i="9"/>
  <c r="HJ54" i="9"/>
  <c r="HK54" i="9"/>
  <c r="HL54" i="9"/>
  <c r="HM54" i="9"/>
  <c r="HN54" i="9"/>
  <c r="HO54" i="9"/>
  <c r="HP54" i="9"/>
  <c r="HQ54" i="9"/>
  <c r="HR54" i="9"/>
  <c r="HS54" i="9"/>
  <c r="HT54" i="9"/>
  <c r="HU54" i="9"/>
  <c r="HV54" i="9"/>
  <c r="HW54" i="9"/>
  <c r="HX54" i="9"/>
  <c r="HY54" i="9"/>
  <c r="HZ54" i="9"/>
  <c r="IA54" i="9"/>
  <c r="IB54" i="9"/>
  <c r="IC54" i="9"/>
  <c r="ID54" i="9"/>
  <c r="IE54" i="9"/>
  <c r="IF54" i="9"/>
  <c r="IG54" i="9"/>
  <c r="IH54" i="9"/>
  <c r="II54" i="9"/>
  <c r="IJ54" i="9"/>
  <c r="IK54" i="9"/>
  <c r="IL54" i="9"/>
  <c r="IM54" i="9"/>
  <c r="IN54" i="9"/>
  <c r="IO54" i="9"/>
  <c r="IP54" i="9"/>
  <c r="IQ54" i="9"/>
  <c r="IR54" i="9"/>
  <c r="IS54" i="9"/>
  <c r="IT54" i="9"/>
  <c r="IU54" i="9"/>
  <c r="IV54" i="9"/>
  <c r="A53" i="9"/>
  <c r="B53" i="9"/>
  <c r="C53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Y53" i="9"/>
  <c r="Z53" i="9"/>
  <c r="AA53" i="9"/>
  <c r="AB53" i="9"/>
  <c r="AC53" i="9"/>
  <c r="AD53" i="9"/>
  <c r="AE53" i="9"/>
  <c r="AF53" i="9"/>
  <c r="AG53" i="9"/>
  <c r="AH53" i="9"/>
  <c r="AI53" i="9"/>
  <c r="AJ53" i="9"/>
  <c r="AK53" i="9"/>
  <c r="AL53" i="9"/>
  <c r="AM53" i="9"/>
  <c r="AN53" i="9"/>
  <c r="AO53" i="9"/>
  <c r="AP53" i="9"/>
  <c r="AQ53" i="9"/>
  <c r="AR53" i="9"/>
  <c r="AS53" i="9"/>
  <c r="AT53" i="9"/>
  <c r="AU53" i="9"/>
  <c r="AV53" i="9"/>
  <c r="AW53" i="9"/>
  <c r="AX53" i="9"/>
  <c r="AY53" i="9"/>
  <c r="AZ53" i="9"/>
  <c r="BA53" i="9"/>
  <c r="BB53" i="9"/>
  <c r="BC53" i="9"/>
  <c r="BD53" i="9"/>
  <c r="BE53" i="9"/>
  <c r="BF53" i="9"/>
  <c r="BG53" i="9"/>
  <c r="BH53" i="9"/>
  <c r="BI53" i="9"/>
  <c r="BJ53" i="9"/>
  <c r="BK53" i="9"/>
  <c r="BL53" i="9"/>
  <c r="BM53" i="9"/>
  <c r="BN53" i="9"/>
  <c r="BO53" i="9"/>
  <c r="BP53" i="9"/>
  <c r="BQ53" i="9"/>
  <c r="BR53" i="9"/>
  <c r="BS53" i="9"/>
  <c r="BT53" i="9"/>
  <c r="BU53" i="9"/>
  <c r="BV53" i="9"/>
  <c r="BW53" i="9"/>
  <c r="BX53" i="9"/>
  <c r="BY53" i="9"/>
  <c r="BZ53" i="9"/>
  <c r="CA53" i="9"/>
  <c r="CB53" i="9"/>
  <c r="CC53" i="9"/>
  <c r="CD53" i="9"/>
  <c r="CE53" i="9"/>
  <c r="CF53" i="9"/>
  <c r="CG53" i="9"/>
  <c r="CH53" i="9"/>
  <c r="CI53" i="9"/>
  <c r="CJ53" i="9"/>
  <c r="CK53" i="9"/>
  <c r="CL53" i="9"/>
  <c r="CM53" i="9"/>
  <c r="CN53" i="9"/>
  <c r="CO53" i="9"/>
  <c r="CP53" i="9"/>
  <c r="CQ53" i="9"/>
  <c r="CR53" i="9"/>
  <c r="CS53" i="9"/>
  <c r="CT53" i="9"/>
  <c r="CU53" i="9"/>
  <c r="CV53" i="9"/>
  <c r="CW53" i="9"/>
  <c r="CX53" i="9"/>
  <c r="CY53" i="9"/>
  <c r="CZ53" i="9"/>
  <c r="DA53" i="9"/>
  <c r="DB53" i="9"/>
  <c r="DC53" i="9"/>
  <c r="DD53" i="9"/>
  <c r="DE53" i="9"/>
  <c r="DF53" i="9"/>
  <c r="DG53" i="9"/>
  <c r="DH53" i="9"/>
  <c r="DI53" i="9"/>
  <c r="DJ53" i="9"/>
  <c r="DK53" i="9"/>
  <c r="DL53" i="9"/>
  <c r="DM53" i="9"/>
  <c r="DN53" i="9"/>
  <c r="DO53" i="9"/>
  <c r="DP53" i="9"/>
  <c r="DQ53" i="9"/>
  <c r="DR53" i="9"/>
  <c r="DS53" i="9"/>
  <c r="DT53" i="9"/>
  <c r="DU53" i="9"/>
  <c r="DV53" i="9"/>
  <c r="DW53" i="9"/>
  <c r="DX53" i="9"/>
  <c r="DY53" i="9"/>
  <c r="DZ53" i="9"/>
  <c r="EA53" i="9"/>
  <c r="EB53" i="9"/>
  <c r="EC53" i="9"/>
  <c r="ED53" i="9"/>
  <c r="EE53" i="9"/>
  <c r="EF53" i="9"/>
  <c r="EG53" i="9"/>
  <c r="EH53" i="9"/>
  <c r="EI53" i="9"/>
  <c r="EJ53" i="9"/>
  <c r="EK53" i="9"/>
  <c r="EL53" i="9"/>
  <c r="EM53" i="9"/>
  <c r="EN53" i="9"/>
  <c r="EO53" i="9"/>
  <c r="EP53" i="9"/>
  <c r="EQ53" i="9"/>
  <c r="ER53" i="9"/>
  <c r="ES53" i="9"/>
  <c r="ET53" i="9"/>
  <c r="EU53" i="9"/>
  <c r="EV53" i="9"/>
  <c r="EW53" i="9"/>
  <c r="EX53" i="9"/>
  <c r="EY53" i="9"/>
  <c r="EZ53" i="9"/>
  <c r="FA53" i="9"/>
  <c r="FB53" i="9"/>
  <c r="FC53" i="9"/>
  <c r="FD53" i="9"/>
  <c r="FE53" i="9"/>
  <c r="FF53" i="9"/>
  <c r="FG53" i="9"/>
  <c r="FH53" i="9"/>
  <c r="FI53" i="9"/>
  <c r="FJ53" i="9"/>
  <c r="FK53" i="9"/>
  <c r="FL53" i="9"/>
  <c r="FM53" i="9"/>
  <c r="FN53" i="9"/>
  <c r="FO53" i="9"/>
  <c r="FP53" i="9"/>
  <c r="FQ53" i="9"/>
  <c r="FR53" i="9"/>
  <c r="FS53" i="9"/>
  <c r="FT53" i="9"/>
  <c r="FU53" i="9"/>
  <c r="FV53" i="9"/>
  <c r="FW53" i="9"/>
  <c r="FX53" i="9"/>
  <c r="FY53" i="9"/>
  <c r="FZ53" i="9"/>
  <c r="GA53" i="9"/>
  <c r="GB53" i="9"/>
  <c r="GC53" i="9"/>
  <c r="GD53" i="9"/>
  <c r="GE53" i="9"/>
  <c r="GF53" i="9"/>
  <c r="GG53" i="9"/>
  <c r="GH53" i="9"/>
  <c r="GI53" i="9"/>
  <c r="GJ53" i="9"/>
  <c r="GK53" i="9"/>
  <c r="GL53" i="9"/>
  <c r="GM53" i="9"/>
  <c r="GN53" i="9"/>
  <c r="GO53" i="9"/>
  <c r="GP53" i="9"/>
  <c r="GQ53" i="9"/>
  <c r="GR53" i="9"/>
  <c r="GS53" i="9"/>
  <c r="GT53" i="9"/>
  <c r="GU53" i="9"/>
  <c r="GV53" i="9"/>
  <c r="GW53" i="9"/>
  <c r="GX53" i="9"/>
  <c r="GY53" i="9"/>
  <c r="GZ53" i="9"/>
  <c r="HA53" i="9"/>
  <c r="HB53" i="9"/>
  <c r="HC53" i="9"/>
  <c r="HD53" i="9"/>
  <c r="HE53" i="9"/>
  <c r="HF53" i="9"/>
  <c r="HG53" i="9"/>
  <c r="HH53" i="9"/>
  <c r="HI53" i="9"/>
  <c r="HJ53" i="9"/>
  <c r="HK53" i="9"/>
  <c r="HL53" i="9"/>
  <c r="HM53" i="9"/>
  <c r="HN53" i="9"/>
  <c r="HO53" i="9"/>
  <c r="HP53" i="9"/>
  <c r="HQ53" i="9"/>
  <c r="HR53" i="9"/>
  <c r="HS53" i="9"/>
  <c r="HT53" i="9"/>
  <c r="HU53" i="9"/>
  <c r="HV53" i="9"/>
  <c r="HW53" i="9"/>
  <c r="HX53" i="9"/>
  <c r="HY53" i="9"/>
  <c r="HZ53" i="9"/>
  <c r="IA53" i="9"/>
  <c r="IB53" i="9"/>
  <c r="IC53" i="9"/>
  <c r="ID53" i="9"/>
  <c r="IE53" i="9"/>
  <c r="IF53" i="9"/>
  <c r="IG53" i="9"/>
  <c r="IH53" i="9"/>
  <c r="II53" i="9"/>
  <c r="IJ53" i="9"/>
  <c r="IK53" i="9"/>
  <c r="IL53" i="9"/>
  <c r="IM53" i="9"/>
  <c r="IN53" i="9"/>
  <c r="IO53" i="9"/>
  <c r="IP53" i="9"/>
  <c r="IQ53" i="9"/>
  <c r="IR53" i="9"/>
  <c r="IS53" i="9"/>
  <c r="IT53" i="9"/>
  <c r="IU53" i="9"/>
  <c r="IV53" i="9"/>
  <c r="A52" i="9"/>
  <c r="B52" i="9"/>
  <c r="C52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X52" i="9"/>
  <c r="Y52" i="9"/>
  <c r="Z52" i="9"/>
  <c r="AA52" i="9"/>
  <c r="AB52" i="9"/>
  <c r="AC52" i="9"/>
  <c r="AD52" i="9"/>
  <c r="AE52" i="9"/>
  <c r="AF52" i="9"/>
  <c r="AG52" i="9"/>
  <c r="AH52" i="9"/>
  <c r="AI52" i="9"/>
  <c r="AJ52" i="9"/>
  <c r="AK52" i="9"/>
  <c r="AL52" i="9"/>
  <c r="AM52" i="9"/>
  <c r="AN52" i="9"/>
  <c r="AO52" i="9"/>
  <c r="AP52" i="9"/>
  <c r="AQ52" i="9"/>
  <c r="AR52" i="9"/>
  <c r="AS52" i="9"/>
  <c r="AT52" i="9"/>
  <c r="AU52" i="9"/>
  <c r="AV52" i="9"/>
  <c r="AW52" i="9"/>
  <c r="AX52" i="9"/>
  <c r="AY52" i="9"/>
  <c r="AZ52" i="9"/>
  <c r="BA52" i="9"/>
  <c r="BB52" i="9"/>
  <c r="BC52" i="9"/>
  <c r="BD52" i="9"/>
  <c r="BE52" i="9"/>
  <c r="BF52" i="9"/>
  <c r="BG52" i="9"/>
  <c r="BH52" i="9"/>
  <c r="BI52" i="9"/>
  <c r="BJ52" i="9"/>
  <c r="BK52" i="9"/>
  <c r="BL52" i="9"/>
  <c r="BM52" i="9"/>
  <c r="BN52" i="9"/>
  <c r="BO52" i="9"/>
  <c r="BP52" i="9"/>
  <c r="BQ52" i="9"/>
  <c r="BR52" i="9"/>
  <c r="BS52" i="9"/>
  <c r="BT52" i="9"/>
  <c r="BU52" i="9"/>
  <c r="BV52" i="9"/>
  <c r="BW52" i="9"/>
  <c r="BX52" i="9"/>
  <c r="BY52" i="9"/>
  <c r="BZ52" i="9"/>
  <c r="CA52" i="9"/>
  <c r="CB52" i="9"/>
  <c r="CC52" i="9"/>
  <c r="CD52" i="9"/>
  <c r="CE52" i="9"/>
  <c r="CF52" i="9"/>
  <c r="CG52" i="9"/>
  <c r="CH52" i="9"/>
  <c r="CI52" i="9"/>
  <c r="CJ52" i="9"/>
  <c r="CK52" i="9"/>
  <c r="CL52" i="9"/>
  <c r="CM52" i="9"/>
  <c r="CN52" i="9"/>
  <c r="CO52" i="9"/>
  <c r="CP52" i="9"/>
  <c r="CQ52" i="9"/>
  <c r="CR52" i="9"/>
  <c r="CS52" i="9"/>
  <c r="CT52" i="9"/>
  <c r="CU52" i="9"/>
  <c r="CV52" i="9"/>
  <c r="CW52" i="9"/>
  <c r="CX52" i="9"/>
  <c r="CY52" i="9"/>
  <c r="CZ52" i="9"/>
  <c r="DA52" i="9"/>
  <c r="DB52" i="9"/>
  <c r="DC52" i="9"/>
  <c r="DD52" i="9"/>
  <c r="DE52" i="9"/>
  <c r="DF52" i="9"/>
  <c r="DG52" i="9"/>
  <c r="DH52" i="9"/>
  <c r="DI52" i="9"/>
  <c r="DJ52" i="9"/>
  <c r="DK52" i="9"/>
  <c r="DL52" i="9"/>
  <c r="DM52" i="9"/>
  <c r="DN52" i="9"/>
  <c r="DO52" i="9"/>
  <c r="DP52" i="9"/>
  <c r="DQ52" i="9"/>
  <c r="DR52" i="9"/>
  <c r="DS52" i="9"/>
  <c r="DT52" i="9"/>
  <c r="DU52" i="9"/>
  <c r="DV52" i="9"/>
  <c r="DW52" i="9"/>
  <c r="DX52" i="9"/>
  <c r="DY52" i="9"/>
  <c r="DZ52" i="9"/>
  <c r="EA52" i="9"/>
  <c r="EB52" i="9"/>
  <c r="EC52" i="9"/>
  <c r="ED52" i="9"/>
  <c r="EE52" i="9"/>
  <c r="EF52" i="9"/>
  <c r="EG52" i="9"/>
  <c r="EH52" i="9"/>
  <c r="EI52" i="9"/>
  <c r="EJ52" i="9"/>
  <c r="EK52" i="9"/>
  <c r="EL52" i="9"/>
  <c r="EM52" i="9"/>
  <c r="EN52" i="9"/>
  <c r="EO52" i="9"/>
  <c r="EP52" i="9"/>
  <c r="EQ52" i="9"/>
  <c r="ER52" i="9"/>
  <c r="ES52" i="9"/>
  <c r="ET52" i="9"/>
  <c r="EU52" i="9"/>
  <c r="EV52" i="9"/>
  <c r="EW52" i="9"/>
  <c r="EX52" i="9"/>
  <c r="EY52" i="9"/>
  <c r="EZ52" i="9"/>
  <c r="FA52" i="9"/>
  <c r="FB52" i="9"/>
  <c r="FC52" i="9"/>
  <c r="FD52" i="9"/>
  <c r="FE52" i="9"/>
  <c r="FF52" i="9"/>
  <c r="FG52" i="9"/>
  <c r="FH52" i="9"/>
  <c r="FI52" i="9"/>
  <c r="FJ52" i="9"/>
  <c r="FK52" i="9"/>
  <c r="FL52" i="9"/>
  <c r="FM52" i="9"/>
  <c r="FN52" i="9"/>
  <c r="FO52" i="9"/>
  <c r="FP52" i="9"/>
  <c r="FQ52" i="9"/>
  <c r="FR52" i="9"/>
  <c r="FS52" i="9"/>
  <c r="FT52" i="9"/>
  <c r="FU52" i="9"/>
  <c r="FV52" i="9"/>
  <c r="FW52" i="9"/>
  <c r="FX52" i="9"/>
  <c r="FY52" i="9"/>
  <c r="FZ52" i="9"/>
  <c r="GA52" i="9"/>
  <c r="GB52" i="9"/>
  <c r="GC52" i="9"/>
  <c r="GD52" i="9"/>
  <c r="GE52" i="9"/>
  <c r="GF52" i="9"/>
  <c r="GG52" i="9"/>
  <c r="GH52" i="9"/>
  <c r="GI52" i="9"/>
  <c r="GJ52" i="9"/>
  <c r="GK52" i="9"/>
  <c r="GL52" i="9"/>
  <c r="GM52" i="9"/>
  <c r="GN52" i="9"/>
  <c r="GO52" i="9"/>
  <c r="GP52" i="9"/>
  <c r="GQ52" i="9"/>
  <c r="GR52" i="9"/>
  <c r="GS52" i="9"/>
  <c r="GT52" i="9"/>
  <c r="GU52" i="9"/>
  <c r="GV52" i="9"/>
  <c r="GW52" i="9"/>
  <c r="GX52" i="9"/>
  <c r="GY52" i="9"/>
  <c r="GZ52" i="9"/>
  <c r="HA52" i="9"/>
  <c r="HB52" i="9"/>
  <c r="HC52" i="9"/>
  <c r="HD52" i="9"/>
  <c r="HE52" i="9"/>
  <c r="HF52" i="9"/>
  <c r="HG52" i="9"/>
  <c r="HH52" i="9"/>
  <c r="HI52" i="9"/>
  <c r="HJ52" i="9"/>
  <c r="HK52" i="9"/>
  <c r="HL52" i="9"/>
  <c r="HM52" i="9"/>
  <c r="HN52" i="9"/>
  <c r="HO52" i="9"/>
  <c r="HP52" i="9"/>
  <c r="HQ52" i="9"/>
  <c r="HR52" i="9"/>
  <c r="HS52" i="9"/>
  <c r="HT52" i="9"/>
  <c r="HU52" i="9"/>
  <c r="HV52" i="9"/>
  <c r="HW52" i="9"/>
  <c r="HX52" i="9"/>
  <c r="HY52" i="9"/>
  <c r="HZ52" i="9"/>
  <c r="IA52" i="9"/>
  <c r="IB52" i="9"/>
  <c r="IC52" i="9"/>
  <c r="ID52" i="9"/>
  <c r="IE52" i="9"/>
  <c r="IF52" i="9"/>
  <c r="IG52" i="9"/>
  <c r="IH52" i="9"/>
  <c r="II52" i="9"/>
  <c r="IJ52" i="9"/>
  <c r="IK52" i="9"/>
  <c r="IL52" i="9"/>
  <c r="IM52" i="9"/>
  <c r="IN52" i="9"/>
  <c r="IO52" i="9"/>
  <c r="IP52" i="9"/>
  <c r="IQ52" i="9"/>
  <c r="IR52" i="9"/>
  <c r="IS52" i="9"/>
  <c r="IT52" i="9"/>
  <c r="IU52" i="9"/>
  <c r="IV52" i="9"/>
  <c r="A51" i="9"/>
  <c r="B51" i="9"/>
  <c r="C51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AD51" i="9"/>
  <c r="AE51" i="9"/>
  <c r="AF51" i="9"/>
  <c r="AG51" i="9"/>
  <c r="AH51" i="9"/>
  <c r="AI51" i="9"/>
  <c r="AJ51" i="9"/>
  <c r="AK51" i="9"/>
  <c r="AL51" i="9"/>
  <c r="AM51" i="9"/>
  <c r="AN51" i="9"/>
  <c r="AO51" i="9"/>
  <c r="AP51" i="9"/>
  <c r="AQ51" i="9"/>
  <c r="AR51" i="9"/>
  <c r="AS51" i="9"/>
  <c r="AT51" i="9"/>
  <c r="AU51" i="9"/>
  <c r="AV51" i="9"/>
  <c r="AW51" i="9"/>
  <c r="AX51" i="9"/>
  <c r="AY51" i="9"/>
  <c r="AZ51" i="9"/>
  <c r="BA51" i="9"/>
  <c r="BB51" i="9"/>
  <c r="BC51" i="9"/>
  <c r="BD51" i="9"/>
  <c r="BE51" i="9"/>
  <c r="BF51" i="9"/>
  <c r="BG51" i="9"/>
  <c r="BH51" i="9"/>
  <c r="BI51" i="9"/>
  <c r="BJ51" i="9"/>
  <c r="BK51" i="9"/>
  <c r="BL51" i="9"/>
  <c r="BM51" i="9"/>
  <c r="BN51" i="9"/>
  <c r="BO51" i="9"/>
  <c r="BP51" i="9"/>
  <c r="BQ51" i="9"/>
  <c r="BR51" i="9"/>
  <c r="BS51" i="9"/>
  <c r="BT51" i="9"/>
  <c r="BU51" i="9"/>
  <c r="BV51" i="9"/>
  <c r="BW51" i="9"/>
  <c r="BX51" i="9"/>
  <c r="BY51" i="9"/>
  <c r="BZ51" i="9"/>
  <c r="CA51" i="9"/>
  <c r="CB51" i="9"/>
  <c r="CC51" i="9"/>
  <c r="CD51" i="9"/>
  <c r="CE51" i="9"/>
  <c r="CF51" i="9"/>
  <c r="CG51" i="9"/>
  <c r="CH51" i="9"/>
  <c r="CI51" i="9"/>
  <c r="CJ51" i="9"/>
  <c r="CK51" i="9"/>
  <c r="CL51" i="9"/>
  <c r="CM51" i="9"/>
  <c r="CN51" i="9"/>
  <c r="CO51" i="9"/>
  <c r="CP51" i="9"/>
  <c r="CQ51" i="9"/>
  <c r="CR51" i="9"/>
  <c r="CS51" i="9"/>
  <c r="CT51" i="9"/>
  <c r="CU51" i="9"/>
  <c r="CV51" i="9"/>
  <c r="CW51" i="9"/>
  <c r="CX51" i="9"/>
  <c r="CY51" i="9"/>
  <c r="CZ51" i="9"/>
  <c r="DA51" i="9"/>
  <c r="DB51" i="9"/>
  <c r="DC51" i="9"/>
  <c r="DD51" i="9"/>
  <c r="DE51" i="9"/>
  <c r="DF51" i="9"/>
  <c r="DG51" i="9"/>
  <c r="DH51" i="9"/>
  <c r="DI51" i="9"/>
  <c r="DJ51" i="9"/>
  <c r="DK51" i="9"/>
  <c r="DL51" i="9"/>
  <c r="DM51" i="9"/>
  <c r="DN51" i="9"/>
  <c r="DO51" i="9"/>
  <c r="DP51" i="9"/>
  <c r="DQ51" i="9"/>
  <c r="DR51" i="9"/>
  <c r="DS51" i="9"/>
  <c r="DT51" i="9"/>
  <c r="DU51" i="9"/>
  <c r="DV51" i="9"/>
  <c r="DW51" i="9"/>
  <c r="DX51" i="9"/>
  <c r="DY51" i="9"/>
  <c r="DZ51" i="9"/>
  <c r="EA51" i="9"/>
  <c r="EB51" i="9"/>
  <c r="EC51" i="9"/>
  <c r="ED51" i="9"/>
  <c r="EE51" i="9"/>
  <c r="EF51" i="9"/>
  <c r="EG51" i="9"/>
  <c r="EH51" i="9"/>
  <c r="EI51" i="9"/>
  <c r="EJ51" i="9"/>
  <c r="EK51" i="9"/>
  <c r="EL51" i="9"/>
  <c r="EM51" i="9"/>
  <c r="EN51" i="9"/>
  <c r="EO51" i="9"/>
  <c r="EP51" i="9"/>
  <c r="EQ51" i="9"/>
  <c r="ER51" i="9"/>
  <c r="ES51" i="9"/>
  <c r="ET51" i="9"/>
  <c r="EU51" i="9"/>
  <c r="EV51" i="9"/>
  <c r="EW51" i="9"/>
  <c r="EX51" i="9"/>
  <c r="EY51" i="9"/>
  <c r="EZ51" i="9"/>
  <c r="FA51" i="9"/>
  <c r="FB51" i="9"/>
  <c r="FC51" i="9"/>
  <c r="FD51" i="9"/>
  <c r="FE51" i="9"/>
  <c r="FF51" i="9"/>
  <c r="FG51" i="9"/>
  <c r="FH51" i="9"/>
  <c r="FI51" i="9"/>
  <c r="FJ51" i="9"/>
  <c r="FK51" i="9"/>
  <c r="FL51" i="9"/>
  <c r="FM51" i="9"/>
  <c r="FN51" i="9"/>
  <c r="FO51" i="9"/>
  <c r="FP51" i="9"/>
  <c r="FQ51" i="9"/>
  <c r="FR51" i="9"/>
  <c r="FS51" i="9"/>
  <c r="FT51" i="9"/>
  <c r="FU51" i="9"/>
  <c r="FV51" i="9"/>
  <c r="FW51" i="9"/>
  <c r="FX51" i="9"/>
  <c r="FY51" i="9"/>
  <c r="FZ51" i="9"/>
  <c r="GA51" i="9"/>
  <c r="GB51" i="9"/>
  <c r="GC51" i="9"/>
  <c r="GD51" i="9"/>
  <c r="GE51" i="9"/>
  <c r="GF51" i="9"/>
  <c r="GG51" i="9"/>
  <c r="GH51" i="9"/>
  <c r="GI51" i="9"/>
  <c r="GJ51" i="9"/>
  <c r="GK51" i="9"/>
  <c r="GL51" i="9"/>
  <c r="GM51" i="9"/>
  <c r="GN51" i="9"/>
  <c r="GO51" i="9"/>
  <c r="GP51" i="9"/>
  <c r="GQ51" i="9"/>
  <c r="GR51" i="9"/>
  <c r="GS51" i="9"/>
  <c r="GT51" i="9"/>
  <c r="GU51" i="9"/>
  <c r="GV51" i="9"/>
  <c r="GW51" i="9"/>
  <c r="GX51" i="9"/>
  <c r="GY51" i="9"/>
  <c r="GZ51" i="9"/>
  <c r="HA51" i="9"/>
  <c r="HB51" i="9"/>
  <c r="HC51" i="9"/>
  <c r="HD51" i="9"/>
  <c r="HE51" i="9"/>
  <c r="HF51" i="9"/>
  <c r="HG51" i="9"/>
  <c r="HH51" i="9"/>
  <c r="HI51" i="9"/>
  <c r="HJ51" i="9"/>
  <c r="HK51" i="9"/>
  <c r="HL51" i="9"/>
  <c r="HM51" i="9"/>
  <c r="HN51" i="9"/>
  <c r="HO51" i="9"/>
  <c r="HP51" i="9"/>
  <c r="HQ51" i="9"/>
  <c r="HR51" i="9"/>
  <c r="HS51" i="9"/>
  <c r="HT51" i="9"/>
  <c r="HU51" i="9"/>
  <c r="HV51" i="9"/>
  <c r="HW51" i="9"/>
  <c r="HX51" i="9"/>
  <c r="HY51" i="9"/>
  <c r="HZ51" i="9"/>
  <c r="IA51" i="9"/>
  <c r="IB51" i="9"/>
  <c r="IC51" i="9"/>
  <c r="ID51" i="9"/>
  <c r="IE51" i="9"/>
  <c r="IF51" i="9"/>
  <c r="IG51" i="9"/>
  <c r="IH51" i="9"/>
  <c r="II51" i="9"/>
  <c r="IJ51" i="9"/>
  <c r="IK51" i="9"/>
  <c r="IL51" i="9"/>
  <c r="IM51" i="9"/>
  <c r="IN51" i="9"/>
  <c r="IO51" i="9"/>
  <c r="IP51" i="9"/>
  <c r="IQ51" i="9"/>
  <c r="IR51" i="9"/>
  <c r="IS51" i="9"/>
  <c r="IT51" i="9"/>
  <c r="IU51" i="9"/>
  <c r="IV51" i="9"/>
  <c r="A50" i="9"/>
  <c r="B50" i="9"/>
  <c r="C50" i="9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AD50" i="9"/>
  <c r="AE50" i="9"/>
  <c r="AF50" i="9"/>
  <c r="AG50" i="9"/>
  <c r="AH50" i="9"/>
  <c r="AI50" i="9"/>
  <c r="AJ50" i="9"/>
  <c r="AK50" i="9"/>
  <c r="AL50" i="9"/>
  <c r="AM50" i="9"/>
  <c r="AN50" i="9"/>
  <c r="AO50" i="9"/>
  <c r="AP50" i="9"/>
  <c r="AQ50" i="9"/>
  <c r="AR50" i="9"/>
  <c r="AS50" i="9"/>
  <c r="AT50" i="9"/>
  <c r="AU50" i="9"/>
  <c r="AV50" i="9"/>
  <c r="AW50" i="9"/>
  <c r="AX50" i="9"/>
  <c r="AY50" i="9"/>
  <c r="AZ50" i="9"/>
  <c r="BA50" i="9"/>
  <c r="BB50" i="9"/>
  <c r="BC50" i="9"/>
  <c r="BD50" i="9"/>
  <c r="BE50" i="9"/>
  <c r="BF50" i="9"/>
  <c r="BG50" i="9"/>
  <c r="BH50" i="9"/>
  <c r="BI50" i="9"/>
  <c r="BJ50" i="9"/>
  <c r="BK50" i="9"/>
  <c r="BL50" i="9"/>
  <c r="BM50" i="9"/>
  <c r="BN50" i="9"/>
  <c r="BO50" i="9"/>
  <c r="BP50" i="9"/>
  <c r="BQ50" i="9"/>
  <c r="BR50" i="9"/>
  <c r="BS50" i="9"/>
  <c r="BT50" i="9"/>
  <c r="BU50" i="9"/>
  <c r="BV50" i="9"/>
  <c r="BW50" i="9"/>
  <c r="BX50" i="9"/>
  <c r="BY50" i="9"/>
  <c r="BZ50" i="9"/>
  <c r="CA50" i="9"/>
  <c r="CB50" i="9"/>
  <c r="CC50" i="9"/>
  <c r="CD50" i="9"/>
  <c r="CE50" i="9"/>
  <c r="CF50" i="9"/>
  <c r="CG50" i="9"/>
  <c r="CH50" i="9"/>
  <c r="CI50" i="9"/>
  <c r="CJ50" i="9"/>
  <c r="CK50" i="9"/>
  <c r="CL50" i="9"/>
  <c r="CM50" i="9"/>
  <c r="CN50" i="9"/>
  <c r="CO50" i="9"/>
  <c r="CP50" i="9"/>
  <c r="CQ50" i="9"/>
  <c r="CR50" i="9"/>
  <c r="CS50" i="9"/>
  <c r="CT50" i="9"/>
  <c r="CU50" i="9"/>
  <c r="CV50" i="9"/>
  <c r="CW50" i="9"/>
  <c r="CX50" i="9"/>
  <c r="CY50" i="9"/>
  <c r="CZ50" i="9"/>
  <c r="DA50" i="9"/>
  <c r="DB50" i="9"/>
  <c r="DC50" i="9"/>
  <c r="DD50" i="9"/>
  <c r="DE50" i="9"/>
  <c r="DF50" i="9"/>
  <c r="DG50" i="9"/>
  <c r="DH50" i="9"/>
  <c r="DI50" i="9"/>
  <c r="DJ50" i="9"/>
  <c r="DK50" i="9"/>
  <c r="DL50" i="9"/>
  <c r="DM50" i="9"/>
  <c r="DN50" i="9"/>
  <c r="DO50" i="9"/>
  <c r="DP50" i="9"/>
  <c r="DQ50" i="9"/>
  <c r="DR50" i="9"/>
  <c r="DS50" i="9"/>
  <c r="DT50" i="9"/>
  <c r="DU50" i="9"/>
  <c r="DV50" i="9"/>
  <c r="DW50" i="9"/>
  <c r="DX50" i="9"/>
  <c r="DY50" i="9"/>
  <c r="DZ50" i="9"/>
  <c r="EA50" i="9"/>
  <c r="EB50" i="9"/>
  <c r="EC50" i="9"/>
  <c r="ED50" i="9"/>
  <c r="EE50" i="9"/>
  <c r="EF50" i="9"/>
  <c r="EG50" i="9"/>
  <c r="EH50" i="9"/>
  <c r="EI50" i="9"/>
  <c r="EJ50" i="9"/>
  <c r="EK50" i="9"/>
  <c r="EL50" i="9"/>
  <c r="EM50" i="9"/>
  <c r="EN50" i="9"/>
  <c r="EO50" i="9"/>
  <c r="EP50" i="9"/>
  <c r="EQ50" i="9"/>
  <c r="ER50" i="9"/>
  <c r="ES50" i="9"/>
  <c r="ET50" i="9"/>
  <c r="EU50" i="9"/>
  <c r="EV50" i="9"/>
  <c r="EW50" i="9"/>
  <c r="EX50" i="9"/>
  <c r="EY50" i="9"/>
  <c r="EZ50" i="9"/>
  <c r="FA50" i="9"/>
  <c r="FB50" i="9"/>
  <c r="FC50" i="9"/>
  <c r="FD50" i="9"/>
  <c r="FE50" i="9"/>
  <c r="FF50" i="9"/>
  <c r="FG50" i="9"/>
  <c r="FH50" i="9"/>
  <c r="FI50" i="9"/>
  <c r="FJ50" i="9"/>
  <c r="FK50" i="9"/>
  <c r="FL50" i="9"/>
  <c r="FM50" i="9"/>
  <c r="FN50" i="9"/>
  <c r="FO50" i="9"/>
  <c r="FP50" i="9"/>
  <c r="FQ50" i="9"/>
  <c r="FR50" i="9"/>
  <c r="FS50" i="9"/>
  <c r="FT50" i="9"/>
  <c r="FU50" i="9"/>
  <c r="FV50" i="9"/>
  <c r="FW50" i="9"/>
  <c r="FX50" i="9"/>
  <c r="FY50" i="9"/>
  <c r="FZ50" i="9"/>
  <c r="GA50" i="9"/>
  <c r="GB50" i="9"/>
  <c r="GC50" i="9"/>
  <c r="GD50" i="9"/>
  <c r="GE50" i="9"/>
  <c r="GF50" i="9"/>
  <c r="GG50" i="9"/>
  <c r="GH50" i="9"/>
  <c r="GI50" i="9"/>
  <c r="GJ50" i="9"/>
  <c r="GK50" i="9"/>
  <c r="GL50" i="9"/>
  <c r="GM50" i="9"/>
  <c r="GN50" i="9"/>
  <c r="GO50" i="9"/>
  <c r="GP50" i="9"/>
  <c r="GQ50" i="9"/>
  <c r="GR50" i="9"/>
  <c r="GS50" i="9"/>
  <c r="GT50" i="9"/>
  <c r="GU50" i="9"/>
  <c r="GV50" i="9"/>
  <c r="GW50" i="9"/>
  <c r="GX50" i="9"/>
  <c r="GY50" i="9"/>
  <c r="GZ50" i="9"/>
  <c r="HA50" i="9"/>
  <c r="HB50" i="9"/>
  <c r="HC50" i="9"/>
  <c r="HD50" i="9"/>
  <c r="HE50" i="9"/>
  <c r="HF50" i="9"/>
  <c r="HG50" i="9"/>
  <c r="HH50" i="9"/>
  <c r="HI50" i="9"/>
  <c r="HJ50" i="9"/>
  <c r="HK50" i="9"/>
  <c r="HL50" i="9"/>
  <c r="HM50" i="9"/>
  <c r="HN50" i="9"/>
  <c r="HO50" i="9"/>
  <c r="HP50" i="9"/>
  <c r="HQ50" i="9"/>
  <c r="HR50" i="9"/>
  <c r="HS50" i="9"/>
  <c r="HT50" i="9"/>
  <c r="HU50" i="9"/>
  <c r="HV50" i="9"/>
  <c r="HW50" i="9"/>
  <c r="HX50" i="9"/>
  <c r="HY50" i="9"/>
  <c r="HZ50" i="9"/>
  <c r="IA50" i="9"/>
  <c r="IB50" i="9"/>
  <c r="IC50" i="9"/>
  <c r="ID50" i="9"/>
  <c r="IE50" i="9"/>
  <c r="IF50" i="9"/>
  <c r="IG50" i="9"/>
  <c r="IH50" i="9"/>
  <c r="II50" i="9"/>
  <c r="IJ50" i="9"/>
  <c r="IK50" i="9"/>
  <c r="IL50" i="9"/>
  <c r="IM50" i="9"/>
  <c r="IN50" i="9"/>
  <c r="IO50" i="9"/>
  <c r="IP50" i="9"/>
  <c r="IQ50" i="9"/>
  <c r="IR50" i="9"/>
  <c r="IS50" i="9"/>
  <c r="IT50" i="9"/>
  <c r="IU50" i="9"/>
  <c r="IV50" i="9"/>
  <c r="A49" i="9"/>
  <c r="B49" i="9"/>
  <c r="C49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AD49" i="9"/>
  <c r="AE49" i="9"/>
  <c r="AF49" i="9"/>
  <c r="AG49" i="9"/>
  <c r="AH49" i="9"/>
  <c r="AI49" i="9"/>
  <c r="AJ49" i="9"/>
  <c r="AK49" i="9"/>
  <c r="AL49" i="9"/>
  <c r="AM49" i="9"/>
  <c r="AN49" i="9"/>
  <c r="AO49" i="9"/>
  <c r="AP49" i="9"/>
  <c r="AQ49" i="9"/>
  <c r="AR49" i="9"/>
  <c r="AS49" i="9"/>
  <c r="AT49" i="9"/>
  <c r="AU49" i="9"/>
  <c r="AV49" i="9"/>
  <c r="AW49" i="9"/>
  <c r="AX49" i="9"/>
  <c r="AY49" i="9"/>
  <c r="AZ49" i="9"/>
  <c r="BA49" i="9"/>
  <c r="BB49" i="9"/>
  <c r="BC49" i="9"/>
  <c r="BD49" i="9"/>
  <c r="BE49" i="9"/>
  <c r="BF49" i="9"/>
  <c r="BG49" i="9"/>
  <c r="BH49" i="9"/>
  <c r="BI49" i="9"/>
  <c r="BJ49" i="9"/>
  <c r="BK49" i="9"/>
  <c r="BL49" i="9"/>
  <c r="BM49" i="9"/>
  <c r="BN49" i="9"/>
  <c r="BO49" i="9"/>
  <c r="BP49" i="9"/>
  <c r="BQ49" i="9"/>
  <c r="BR49" i="9"/>
  <c r="BS49" i="9"/>
  <c r="BT49" i="9"/>
  <c r="BU49" i="9"/>
  <c r="BV49" i="9"/>
  <c r="BW49" i="9"/>
  <c r="BX49" i="9"/>
  <c r="BY49" i="9"/>
  <c r="BZ49" i="9"/>
  <c r="CA49" i="9"/>
  <c r="CB49" i="9"/>
  <c r="CC49" i="9"/>
  <c r="CD49" i="9"/>
  <c r="CE49" i="9"/>
  <c r="CF49" i="9"/>
  <c r="CG49" i="9"/>
  <c r="CH49" i="9"/>
  <c r="CI49" i="9"/>
  <c r="CJ49" i="9"/>
  <c r="CK49" i="9"/>
  <c r="CL49" i="9"/>
  <c r="CM49" i="9"/>
  <c r="CN49" i="9"/>
  <c r="CO49" i="9"/>
  <c r="CP49" i="9"/>
  <c r="CQ49" i="9"/>
  <c r="CR49" i="9"/>
  <c r="CS49" i="9"/>
  <c r="CT49" i="9"/>
  <c r="CU49" i="9"/>
  <c r="CV49" i="9"/>
  <c r="CW49" i="9"/>
  <c r="CX49" i="9"/>
  <c r="CY49" i="9"/>
  <c r="CZ49" i="9"/>
  <c r="DA49" i="9"/>
  <c r="DB49" i="9"/>
  <c r="DC49" i="9"/>
  <c r="DD49" i="9"/>
  <c r="DE49" i="9"/>
  <c r="DF49" i="9"/>
  <c r="DG49" i="9"/>
  <c r="DH49" i="9"/>
  <c r="DI49" i="9"/>
  <c r="DJ49" i="9"/>
  <c r="DK49" i="9"/>
  <c r="DL49" i="9"/>
  <c r="DM49" i="9"/>
  <c r="DN49" i="9"/>
  <c r="DO49" i="9"/>
  <c r="DP49" i="9"/>
  <c r="DQ49" i="9"/>
  <c r="DR49" i="9"/>
  <c r="DS49" i="9"/>
  <c r="DT49" i="9"/>
  <c r="DU49" i="9"/>
  <c r="DV49" i="9"/>
  <c r="DW49" i="9"/>
  <c r="DX49" i="9"/>
  <c r="DY49" i="9"/>
  <c r="DZ49" i="9"/>
  <c r="EA49" i="9"/>
  <c r="EB49" i="9"/>
  <c r="EC49" i="9"/>
  <c r="ED49" i="9"/>
  <c r="EE49" i="9"/>
  <c r="EF49" i="9"/>
  <c r="EG49" i="9"/>
  <c r="EH49" i="9"/>
  <c r="EI49" i="9"/>
  <c r="EJ49" i="9"/>
  <c r="EK49" i="9"/>
  <c r="EL49" i="9"/>
  <c r="EM49" i="9"/>
  <c r="EN49" i="9"/>
  <c r="EO49" i="9"/>
  <c r="EP49" i="9"/>
  <c r="EQ49" i="9"/>
  <c r="ER49" i="9"/>
  <c r="ES49" i="9"/>
  <c r="ET49" i="9"/>
  <c r="EU49" i="9"/>
  <c r="EV49" i="9"/>
  <c r="EW49" i="9"/>
  <c r="EX49" i="9"/>
  <c r="EY49" i="9"/>
  <c r="EZ49" i="9"/>
  <c r="FA49" i="9"/>
  <c r="FB49" i="9"/>
  <c r="FC49" i="9"/>
  <c r="FD49" i="9"/>
  <c r="FE49" i="9"/>
  <c r="FF49" i="9"/>
  <c r="FG49" i="9"/>
  <c r="FH49" i="9"/>
  <c r="FI49" i="9"/>
  <c r="FJ49" i="9"/>
  <c r="FK49" i="9"/>
  <c r="FL49" i="9"/>
  <c r="FM49" i="9"/>
  <c r="FN49" i="9"/>
  <c r="FO49" i="9"/>
  <c r="FP49" i="9"/>
  <c r="FQ49" i="9"/>
  <c r="FR49" i="9"/>
  <c r="FS49" i="9"/>
  <c r="FT49" i="9"/>
  <c r="FU49" i="9"/>
  <c r="FV49" i="9"/>
  <c r="FW49" i="9"/>
  <c r="FX49" i="9"/>
  <c r="FY49" i="9"/>
  <c r="FZ49" i="9"/>
  <c r="GA49" i="9"/>
  <c r="GB49" i="9"/>
  <c r="GC49" i="9"/>
  <c r="GD49" i="9"/>
  <c r="GE49" i="9"/>
  <c r="GF49" i="9"/>
  <c r="GG49" i="9"/>
  <c r="GH49" i="9"/>
  <c r="GI49" i="9"/>
  <c r="GJ49" i="9"/>
  <c r="GK49" i="9"/>
  <c r="GL49" i="9"/>
  <c r="GM49" i="9"/>
  <c r="GN49" i="9"/>
  <c r="GO49" i="9"/>
  <c r="GP49" i="9"/>
  <c r="GQ49" i="9"/>
  <c r="GR49" i="9"/>
  <c r="GS49" i="9"/>
  <c r="GT49" i="9"/>
  <c r="GU49" i="9"/>
  <c r="GV49" i="9"/>
  <c r="GW49" i="9"/>
  <c r="GX49" i="9"/>
  <c r="GY49" i="9"/>
  <c r="GZ49" i="9"/>
  <c r="HA49" i="9"/>
  <c r="HB49" i="9"/>
  <c r="HC49" i="9"/>
  <c r="HD49" i="9"/>
  <c r="HE49" i="9"/>
  <c r="HF49" i="9"/>
  <c r="HG49" i="9"/>
  <c r="HH49" i="9"/>
  <c r="HI49" i="9"/>
  <c r="HJ49" i="9"/>
  <c r="HK49" i="9"/>
  <c r="HL49" i="9"/>
  <c r="HM49" i="9"/>
  <c r="HN49" i="9"/>
  <c r="HO49" i="9"/>
  <c r="HP49" i="9"/>
  <c r="HQ49" i="9"/>
  <c r="HR49" i="9"/>
  <c r="HS49" i="9"/>
  <c r="HT49" i="9"/>
  <c r="HU49" i="9"/>
  <c r="HV49" i="9"/>
  <c r="HW49" i="9"/>
  <c r="HX49" i="9"/>
  <c r="HY49" i="9"/>
  <c r="HZ49" i="9"/>
  <c r="IA49" i="9"/>
  <c r="IB49" i="9"/>
  <c r="IC49" i="9"/>
  <c r="ID49" i="9"/>
  <c r="IE49" i="9"/>
  <c r="IF49" i="9"/>
  <c r="IG49" i="9"/>
  <c r="IH49" i="9"/>
  <c r="II49" i="9"/>
  <c r="IJ49" i="9"/>
  <c r="IK49" i="9"/>
  <c r="IL49" i="9"/>
  <c r="IM49" i="9"/>
  <c r="IN49" i="9"/>
  <c r="IO49" i="9"/>
  <c r="IP49" i="9"/>
  <c r="IQ49" i="9"/>
  <c r="IR49" i="9"/>
  <c r="IS49" i="9"/>
  <c r="IT49" i="9"/>
  <c r="IU49" i="9"/>
  <c r="IV49" i="9"/>
  <c r="A48" i="9"/>
  <c r="B48" i="9"/>
  <c r="C48" i="9"/>
  <c r="D48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S48" i="9"/>
  <c r="T48" i="9"/>
  <c r="U48" i="9"/>
  <c r="V48" i="9"/>
  <c r="W48" i="9"/>
  <c r="X48" i="9"/>
  <c r="Y48" i="9"/>
  <c r="Z48" i="9"/>
  <c r="AA48" i="9"/>
  <c r="AB48" i="9"/>
  <c r="AC48" i="9"/>
  <c r="AD48" i="9"/>
  <c r="AE48" i="9"/>
  <c r="AF48" i="9"/>
  <c r="AG48" i="9"/>
  <c r="AH48" i="9"/>
  <c r="AI48" i="9"/>
  <c r="AJ48" i="9"/>
  <c r="AK48" i="9"/>
  <c r="AL48" i="9"/>
  <c r="AM48" i="9"/>
  <c r="AN48" i="9"/>
  <c r="AO48" i="9"/>
  <c r="AP48" i="9"/>
  <c r="AQ48" i="9"/>
  <c r="AR48" i="9"/>
  <c r="AS48" i="9"/>
  <c r="AT48" i="9"/>
  <c r="AU48" i="9"/>
  <c r="AV48" i="9"/>
  <c r="AW48" i="9"/>
  <c r="AX48" i="9"/>
  <c r="AY48" i="9"/>
  <c r="AZ48" i="9"/>
  <c r="BA48" i="9"/>
  <c r="BB48" i="9"/>
  <c r="BC48" i="9"/>
  <c r="BD48" i="9"/>
  <c r="BE48" i="9"/>
  <c r="BF48" i="9"/>
  <c r="BG48" i="9"/>
  <c r="BH48" i="9"/>
  <c r="BI48" i="9"/>
  <c r="BJ48" i="9"/>
  <c r="BK48" i="9"/>
  <c r="BL48" i="9"/>
  <c r="BM48" i="9"/>
  <c r="BN48" i="9"/>
  <c r="BO48" i="9"/>
  <c r="BP48" i="9"/>
  <c r="BQ48" i="9"/>
  <c r="BR48" i="9"/>
  <c r="BS48" i="9"/>
  <c r="BT48" i="9"/>
  <c r="BU48" i="9"/>
  <c r="BV48" i="9"/>
  <c r="BW48" i="9"/>
  <c r="BX48" i="9"/>
  <c r="BY48" i="9"/>
  <c r="BZ48" i="9"/>
  <c r="CA48" i="9"/>
  <c r="CB48" i="9"/>
  <c r="CC48" i="9"/>
  <c r="CD48" i="9"/>
  <c r="CE48" i="9"/>
  <c r="CF48" i="9"/>
  <c r="CG48" i="9"/>
  <c r="CH48" i="9"/>
  <c r="CI48" i="9"/>
  <c r="CJ48" i="9"/>
  <c r="CK48" i="9"/>
  <c r="CL48" i="9"/>
  <c r="CM48" i="9"/>
  <c r="CN48" i="9"/>
  <c r="CO48" i="9"/>
  <c r="CP48" i="9"/>
  <c r="CQ48" i="9"/>
  <c r="CR48" i="9"/>
  <c r="CS48" i="9"/>
  <c r="CT48" i="9"/>
  <c r="CU48" i="9"/>
  <c r="CV48" i="9"/>
  <c r="CW48" i="9"/>
  <c r="CX48" i="9"/>
  <c r="CY48" i="9"/>
  <c r="CZ48" i="9"/>
  <c r="DA48" i="9"/>
  <c r="DB48" i="9"/>
  <c r="DC48" i="9"/>
  <c r="DD48" i="9"/>
  <c r="DE48" i="9"/>
  <c r="DF48" i="9"/>
  <c r="DG48" i="9"/>
  <c r="DH48" i="9"/>
  <c r="DI48" i="9"/>
  <c r="DJ48" i="9"/>
  <c r="DK48" i="9"/>
  <c r="DL48" i="9"/>
  <c r="DM48" i="9"/>
  <c r="DN48" i="9"/>
  <c r="DO48" i="9"/>
  <c r="DP48" i="9"/>
  <c r="DQ48" i="9"/>
  <c r="DR48" i="9"/>
  <c r="DS48" i="9"/>
  <c r="DT48" i="9"/>
  <c r="DU48" i="9"/>
  <c r="DV48" i="9"/>
  <c r="DW48" i="9"/>
  <c r="DX48" i="9"/>
  <c r="DY48" i="9"/>
  <c r="DZ48" i="9"/>
  <c r="EA48" i="9"/>
  <c r="EB48" i="9"/>
  <c r="EC48" i="9"/>
  <c r="ED48" i="9"/>
  <c r="EE48" i="9"/>
  <c r="EF48" i="9"/>
  <c r="EG48" i="9"/>
  <c r="EH48" i="9"/>
  <c r="EI48" i="9"/>
  <c r="EJ48" i="9"/>
  <c r="EK48" i="9"/>
  <c r="EL48" i="9"/>
  <c r="EM48" i="9"/>
  <c r="EN48" i="9"/>
  <c r="EO48" i="9"/>
  <c r="EP48" i="9"/>
  <c r="EQ48" i="9"/>
  <c r="ER48" i="9"/>
  <c r="ES48" i="9"/>
  <c r="ET48" i="9"/>
  <c r="EU48" i="9"/>
  <c r="EV48" i="9"/>
  <c r="EW48" i="9"/>
  <c r="EX48" i="9"/>
  <c r="EY48" i="9"/>
  <c r="EZ48" i="9"/>
  <c r="FA48" i="9"/>
  <c r="FB48" i="9"/>
  <c r="FC48" i="9"/>
  <c r="FD48" i="9"/>
  <c r="FE48" i="9"/>
  <c r="FF48" i="9"/>
  <c r="FG48" i="9"/>
  <c r="FH48" i="9"/>
  <c r="FI48" i="9"/>
  <c r="FJ48" i="9"/>
  <c r="FK48" i="9"/>
  <c r="FL48" i="9"/>
  <c r="FM48" i="9"/>
  <c r="FN48" i="9"/>
  <c r="FO48" i="9"/>
  <c r="FP48" i="9"/>
  <c r="FQ48" i="9"/>
  <c r="FR48" i="9"/>
  <c r="FS48" i="9"/>
  <c r="FT48" i="9"/>
  <c r="FU48" i="9"/>
  <c r="FV48" i="9"/>
  <c r="FW48" i="9"/>
  <c r="FX48" i="9"/>
  <c r="FY48" i="9"/>
  <c r="FZ48" i="9"/>
  <c r="GA48" i="9"/>
  <c r="GB48" i="9"/>
  <c r="GC48" i="9"/>
  <c r="GD48" i="9"/>
  <c r="GE48" i="9"/>
  <c r="GF48" i="9"/>
  <c r="GG48" i="9"/>
  <c r="GH48" i="9"/>
  <c r="GI48" i="9"/>
  <c r="GJ48" i="9"/>
  <c r="GK48" i="9"/>
  <c r="GL48" i="9"/>
  <c r="GM48" i="9"/>
  <c r="GN48" i="9"/>
  <c r="GO48" i="9"/>
  <c r="GP48" i="9"/>
  <c r="GQ48" i="9"/>
  <c r="GR48" i="9"/>
  <c r="GS48" i="9"/>
  <c r="GT48" i="9"/>
  <c r="GU48" i="9"/>
  <c r="GV48" i="9"/>
  <c r="GW48" i="9"/>
  <c r="GX48" i="9"/>
  <c r="GY48" i="9"/>
  <c r="GZ48" i="9"/>
  <c r="HA48" i="9"/>
  <c r="HB48" i="9"/>
  <c r="HC48" i="9"/>
  <c r="HD48" i="9"/>
  <c r="HE48" i="9"/>
  <c r="HF48" i="9"/>
  <c r="HG48" i="9"/>
  <c r="HH48" i="9"/>
  <c r="HI48" i="9"/>
  <c r="HJ48" i="9"/>
  <c r="HK48" i="9"/>
  <c r="HL48" i="9"/>
  <c r="HM48" i="9"/>
  <c r="HN48" i="9"/>
  <c r="HO48" i="9"/>
  <c r="HP48" i="9"/>
  <c r="HQ48" i="9"/>
  <c r="HR48" i="9"/>
  <c r="HS48" i="9"/>
  <c r="HT48" i="9"/>
  <c r="HU48" i="9"/>
  <c r="HV48" i="9"/>
  <c r="HW48" i="9"/>
  <c r="HX48" i="9"/>
  <c r="HY48" i="9"/>
  <c r="HZ48" i="9"/>
  <c r="IA48" i="9"/>
  <c r="IB48" i="9"/>
  <c r="IC48" i="9"/>
  <c r="ID48" i="9"/>
  <c r="IE48" i="9"/>
  <c r="IF48" i="9"/>
  <c r="IG48" i="9"/>
  <c r="IH48" i="9"/>
  <c r="II48" i="9"/>
  <c r="IJ48" i="9"/>
  <c r="IK48" i="9"/>
  <c r="IL48" i="9"/>
  <c r="IM48" i="9"/>
  <c r="IN48" i="9"/>
  <c r="IO48" i="9"/>
  <c r="IP48" i="9"/>
  <c r="IQ48" i="9"/>
  <c r="IR48" i="9"/>
  <c r="IS48" i="9"/>
  <c r="IT48" i="9"/>
  <c r="IU48" i="9"/>
  <c r="IV48" i="9"/>
  <c r="A47" i="9"/>
  <c r="B47" i="9"/>
  <c r="C47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X47" i="9"/>
  <c r="Y47" i="9"/>
  <c r="Z47" i="9"/>
  <c r="AA47" i="9"/>
  <c r="AB47" i="9"/>
  <c r="AC47" i="9"/>
  <c r="AD47" i="9"/>
  <c r="AE47" i="9"/>
  <c r="AF47" i="9"/>
  <c r="AG47" i="9"/>
  <c r="AH47" i="9"/>
  <c r="AI47" i="9"/>
  <c r="AJ47" i="9"/>
  <c r="AK47" i="9"/>
  <c r="AL47" i="9"/>
  <c r="AM47" i="9"/>
  <c r="AN47" i="9"/>
  <c r="AO47" i="9"/>
  <c r="AP47" i="9"/>
  <c r="AQ47" i="9"/>
  <c r="AR47" i="9"/>
  <c r="AS47" i="9"/>
  <c r="AT47" i="9"/>
  <c r="AU47" i="9"/>
  <c r="AV47" i="9"/>
  <c r="AW47" i="9"/>
  <c r="AX47" i="9"/>
  <c r="AY47" i="9"/>
  <c r="AZ47" i="9"/>
  <c r="BA47" i="9"/>
  <c r="BB47" i="9"/>
  <c r="BC47" i="9"/>
  <c r="BD47" i="9"/>
  <c r="BE47" i="9"/>
  <c r="BF47" i="9"/>
  <c r="BG47" i="9"/>
  <c r="BH47" i="9"/>
  <c r="BI47" i="9"/>
  <c r="BJ47" i="9"/>
  <c r="BK47" i="9"/>
  <c r="BL47" i="9"/>
  <c r="BM47" i="9"/>
  <c r="BN47" i="9"/>
  <c r="BO47" i="9"/>
  <c r="BP47" i="9"/>
  <c r="BQ47" i="9"/>
  <c r="BR47" i="9"/>
  <c r="BS47" i="9"/>
  <c r="BT47" i="9"/>
  <c r="BU47" i="9"/>
  <c r="BV47" i="9"/>
  <c r="BW47" i="9"/>
  <c r="BX47" i="9"/>
  <c r="BY47" i="9"/>
  <c r="BZ47" i="9"/>
  <c r="CA47" i="9"/>
  <c r="CB47" i="9"/>
  <c r="CC47" i="9"/>
  <c r="CD47" i="9"/>
  <c r="CE47" i="9"/>
  <c r="CF47" i="9"/>
  <c r="CG47" i="9"/>
  <c r="CH47" i="9"/>
  <c r="CI47" i="9"/>
  <c r="CJ47" i="9"/>
  <c r="CK47" i="9"/>
  <c r="CL47" i="9"/>
  <c r="CM47" i="9"/>
  <c r="CN47" i="9"/>
  <c r="CO47" i="9"/>
  <c r="CP47" i="9"/>
  <c r="CQ47" i="9"/>
  <c r="CR47" i="9"/>
  <c r="CS47" i="9"/>
  <c r="CT47" i="9"/>
  <c r="CU47" i="9"/>
  <c r="CV47" i="9"/>
  <c r="CW47" i="9"/>
  <c r="CX47" i="9"/>
  <c r="CY47" i="9"/>
  <c r="CZ47" i="9"/>
  <c r="DA47" i="9"/>
  <c r="DB47" i="9"/>
  <c r="DC47" i="9"/>
  <c r="DD47" i="9"/>
  <c r="DE47" i="9"/>
  <c r="DF47" i="9"/>
  <c r="DG47" i="9"/>
  <c r="DH47" i="9"/>
  <c r="DI47" i="9"/>
  <c r="DJ47" i="9"/>
  <c r="DK47" i="9"/>
  <c r="DL47" i="9"/>
  <c r="DM47" i="9"/>
  <c r="DN47" i="9"/>
  <c r="DO47" i="9"/>
  <c r="DP47" i="9"/>
  <c r="DQ47" i="9"/>
  <c r="DR47" i="9"/>
  <c r="DS47" i="9"/>
  <c r="DT47" i="9"/>
  <c r="DU47" i="9"/>
  <c r="DV47" i="9"/>
  <c r="DW47" i="9"/>
  <c r="DX47" i="9"/>
  <c r="DY47" i="9"/>
  <c r="DZ47" i="9"/>
  <c r="EA47" i="9"/>
  <c r="EB47" i="9"/>
  <c r="EC47" i="9"/>
  <c r="ED47" i="9"/>
  <c r="EE47" i="9"/>
  <c r="EF47" i="9"/>
  <c r="EG47" i="9"/>
  <c r="EH47" i="9"/>
  <c r="EI47" i="9"/>
  <c r="EJ47" i="9"/>
  <c r="EK47" i="9"/>
  <c r="EL47" i="9"/>
  <c r="EM47" i="9"/>
  <c r="EN47" i="9"/>
  <c r="EO47" i="9"/>
  <c r="EP47" i="9"/>
  <c r="EQ47" i="9"/>
  <c r="ER47" i="9"/>
  <c r="ES47" i="9"/>
  <c r="ET47" i="9"/>
  <c r="EU47" i="9"/>
  <c r="EV47" i="9"/>
  <c r="EW47" i="9"/>
  <c r="EX47" i="9"/>
  <c r="EY47" i="9"/>
  <c r="EZ47" i="9"/>
  <c r="FA47" i="9"/>
  <c r="FB47" i="9"/>
  <c r="FC47" i="9"/>
  <c r="FD47" i="9"/>
  <c r="FE47" i="9"/>
  <c r="FF47" i="9"/>
  <c r="FG47" i="9"/>
  <c r="FH47" i="9"/>
  <c r="FI47" i="9"/>
  <c r="FJ47" i="9"/>
  <c r="FK47" i="9"/>
  <c r="FL47" i="9"/>
  <c r="FM47" i="9"/>
  <c r="FN47" i="9"/>
  <c r="FO47" i="9"/>
  <c r="FP47" i="9"/>
  <c r="FQ47" i="9"/>
  <c r="FR47" i="9"/>
  <c r="FS47" i="9"/>
  <c r="FT47" i="9"/>
  <c r="FU47" i="9"/>
  <c r="FV47" i="9"/>
  <c r="FW47" i="9"/>
  <c r="FX47" i="9"/>
  <c r="FY47" i="9"/>
  <c r="FZ47" i="9"/>
  <c r="GA47" i="9"/>
  <c r="GB47" i="9"/>
  <c r="GC47" i="9"/>
  <c r="GD47" i="9"/>
  <c r="GE47" i="9"/>
  <c r="GF47" i="9"/>
  <c r="GG47" i="9"/>
  <c r="GH47" i="9"/>
  <c r="GI47" i="9"/>
  <c r="GJ47" i="9"/>
  <c r="GK47" i="9"/>
  <c r="GL47" i="9"/>
  <c r="GM47" i="9"/>
  <c r="GN47" i="9"/>
  <c r="GO47" i="9"/>
  <c r="GP47" i="9"/>
  <c r="GQ47" i="9"/>
  <c r="GR47" i="9"/>
  <c r="GS47" i="9"/>
  <c r="GT47" i="9"/>
  <c r="GU47" i="9"/>
  <c r="GV47" i="9"/>
  <c r="GW47" i="9"/>
  <c r="GX47" i="9"/>
  <c r="GY47" i="9"/>
  <c r="GZ47" i="9"/>
  <c r="HA47" i="9"/>
  <c r="HB47" i="9"/>
  <c r="HC47" i="9"/>
  <c r="HD47" i="9"/>
  <c r="HE47" i="9"/>
  <c r="HF47" i="9"/>
  <c r="HG47" i="9"/>
  <c r="HH47" i="9"/>
  <c r="HI47" i="9"/>
  <c r="HJ47" i="9"/>
  <c r="HK47" i="9"/>
  <c r="HL47" i="9"/>
  <c r="HM47" i="9"/>
  <c r="HN47" i="9"/>
  <c r="HO47" i="9"/>
  <c r="HP47" i="9"/>
  <c r="HQ47" i="9"/>
  <c r="HR47" i="9"/>
  <c r="HS47" i="9"/>
  <c r="HT47" i="9"/>
  <c r="HU47" i="9"/>
  <c r="HV47" i="9"/>
  <c r="HW47" i="9"/>
  <c r="HX47" i="9"/>
  <c r="HY47" i="9"/>
  <c r="HZ47" i="9"/>
  <c r="IA47" i="9"/>
  <c r="IB47" i="9"/>
  <c r="IC47" i="9"/>
  <c r="ID47" i="9"/>
  <c r="IE47" i="9"/>
  <c r="IF47" i="9"/>
  <c r="IG47" i="9"/>
  <c r="IH47" i="9"/>
  <c r="II47" i="9"/>
  <c r="IJ47" i="9"/>
  <c r="IK47" i="9"/>
  <c r="IL47" i="9"/>
  <c r="IM47" i="9"/>
  <c r="IN47" i="9"/>
  <c r="IO47" i="9"/>
  <c r="IP47" i="9"/>
  <c r="IQ47" i="9"/>
  <c r="IR47" i="9"/>
  <c r="IS47" i="9"/>
  <c r="IT47" i="9"/>
  <c r="IU47" i="9"/>
  <c r="IV47" i="9"/>
  <c r="A46" i="9"/>
  <c r="B46" i="9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X46" i="9"/>
  <c r="Y46" i="9"/>
  <c r="Z46" i="9"/>
  <c r="AA46" i="9"/>
  <c r="AB46" i="9"/>
  <c r="AC46" i="9"/>
  <c r="AD46" i="9"/>
  <c r="AE46" i="9"/>
  <c r="AF46" i="9"/>
  <c r="AG46" i="9"/>
  <c r="AH46" i="9"/>
  <c r="AI46" i="9"/>
  <c r="AJ46" i="9"/>
  <c r="AK46" i="9"/>
  <c r="AL46" i="9"/>
  <c r="AM46" i="9"/>
  <c r="AN46" i="9"/>
  <c r="AO46" i="9"/>
  <c r="AP46" i="9"/>
  <c r="AQ46" i="9"/>
  <c r="AR46" i="9"/>
  <c r="AS46" i="9"/>
  <c r="AT46" i="9"/>
  <c r="AU46" i="9"/>
  <c r="AV46" i="9"/>
  <c r="AW46" i="9"/>
  <c r="AX46" i="9"/>
  <c r="AY46" i="9"/>
  <c r="AZ46" i="9"/>
  <c r="BA46" i="9"/>
  <c r="BB46" i="9"/>
  <c r="BC46" i="9"/>
  <c r="BD46" i="9"/>
  <c r="BE46" i="9"/>
  <c r="BF46" i="9"/>
  <c r="BG46" i="9"/>
  <c r="BH46" i="9"/>
  <c r="BI46" i="9"/>
  <c r="BJ46" i="9"/>
  <c r="BK46" i="9"/>
  <c r="BL46" i="9"/>
  <c r="BM46" i="9"/>
  <c r="BN46" i="9"/>
  <c r="BO46" i="9"/>
  <c r="BP46" i="9"/>
  <c r="BQ46" i="9"/>
  <c r="BR46" i="9"/>
  <c r="BS46" i="9"/>
  <c r="BT46" i="9"/>
  <c r="BU46" i="9"/>
  <c r="BV46" i="9"/>
  <c r="BW46" i="9"/>
  <c r="BX46" i="9"/>
  <c r="BY46" i="9"/>
  <c r="BZ46" i="9"/>
  <c r="CA46" i="9"/>
  <c r="CB46" i="9"/>
  <c r="CC46" i="9"/>
  <c r="CD46" i="9"/>
  <c r="CE46" i="9"/>
  <c r="CF46" i="9"/>
  <c r="CG46" i="9"/>
  <c r="CH46" i="9"/>
  <c r="CI46" i="9"/>
  <c r="CJ46" i="9"/>
  <c r="CK46" i="9"/>
  <c r="CL46" i="9"/>
  <c r="CM46" i="9"/>
  <c r="CN46" i="9"/>
  <c r="CO46" i="9"/>
  <c r="CP46" i="9"/>
  <c r="CQ46" i="9"/>
  <c r="CR46" i="9"/>
  <c r="CS46" i="9"/>
  <c r="CT46" i="9"/>
  <c r="CU46" i="9"/>
  <c r="CV46" i="9"/>
  <c r="CW46" i="9"/>
  <c r="CX46" i="9"/>
  <c r="CY46" i="9"/>
  <c r="CZ46" i="9"/>
  <c r="DA46" i="9"/>
  <c r="DB46" i="9"/>
  <c r="DC46" i="9"/>
  <c r="DD46" i="9"/>
  <c r="DE46" i="9"/>
  <c r="DF46" i="9"/>
  <c r="DG46" i="9"/>
  <c r="DH46" i="9"/>
  <c r="DI46" i="9"/>
  <c r="DJ46" i="9"/>
  <c r="DK46" i="9"/>
  <c r="DL46" i="9"/>
  <c r="DM46" i="9"/>
  <c r="DN46" i="9"/>
  <c r="DO46" i="9"/>
  <c r="DP46" i="9"/>
  <c r="DQ46" i="9"/>
  <c r="DR46" i="9"/>
  <c r="DS46" i="9"/>
  <c r="DT46" i="9"/>
  <c r="DU46" i="9"/>
  <c r="DV46" i="9"/>
  <c r="DW46" i="9"/>
  <c r="DX46" i="9"/>
  <c r="DY46" i="9"/>
  <c r="DZ46" i="9"/>
  <c r="EA46" i="9"/>
  <c r="EB46" i="9"/>
  <c r="EC46" i="9"/>
  <c r="ED46" i="9"/>
  <c r="EE46" i="9"/>
  <c r="EF46" i="9"/>
  <c r="EG46" i="9"/>
  <c r="EH46" i="9"/>
  <c r="EI46" i="9"/>
  <c r="EJ46" i="9"/>
  <c r="EK46" i="9"/>
  <c r="EL46" i="9"/>
  <c r="EM46" i="9"/>
  <c r="EN46" i="9"/>
  <c r="EO46" i="9"/>
  <c r="EP46" i="9"/>
  <c r="EQ46" i="9"/>
  <c r="ER46" i="9"/>
  <c r="ES46" i="9"/>
  <c r="ET46" i="9"/>
  <c r="EU46" i="9"/>
  <c r="EV46" i="9"/>
  <c r="EW46" i="9"/>
  <c r="EX46" i="9"/>
  <c r="EY46" i="9"/>
  <c r="EZ46" i="9"/>
  <c r="FA46" i="9"/>
  <c r="FB46" i="9"/>
  <c r="FC46" i="9"/>
  <c r="FD46" i="9"/>
  <c r="FE46" i="9"/>
  <c r="FF46" i="9"/>
  <c r="FG46" i="9"/>
  <c r="FH46" i="9"/>
  <c r="FI46" i="9"/>
  <c r="FJ46" i="9"/>
  <c r="FK46" i="9"/>
  <c r="FL46" i="9"/>
  <c r="FM46" i="9"/>
  <c r="FN46" i="9"/>
  <c r="FO46" i="9"/>
  <c r="FP46" i="9"/>
  <c r="FQ46" i="9"/>
  <c r="FR46" i="9"/>
  <c r="FS46" i="9"/>
  <c r="FT46" i="9"/>
  <c r="FU46" i="9"/>
  <c r="FV46" i="9"/>
  <c r="FW46" i="9"/>
  <c r="FX46" i="9"/>
  <c r="FY46" i="9"/>
  <c r="FZ46" i="9"/>
  <c r="GA46" i="9"/>
  <c r="GB46" i="9"/>
  <c r="GC46" i="9"/>
  <c r="GD46" i="9"/>
  <c r="GE46" i="9"/>
  <c r="GF46" i="9"/>
  <c r="GG46" i="9"/>
  <c r="GH46" i="9"/>
  <c r="GI46" i="9"/>
  <c r="GJ46" i="9"/>
  <c r="GK46" i="9"/>
  <c r="GL46" i="9"/>
  <c r="GM46" i="9"/>
  <c r="GN46" i="9"/>
  <c r="GO46" i="9"/>
  <c r="GP46" i="9"/>
  <c r="GQ46" i="9"/>
  <c r="GR46" i="9"/>
  <c r="GS46" i="9"/>
  <c r="GT46" i="9"/>
  <c r="GU46" i="9"/>
  <c r="GV46" i="9"/>
  <c r="GW46" i="9"/>
  <c r="GX46" i="9"/>
  <c r="GY46" i="9"/>
  <c r="GZ46" i="9"/>
  <c r="HA46" i="9"/>
  <c r="HB46" i="9"/>
  <c r="HC46" i="9"/>
  <c r="HD46" i="9"/>
  <c r="HE46" i="9"/>
  <c r="HF46" i="9"/>
  <c r="HG46" i="9"/>
  <c r="HH46" i="9"/>
  <c r="HI46" i="9"/>
  <c r="HJ46" i="9"/>
  <c r="HK46" i="9"/>
  <c r="HL46" i="9"/>
  <c r="HM46" i="9"/>
  <c r="HN46" i="9"/>
  <c r="HO46" i="9"/>
  <c r="HP46" i="9"/>
  <c r="HQ46" i="9"/>
  <c r="HR46" i="9"/>
  <c r="HS46" i="9"/>
  <c r="HT46" i="9"/>
  <c r="HU46" i="9"/>
  <c r="HV46" i="9"/>
  <c r="HW46" i="9"/>
  <c r="HX46" i="9"/>
  <c r="HY46" i="9"/>
  <c r="HZ46" i="9"/>
  <c r="IA46" i="9"/>
  <c r="IB46" i="9"/>
  <c r="IC46" i="9"/>
  <c r="ID46" i="9"/>
  <c r="IE46" i="9"/>
  <c r="IF46" i="9"/>
  <c r="IG46" i="9"/>
  <c r="IH46" i="9"/>
  <c r="II46" i="9"/>
  <c r="IJ46" i="9"/>
  <c r="IK46" i="9"/>
  <c r="IL46" i="9"/>
  <c r="IM46" i="9"/>
  <c r="IN46" i="9"/>
  <c r="IO46" i="9"/>
  <c r="IP46" i="9"/>
  <c r="IQ46" i="9"/>
  <c r="IR46" i="9"/>
  <c r="IS46" i="9"/>
  <c r="IT46" i="9"/>
  <c r="IU46" i="9"/>
  <c r="IV46" i="9"/>
  <c r="A45" i="9"/>
  <c r="B45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Y45" i="9"/>
  <c r="Z45" i="9"/>
  <c r="AA45" i="9"/>
  <c r="AB45" i="9"/>
  <c r="AC45" i="9"/>
  <c r="AD45" i="9"/>
  <c r="AE45" i="9"/>
  <c r="AF45" i="9"/>
  <c r="AG45" i="9"/>
  <c r="AH45" i="9"/>
  <c r="AI45" i="9"/>
  <c r="AJ45" i="9"/>
  <c r="AK45" i="9"/>
  <c r="AL45" i="9"/>
  <c r="AM45" i="9"/>
  <c r="AN45" i="9"/>
  <c r="AO45" i="9"/>
  <c r="AP45" i="9"/>
  <c r="AQ45" i="9"/>
  <c r="AR45" i="9"/>
  <c r="AT45" i="9"/>
  <c r="AU45" i="9"/>
  <c r="AV45" i="9"/>
  <c r="AW45" i="9"/>
  <c r="AX45" i="9"/>
  <c r="AY45" i="9"/>
  <c r="AZ45" i="9"/>
  <c r="BA45" i="9"/>
  <c r="BB45" i="9"/>
  <c r="BC45" i="9"/>
  <c r="BD45" i="9"/>
  <c r="BE45" i="9"/>
  <c r="BF45" i="9"/>
  <c r="BG45" i="9"/>
  <c r="BH45" i="9"/>
  <c r="BI45" i="9"/>
  <c r="BJ45" i="9"/>
  <c r="BK45" i="9"/>
  <c r="BL45" i="9"/>
  <c r="BM45" i="9"/>
  <c r="BN45" i="9"/>
  <c r="BO45" i="9"/>
  <c r="BP45" i="9"/>
  <c r="BQ45" i="9"/>
  <c r="BR45" i="9"/>
  <c r="BS45" i="9"/>
  <c r="BT45" i="9"/>
  <c r="BU45" i="9"/>
  <c r="BV45" i="9"/>
  <c r="BW45" i="9"/>
  <c r="BX45" i="9"/>
  <c r="BY45" i="9"/>
  <c r="BZ45" i="9"/>
  <c r="CA45" i="9"/>
  <c r="CB45" i="9"/>
  <c r="CC45" i="9"/>
  <c r="CD45" i="9"/>
  <c r="CE45" i="9"/>
  <c r="CF45" i="9"/>
  <c r="CG45" i="9"/>
  <c r="CH45" i="9"/>
  <c r="CI45" i="9"/>
  <c r="CJ45" i="9"/>
  <c r="CK45" i="9"/>
  <c r="CL45" i="9"/>
  <c r="CM45" i="9"/>
  <c r="CN45" i="9"/>
  <c r="CO45" i="9"/>
  <c r="CP45" i="9"/>
  <c r="CQ45" i="9"/>
  <c r="CR45" i="9"/>
  <c r="CS45" i="9"/>
  <c r="CT45" i="9"/>
  <c r="CU45" i="9"/>
  <c r="CV45" i="9"/>
  <c r="CW45" i="9"/>
  <c r="CX45" i="9"/>
  <c r="CY45" i="9"/>
  <c r="CZ45" i="9"/>
  <c r="DA45" i="9"/>
  <c r="DB45" i="9"/>
  <c r="DC45" i="9"/>
  <c r="DD45" i="9"/>
  <c r="DE45" i="9"/>
  <c r="DF45" i="9"/>
  <c r="DG45" i="9"/>
  <c r="DH45" i="9"/>
  <c r="DI45" i="9"/>
  <c r="DJ45" i="9"/>
  <c r="DK45" i="9"/>
  <c r="DL45" i="9"/>
  <c r="DM45" i="9"/>
  <c r="DN45" i="9"/>
  <c r="DO45" i="9"/>
  <c r="DP45" i="9"/>
  <c r="DQ45" i="9"/>
  <c r="DR45" i="9"/>
  <c r="DS45" i="9"/>
  <c r="DT45" i="9"/>
  <c r="DU45" i="9"/>
  <c r="DV45" i="9"/>
  <c r="DW45" i="9"/>
  <c r="DX45" i="9"/>
  <c r="DY45" i="9"/>
  <c r="DZ45" i="9"/>
  <c r="EA45" i="9"/>
  <c r="EB45" i="9"/>
  <c r="EC45" i="9"/>
  <c r="ED45" i="9"/>
  <c r="EE45" i="9"/>
  <c r="EF45" i="9"/>
  <c r="EG45" i="9"/>
  <c r="EH45" i="9"/>
  <c r="EI45" i="9"/>
  <c r="EJ45" i="9"/>
  <c r="EK45" i="9"/>
  <c r="EL45" i="9"/>
  <c r="EM45" i="9"/>
  <c r="EN45" i="9"/>
  <c r="EO45" i="9"/>
  <c r="EP45" i="9"/>
  <c r="EQ45" i="9"/>
  <c r="ER45" i="9"/>
  <c r="ES45" i="9"/>
  <c r="ET45" i="9"/>
  <c r="EU45" i="9"/>
  <c r="EV45" i="9"/>
  <c r="EW45" i="9"/>
  <c r="EX45" i="9"/>
  <c r="EY45" i="9"/>
  <c r="EZ45" i="9"/>
  <c r="FA45" i="9"/>
  <c r="FB45" i="9"/>
  <c r="FC45" i="9"/>
  <c r="FD45" i="9"/>
  <c r="FE45" i="9"/>
  <c r="FF45" i="9"/>
  <c r="FG45" i="9"/>
  <c r="FH45" i="9"/>
  <c r="FI45" i="9"/>
  <c r="FJ45" i="9"/>
  <c r="FK45" i="9"/>
  <c r="FL45" i="9"/>
  <c r="FM45" i="9"/>
  <c r="FN45" i="9"/>
  <c r="FO45" i="9"/>
  <c r="FP45" i="9"/>
  <c r="FQ45" i="9"/>
  <c r="FR45" i="9"/>
  <c r="FS45" i="9"/>
  <c r="FT45" i="9"/>
  <c r="FU45" i="9"/>
  <c r="FV45" i="9"/>
  <c r="FW45" i="9"/>
  <c r="FX45" i="9"/>
  <c r="FY45" i="9"/>
  <c r="FZ45" i="9"/>
  <c r="GA45" i="9"/>
  <c r="GB45" i="9"/>
  <c r="GC45" i="9"/>
  <c r="GD45" i="9"/>
  <c r="GE45" i="9"/>
  <c r="GF45" i="9"/>
  <c r="GG45" i="9"/>
  <c r="GH45" i="9"/>
  <c r="GI45" i="9"/>
  <c r="GJ45" i="9"/>
  <c r="GK45" i="9"/>
  <c r="GL45" i="9"/>
  <c r="GM45" i="9"/>
  <c r="GN45" i="9"/>
  <c r="GO45" i="9"/>
  <c r="GP45" i="9"/>
  <c r="GQ45" i="9"/>
  <c r="GR45" i="9"/>
  <c r="GS45" i="9"/>
  <c r="GT45" i="9"/>
  <c r="GU45" i="9"/>
  <c r="GV45" i="9"/>
  <c r="GW45" i="9"/>
  <c r="GX45" i="9"/>
  <c r="GY45" i="9"/>
  <c r="GZ45" i="9"/>
  <c r="HA45" i="9"/>
  <c r="HB45" i="9"/>
  <c r="HC45" i="9"/>
  <c r="HD45" i="9"/>
  <c r="HE45" i="9"/>
  <c r="HF45" i="9"/>
  <c r="HG45" i="9"/>
  <c r="HH45" i="9"/>
  <c r="HI45" i="9"/>
  <c r="HJ45" i="9"/>
  <c r="HK45" i="9"/>
  <c r="HL45" i="9"/>
  <c r="HM45" i="9"/>
  <c r="HN45" i="9"/>
  <c r="HO45" i="9"/>
  <c r="HP45" i="9"/>
  <c r="HQ45" i="9"/>
  <c r="HR45" i="9"/>
  <c r="HS45" i="9"/>
  <c r="HT45" i="9"/>
  <c r="HU45" i="9"/>
  <c r="HV45" i="9"/>
  <c r="HW45" i="9"/>
  <c r="HX45" i="9"/>
  <c r="HY45" i="9"/>
  <c r="HZ45" i="9"/>
  <c r="IA45" i="9"/>
  <c r="IB45" i="9"/>
  <c r="IC45" i="9"/>
  <c r="ID45" i="9"/>
  <c r="IE45" i="9"/>
  <c r="IF45" i="9"/>
  <c r="IG45" i="9"/>
  <c r="IH45" i="9"/>
  <c r="II45" i="9"/>
  <c r="IJ45" i="9"/>
  <c r="IK45" i="9"/>
  <c r="IL45" i="9"/>
  <c r="IM45" i="9"/>
  <c r="IN45" i="9"/>
  <c r="IO45" i="9"/>
  <c r="IP45" i="9"/>
  <c r="IQ45" i="9"/>
  <c r="IR45" i="9"/>
  <c r="IS45" i="9"/>
  <c r="IT45" i="9"/>
  <c r="IU45" i="9"/>
  <c r="IV45" i="9"/>
  <c r="A44" i="9"/>
  <c r="B44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X44" i="9"/>
  <c r="Y44" i="9"/>
  <c r="Z44" i="9"/>
  <c r="AA44" i="9"/>
  <c r="AB44" i="9"/>
  <c r="AC44" i="9"/>
  <c r="AD44" i="9"/>
  <c r="AE44" i="9"/>
  <c r="AF44" i="9"/>
  <c r="AG44" i="9"/>
  <c r="AH44" i="9"/>
  <c r="AI44" i="9"/>
  <c r="AJ44" i="9"/>
  <c r="AK44" i="9"/>
  <c r="AL44" i="9"/>
  <c r="AM44" i="9"/>
  <c r="AN44" i="9"/>
  <c r="AO44" i="9"/>
  <c r="AP44" i="9"/>
  <c r="AQ44" i="9"/>
  <c r="AR44" i="9"/>
  <c r="AS44" i="9"/>
  <c r="AT44" i="9"/>
  <c r="AU44" i="9"/>
  <c r="AV44" i="9"/>
  <c r="AW44" i="9"/>
  <c r="AX44" i="9"/>
  <c r="AY44" i="9"/>
  <c r="AZ44" i="9"/>
  <c r="BA44" i="9"/>
  <c r="BB44" i="9"/>
  <c r="BC44" i="9"/>
  <c r="BD44" i="9"/>
  <c r="BE44" i="9"/>
  <c r="BF44" i="9"/>
  <c r="BG44" i="9"/>
  <c r="BH44" i="9"/>
  <c r="BI44" i="9"/>
  <c r="BJ44" i="9"/>
  <c r="BK44" i="9"/>
  <c r="BL44" i="9"/>
  <c r="BM44" i="9"/>
  <c r="BN44" i="9"/>
  <c r="BO44" i="9"/>
  <c r="BP44" i="9"/>
  <c r="BQ44" i="9"/>
  <c r="BR44" i="9"/>
  <c r="BS44" i="9"/>
  <c r="BT44" i="9"/>
  <c r="BU44" i="9"/>
  <c r="BV44" i="9"/>
  <c r="BW44" i="9"/>
  <c r="BX44" i="9"/>
  <c r="BY44" i="9"/>
  <c r="BZ44" i="9"/>
  <c r="CA44" i="9"/>
  <c r="CB44" i="9"/>
  <c r="CC44" i="9"/>
  <c r="CD44" i="9"/>
  <c r="CE44" i="9"/>
  <c r="CF44" i="9"/>
  <c r="CG44" i="9"/>
  <c r="CH44" i="9"/>
  <c r="CI44" i="9"/>
  <c r="CJ44" i="9"/>
  <c r="CK44" i="9"/>
  <c r="CL44" i="9"/>
  <c r="CM44" i="9"/>
  <c r="CN44" i="9"/>
  <c r="CO44" i="9"/>
  <c r="CP44" i="9"/>
  <c r="CQ44" i="9"/>
  <c r="CR44" i="9"/>
  <c r="CS44" i="9"/>
  <c r="CT44" i="9"/>
  <c r="CU44" i="9"/>
  <c r="CV44" i="9"/>
  <c r="CW44" i="9"/>
  <c r="CX44" i="9"/>
  <c r="CY44" i="9"/>
  <c r="CZ44" i="9"/>
  <c r="DA44" i="9"/>
  <c r="DB44" i="9"/>
  <c r="DC44" i="9"/>
  <c r="DD44" i="9"/>
  <c r="DE44" i="9"/>
  <c r="DF44" i="9"/>
  <c r="DG44" i="9"/>
  <c r="DH44" i="9"/>
  <c r="DI44" i="9"/>
  <c r="DJ44" i="9"/>
  <c r="DK44" i="9"/>
  <c r="DL44" i="9"/>
  <c r="DM44" i="9"/>
  <c r="DN44" i="9"/>
  <c r="DO44" i="9"/>
  <c r="DP44" i="9"/>
  <c r="DQ44" i="9"/>
  <c r="DR44" i="9"/>
  <c r="DS44" i="9"/>
  <c r="DT44" i="9"/>
  <c r="DU44" i="9"/>
  <c r="DV44" i="9"/>
  <c r="DW44" i="9"/>
  <c r="DX44" i="9"/>
  <c r="DY44" i="9"/>
  <c r="DZ44" i="9"/>
  <c r="EA44" i="9"/>
  <c r="EB44" i="9"/>
  <c r="EC44" i="9"/>
  <c r="ED44" i="9"/>
  <c r="EE44" i="9"/>
  <c r="EF44" i="9"/>
  <c r="EG44" i="9"/>
  <c r="EH44" i="9"/>
  <c r="EI44" i="9"/>
  <c r="EJ44" i="9"/>
  <c r="EK44" i="9"/>
  <c r="EL44" i="9"/>
  <c r="EM44" i="9"/>
  <c r="EN44" i="9"/>
  <c r="EO44" i="9"/>
  <c r="EP44" i="9"/>
  <c r="EQ44" i="9"/>
  <c r="ER44" i="9"/>
  <c r="ES44" i="9"/>
  <c r="ET44" i="9"/>
  <c r="EU44" i="9"/>
  <c r="EV44" i="9"/>
  <c r="EW44" i="9"/>
  <c r="EX44" i="9"/>
  <c r="EY44" i="9"/>
  <c r="EZ44" i="9"/>
  <c r="FA44" i="9"/>
  <c r="FB44" i="9"/>
  <c r="FC44" i="9"/>
  <c r="FD44" i="9"/>
  <c r="FE44" i="9"/>
  <c r="FF44" i="9"/>
  <c r="FG44" i="9"/>
  <c r="FH44" i="9"/>
  <c r="FI44" i="9"/>
  <c r="FJ44" i="9"/>
  <c r="FK44" i="9"/>
  <c r="FL44" i="9"/>
  <c r="FM44" i="9"/>
  <c r="FN44" i="9"/>
  <c r="FO44" i="9"/>
  <c r="FP44" i="9"/>
  <c r="FQ44" i="9"/>
  <c r="FR44" i="9"/>
  <c r="FS44" i="9"/>
  <c r="FT44" i="9"/>
  <c r="FU44" i="9"/>
  <c r="FV44" i="9"/>
  <c r="FW44" i="9"/>
  <c r="FX44" i="9"/>
  <c r="FY44" i="9"/>
  <c r="FZ44" i="9"/>
  <c r="GA44" i="9"/>
  <c r="GB44" i="9"/>
  <c r="GC44" i="9"/>
  <c r="GD44" i="9"/>
  <c r="GE44" i="9"/>
  <c r="GF44" i="9"/>
  <c r="GG44" i="9"/>
  <c r="GH44" i="9"/>
  <c r="GI44" i="9"/>
  <c r="GJ44" i="9"/>
  <c r="GK44" i="9"/>
  <c r="GL44" i="9"/>
  <c r="GM44" i="9"/>
  <c r="GN44" i="9"/>
  <c r="GO44" i="9"/>
  <c r="GP44" i="9"/>
  <c r="GQ44" i="9"/>
  <c r="GR44" i="9"/>
  <c r="GS44" i="9"/>
  <c r="GT44" i="9"/>
  <c r="GU44" i="9"/>
  <c r="GV44" i="9"/>
  <c r="GW44" i="9"/>
  <c r="GX44" i="9"/>
  <c r="GY44" i="9"/>
  <c r="GZ44" i="9"/>
  <c r="HA44" i="9"/>
  <c r="HB44" i="9"/>
  <c r="HC44" i="9"/>
  <c r="HD44" i="9"/>
  <c r="HE44" i="9"/>
  <c r="HF44" i="9"/>
  <c r="HG44" i="9"/>
  <c r="HH44" i="9"/>
  <c r="HI44" i="9"/>
  <c r="HJ44" i="9"/>
  <c r="HK44" i="9"/>
  <c r="HL44" i="9"/>
  <c r="HM44" i="9"/>
  <c r="HN44" i="9"/>
  <c r="HO44" i="9"/>
  <c r="HP44" i="9"/>
  <c r="HQ44" i="9"/>
  <c r="HR44" i="9"/>
  <c r="HS44" i="9"/>
  <c r="HT44" i="9"/>
  <c r="HU44" i="9"/>
  <c r="HV44" i="9"/>
  <c r="HW44" i="9"/>
  <c r="HX44" i="9"/>
  <c r="HY44" i="9"/>
  <c r="HZ44" i="9"/>
  <c r="IA44" i="9"/>
  <c r="IB44" i="9"/>
  <c r="IC44" i="9"/>
  <c r="ID44" i="9"/>
  <c r="IE44" i="9"/>
  <c r="IF44" i="9"/>
  <c r="IG44" i="9"/>
  <c r="IH44" i="9"/>
  <c r="II44" i="9"/>
  <c r="IJ44" i="9"/>
  <c r="IK44" i="9"/>
  <c r="IL44" i="9"/>
  <c r="IM44" i="9"/>
  <c r="IN44" i="9"/>
  <c r="IO44" i="9"/>
  <c r="IP44" i="9"/>
  <c r="IQ44" i="9"/>
  <c r="IR44" i="9"/>
  <c r="IS44" i="9"/>
  <c r="IT44" i="9"/>
  <c r="IU44" i="9"/>
  <c r="IV44" i="9"/>
  <c r="A43" i="9"/>
  <c r="B43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Z43" i="9"/>
  <c r="AA43" i="9"/>
  <c r="AB43" i="9"/>
  <c r="AC43" i="9"/>
  <c r="AD43" i="9"/>
  <c r="AE43" i="9"/>
  <c r="AF43" i="9"/>
  <c r="AG43" i="9"/>
  <c r="AH43" i="9"/>
  <c r="AI43" i="9"/>
  <c r="AJ43" i="9"/>
  <c r="AK43" i="9"/>
  <c r="AL43" i="9"/>
  <c r="AM43" i="9"/>
  <c r="AN43" i="9"/>
  <c r="AO43" i="9"/>
  <c r="AP43" i="9"/>
  <c r="AQ43" i="9"/>
  <c r="AR43" i="9"/>
  <c r="AS43" i="9"/>
  <c r="AT43" i="9"/>
  <c r="AU43" i="9"/>
  <c r="AV43" i="9"/>
  <c r="AW43" i="9"/>
  <c r="AX43" i="9"/>
  <c r="AY43" i="9"/>
  <c r="AZ43" i="9"/>
  <c r="BA43" i="9"/>
  <c r="BB43" i="9"/>
  <c r="BC43" i="9"/>
  <c r="BD43" i="9"/>
  <c r="BE43" i="9"/>
  <c r="BF43" i="9"/>
  <c r="BG43" i="9"/>
  <c r="BH43" i="9"/>
  <c r="BI43" i="9"/>
  <c r="BJ43" i="9"/>
  <c r="BK43" i="9"/>
  <c r="BL43" i="9"/>
  <c r="BM43" i="9"/>
  <c r="BN43" i="9"/>
  <c r="BO43" i="9"/>
  <c r="BP43" i="9"/>
  <c r="BQ43" i="9"/>
  <c r="BR43" i="9"/>
  <c r="BS43" i="9"/>
  <c r="BT43" i="9"/>
  <c r="BU43" i="9"/>
  <c r="BV43" i="9"/>
  <c r="BW43" i="9"/>
  <c r="BX43" i="9"/>
  <c r="BY43" i="9"/>
  <c r="BZ43" i="9"/>
  <c r="CA43" i="9"/>
  <c r="CB43" i="9"/>
  <c r="CC43" i="9"/>
  <c r="CD43" i="9"/>
  <c r="CE43" i="9"/>
  <c r="CF43" i="9"/>
  <c r="CG43" i="9"/>
  <c r="CH43" i="9"/>
  <c r="CI43" i="9"/>
  <c r="CJ43" i="9"/>
  <c r="CK43" i="9"/>
  <c r="CL43" i="9"/>
  <c r="CM43" i="9"/>
  <c r="CN43" i="9"/>
  <c r="CO43" i="9"/>
  <c r="CP43" i="9"/>
  <c r="CQ43" i="9"/>
  <c r="CR43" i="9"/>
  <c r="CS43" i="9"/>
  <c r="CT43" i="9"/>
  <c r="CU43" i="9"/>
  <c r="CV43" i="9"/>
  <c r="CW43" i="9"/>
  <c r="CX43" i="9"/>
  <c r="CY43" i="9"/>
  <c r="CZ43" i="9"/>
  <c r="DA43" i="9"/>
  <c r="DB43" i="9"/>
  <c r="DC43" i="9"/>
  <c r="DD43" i="9"/>
  <c r="DE43" i="9"/>
  <c r="DF43" i="9"/>
  <c r="DG43" i="9"/>
  <c r="DH43" i="9"/>
  <c r="DI43" i="9"/>
  <c r="DJ43" i="9"/>
  <c r="DK43" i="9"/>
  <c r="DL43" i="9"/>
  <c r="DM43" i="9"/>
  <c r="DN43" i="9"/>
  <c r="DO43" i="9"/>
  <c r="DP43" i="9"/>
  <c r="DQ43" i="9"/>
  <c r="DR43" i="9"/>
  <c r="DS43" i="9"/>
  <c r="DT43" i="9"/>
  <c r="DU43" i="9"/>
  <c r="DV43" i="9"/>
  <c r="DW43" i="9"/>
  <c r="DX43" i="9"/>
  <c r="DY43" i="9"/>
  <c r="DZ43" i="9"/>
  <c r="EA43" i="9"/>
  <c r="EB43" i="9"/>
  <c r="EC43" i="9"/>
  <c r="ED43" i="9"/>
  <c r="EE43" i="9"/>
  <c r="EF43" i="9"/>
  <c r="EG43" i="9"/>
  <c r="EH43" i="9"/>
  <c r="EI43" i="9"/>
  <c r="EJ43" i="9"/>
  <c r="EK43" i="9"/>
  <c r="EL43" i="9"/>
  <c r="EM43" i="9"/>
  <c r="EN43" i="9"/>
  <c r="EO43" i="9"/>
  <c r="EP43" i="9"/>
  <c r="EQ43" i="9"/>
  <c r="ER43" i="9"/>
  <c r="ES43" i="9"/>
  <c r="ET43" i="9"/>
  <c r="EU43" i="9"/>
  <c r="EV43" i="9"/>
  <c r="EW43" i="9"/>
  <c r="EX43" i="9"/>
  <c r="EY43" i="9"/>
  <c r="EZ43" i="9"/>
  <c r="FA43" i="9"/>
  <c r="FB43" i="9"/>
  <c r="FC43" i="9"/>
  <c r="FD43" i="9"/>
  <c r="FE43" i="9"/>
  <c r="FF43" i="9"/>
  <c r="FG43" i="9"/>
  <c r="FH43" i="9"/>
  <c r="FI43" i="9"/>
  <c r="FJ43" i="9"/>
  <c r="FK43" i="9"/>
  <c r="FL43" i="9"/>
  <c r="FM43" i="9"/>
  <c r="FN43" i="9"/>
  <c r="FO43" i="9"/>
  <c r="FP43" i="9"/>
  <c r="FQ43" i="9"/>
  <c r="FR43" i="9"/>
  <c r="FS43" i="9"/>
  <c r="FT43" i="9"/>
  <c r="FU43" i="9"/>
  <c r="FV43" i="9"/>
  <c r="FW43" i="9"/>
  <c r="FX43" i="9"/>
  <c r="FY43" i="9"/>
  <c r="FZ43" i="9"/>
  <c r="GA43" i="9"/>
  <c r="GB43" i="9"/>
  <c r="GC43" i="9"/>
  <c r="GD43" i="9"/>
  <c r="GE43" i="9"/>
  <c r="GF43" i="9"/>
  <c r="GG43" i="9"/>
  <c r="GH43" i="9"/>
  <c r="GI43" i="9"/>
  <c r="GJ43" i="9"/>
  <c r="GK43" i="9"/>
  <c r="GL43" i="9"/>
  <c r="GM43" i="9"/>
  <c r="GN43" i="9"/>
  <c r="GO43" i="9"/>
  <c r="GP43" i="9"/>
  <c r="GQ43" i="9"/>
  <c r="GR43" i="9"/>
  <c r="GS43" i="9"/>
  <c r="GT43" i="9"/>
  <c r="GU43" i="9"/>
  <c r="GV43" i="9"/>
  <c r="GW43" i="9"/>
  <c r="GX43" i="9"/>
  <c r="GY43" i="9"/>
  <c r="GZ43" i="9"/>
  <c r="HA43" i="9"/>
  <c r="HB43" i="9"/>
  <c r="HC43" i="9"/>
  <c r="HD43" i="9"/>
  <c r="HE43" i="9"/>
  <c r="HF43" i="9"/>
  <c r="HG43" i="9"/>
  <c r="HH43" i="9"/>
  <c r="HI43" i="9"/>
  <c r="HJ43" i="9"/>
  <c r="HK43" i="9"/>
  <c r="HL43" i="9"/>
  <c r="HM43" i="9"/>
  <c r="HN43" i="9"/>
  <c r="HO43" i="9"/>
  <c r="HP43" i="9"/>
  <c r="HQ43" i="9"/>
  <c r="HR43" i="9"/>
  <c r="HS43" i="9"/>
  <c r="HT43" i="9"/>
  <c r="HU43" i="9"/>
  <c r="HV43" i="9"/>
  <c r="HW43" i="9"/>
  <c r="HX43" i="9"/>
  <c r="HY43" i="9"/>
  <c r="HZ43" i="9"/>
  <c r="IA43" i="9"/>
  <c r="IB43" i="9"/>
  <c r="IC43" i="9"/>
  <c r="ID43" i="9"/>
  <c r="IE43" i="9"/>
  <c r="IF43" i="9"/>
  <c r="IG43" i="9"/>
  <c r="IH43" i="9"/>
  <c r="II43" i="9"/>
  <c r="IJ43" i="9"/>
  <c r="IK43" i="9"/>
  <c r="IL43" i="9"/>
  <c r="IM43" i="9"/>
  <c r="IN43" i="9"/>
  <c r="IO43" i="9"/>
  <c r="IP43" i="9"/>
  <c r="IQ43" i="9"/>
  <c r="IR43" i="9"/>
  <c r="IS43" i="9"/>
  <c r="IT43" i="9"/>
  <c r="IU43" i="9"/>
  <c r="IV43" i="9"/>
  <c r="A42" i="9"/>
  <c r="B42" i="9"/>
  <c r="C42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Z42" i="9"/>
  <c r="AA42" i="9"/>
  <c r="AB42" i="9"/>
  <c r="AC42" i="9"/>
  <c r="AD42" i="9"/>
  <c r="AE42" i="9"/>
  <c r="AF42" i="9"/>
  <c r="AG42" i="9"/>
  <c r="AH42" i="9"/>
  <c r="AI42" i="9"/>
  <c r="AJ42" i="9"/>
  <c r="AK42" i="9"/>
  <c r="AL42" i="9"/>
  <c r="AM42" i="9"/>
  <c r="AN42" i="9"/>
  <c r="AO42" i="9"/>
  <c r="AP42" i="9"/>
  <c r="AQ42" i="9"/>
  <c r="AR42" i="9"/>
  <c r="AS42" i="9"/>
  <c r="AT42" i="9"/>
  <c r="AU42" i="9"/>
  <c r="AV42" i="9"/>
  <c r="AW42" i="9"/>
  <c r="AX42" i="9"/>
  <c r="AY42" i="9"/>
  <c r="AZ42" i="9"/>
  <c r="BA42" i="9"/>
  <c r="BB42" i="9"/>
  <c r="BC42" i="9"/>
  <c r="BD42" i="9"/>
  <c r="BE42" i="9"/>
  <c r="BF42" i="9"/>
  <c r="BG42" i="9"/>
  <c r="BH42" i="9"/>
  <c r="BI42" i="9"/>
  <c r="BJ42" i="9"/>
  <c r="BK42" i="9"/>
  <c r="BL42" i="9"/>
  <c r="BM42" i="9"/>
  <c r="BN42" i="9"/>
  <c r="BO42" i="9"/>
  <c r="BP42" i="9"/>
  <c r="BQ42" i="9"/>
  <c r="BR42" i="9"/>
  <c r="BS42" i="9"/>
  <c r="BT42" i="9"/>
  <c r="BU42" i="9"/>
  <c r="BV42" i="9"/>
  <c r="BW42" i="9"/>
  <c r="BX42" i="9"/>
  <c r="BY42" i="9"/>
  <c r="BZ42" i="9"/>
  <c r="CA42" i="9"/>
  <c r="CB42" i="9"/>
  <c r="CC42" i="9"/>
  <c r="CD42" i="9"/>
  <c r="CE42" i="9"/>
  <c r="CF42" i="9"/>
  <c r="CG42" i="9"/>
  <c r="CH42" i="9"/>
  <c r="CI42" i="9"/>
  <c r="CJ42" i="9"/>
  <c r="CK42" i="9"/>
  <c r="CL42" i="9"/>
  <c r="CM42" i="9"/>
  <c r="CN42" i="9"/>
  <c r="CO42" i="9"/>
  <c r="CP42" i="9"/>
  <c r="CQ42" i="9"/>
  <c r="CR42" i="9"/>
  <c r="CS42" i="9"/>
  <c r="CT42" i="9"/>
  <c r="CU42" i="9"/>
  <c r="CV42" i="9"/>
  <c r="CW42" i="9"/>
  <c r="CX42" i="9"/>
  <c r="CY42" i="9"/>
  <c r="CZ42" i="9"/>
  <c r="DA42" i="9"/>
  <c r="DB42" i="9"/>
  <c r="DC42" i="9"/>
  <c r="DD42" i="9"/>
  <c r="DE42" i="9"/>
  <c r="DF42" i="9"/>
  <c r="DG42" i="9"/>
  <c r="DH42" i="9"/>
  <c r="DI42" i="9"/>
  <c r="DJ42" i="9"/>
  <c r="DK42" i="9"/>
  <c r="DL42" i="9"/>
  <c r="DM42" i="9"/>
  <c r="DN42" i="9"/>
  <c r="DO42" i="9"/>
  <c r="DP42" i="9"/>
  <c r="DQ42" i="9"/>
  <c r="DR42" i="9"/>
  <c r="DS42" i="9"/>
  <c r="DT42" i="9"/>
  <c r="DU42" i="9"/>
  <c r="DV42" i="9"/>
  <c r="DW42" i="9"/>
  <c r="DX42" i="9"/>
  <c r="DY42" i="9"/>
  <c r="DZ42" i="9"/>
  <c r="EA42" i="9"/>
  <c r="EB42" i="9"/>
  <c r="EC42" i="9"/>
  <c r="ED42" i="9"/>
  <c r="EE42" i="9"/>
  <c r="EF42" i="9"/>
  <c r="EG42" i="9"/>
  <c r="EH42" i="9"/>
  <c r="EI42" i="9"/>
  <c r="EJ42" i="9"/>
  <c r="EK42" i="9"/>
  <c r="EL42" i="9"/>
  <c r="EM42" i="9"/>
  <c r="EN42" i="9"/>
  <c r="EO42" i="9"/>
  <c r="EP42" i="9"/>
  <c r="EQ42" i="9"/>
  <c r="ER42" i="9"/>
  <c r="ES42" i="9"/>
  <c r="ET42" i="9"/>
  <c r="EU42" i="9"/>
  <c r="EV42" i="9"/>
  <c r="EW42" i="9"/>
  <c r="EX42" i="9"/>
  <c r="EY42" i="9"/>
  <c r="EZ42" i="9"/>
  <c r="FA42" i="9"/>
  <c r="FB42" i="9"/>
  <c r="FC42" i="9"/>
  <c r="FD42" i="9"/>
  <c r="FE42" i="9"/>
  <c r="FF42" i="9"/>
  <c r="FG42" i="9"/>
  <c r="FH42" i="9"/>
  <c r="FI42" i="9"/>
  <c r="FJ42" i="9"/>
  <c r="FK42" i="9"/>
  <c r="FL42" i="9"/>
  <c r="FM42" i="9"/>
  <c r="FN42" i="9"/>
  <c r="FO42" i="9"/>
  <c r="FP42" i="9"/>
  <c r="FQ42" i="9"/>
  <c r="FR42" i="9"/>
  <c r="FS42" i="9"/>
  <c r="FT42" i="9"/>
  <c r="FU42" i="9"/>
  <c r="FV42" i="9"/>
  <c r="FW42" i="9"/>
  <c r="FX42" i="9"/>
  <c r="FY42" i="9"/>
  <c r="FZ42" i="9"/>
  <c r="GA42" i="9"/>
  <c r="GB42" i="9"/>
  <c r="GC42" i="9"/>
  <c r="GD42" i="9"/>
  <c r="GE42" i="9"/>
  <c r="GF42" i="9"/>
  <c r="GG42" i="9"/>
  <c r="GH42" i="9"/>
  <c r="GI42" i="9"/>
  <c r="GJ42" i="9"/>
  <c r="GK42" i="9"/>
  <c r="GL42" i="9"/>
  <c r="GM42" i="9"/>
  <c r="GN42" i="9"/>
  <c r="GO42" i="9"/>
  <c r="GP42" i="9"/>
  <c r="GQ42" i="9"/>
  <c r="GR42" i="9"/>
  <c r="GS42" i="9"/>
  <c r="GT42" i="9"/>
  <c r="GU42" i="9"/>
  <c r="GV42" i="9"/>
  <c r="GW42" i="9"/>
  <c r="GX42" i="9"/>
  <c r="GY42" i="9"/>
  <c r="GZ42" i="9"/>
  <c r="HA42" i="9"/>
  <c r="HB42" i="9"/>
  <c r="HC42" i="9"/>
  <c r="HD42" i="9"/>
  <c r="HE42" i="9"/>
  <c r="HF42" i="9"/>
  <c r="HG42" i="9"/>
  <c r="HH42" i="9"/>
  <c r="HI42" i="9"/>
  <c r="HJ42" i="9"/>
  <c r="HK42" i="9"/>
  <c r="HL42" i="9"/>
  <c r="HM42" i="9"/>
  <c r="HN42" i="9"/>
  <c r="HO42" i="9"/>
  <c r="HP42" i="9"/>
  <c r="HQ42" i="9"/>
  <c r="HR42" i="9"/>
  <c r="HS42" i="9"/>
  <c r="HT42" i="9"/>
  <c r="HU42" i="9"/>
  <c r="HV42" i="9"/>
  <c r="HW42" i="9"/>
  <c r="HX42" i="9"/>
  <c r="HY42" i="9"/>
  <c r="HZ42" i="9"/>
  <c r="IA42" i="9"/>
  <c r="IB42" i="9"/>
  <c r="IC42" i="9"/>
  <c r="ID42" i="9"/>
  <c r="IE42" i="9"/>
  <c r="IF42" i="9"/>
  <c r="IG42" i="9"/>
  <c r="IH42" i="9"/>
  <c r="II42" i="9"/>
  <c r="IJ42" i="9"/>
  <c r="IK42" i="9"/>
  <c r="IL42" i="9"/>
  <c r="IM42" i="9"/>
  <c r="IN42" i="9"/>
  <c r="IO42" i="9"/>
  <c r="IP42" i="9"/>
  <c r="IQ42" i="9"/>
  <c r="IR42" i="9"/>
  <c r="IS42" i="9"/>
  <c r="IT42" i="9"/>
  <c r="IU42" i="9"/>
  <c r="IV42" i="9"/>
  <c r="A41" i="9"/>
  <c r="B41" i="9"/>
  <c r="C41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AB41" i="9"/>
  <c r="AC41" i="9"/>
  <c r="AD41" i="9"/>
  <c r="AE41" i="9"/>
  <c r="AF41" i="9"/>
  <c r="AG41" i="9"/>
  <c r="AH41" i="9"/>
  <c r="AI41" i="9"/>
  <c r="AJ41" i="9"/>
  <c r="AK41" i="9"/>
  <c r="AL41" i="9"/>
  <c r="AM41" i="9"/>
  <c r="AN41" i="9"/>
  <c r="AO41" i="9"/>
  <c r="AP41" i="9"/>
  <c r="AQ41" i="9"/>
  <c r="AR41" i="9"/>
  <c r="AS41" i="9"/>
  <c r="AT41" i="9"/>
  <c r="AU41" i="9"/>
  <c r="AV41" i="9"/>
  <c r="AW41" i="9"/>
  <c r="AX41" i="9"/>
  <c r="AY41" i="9"/>
  <c r="AZ41" i="9"/>
  <c r="BA41" i="9"/>
  <c r="BB41" i="9"/>
  <c r="BC41" i="9"/>
  <c r="BD41" i="9"/>
  <c r="BE41" i="9"/>
  <c r="BF41" i="9"/>
  <c r="BG41" i="9"/>
  <c r="BH41" i="9"/>
  <c r="BI41" i="9"/>
  <c r="BJ41" i="9"/>
  <c r="BK41" i="9"/>
  <c r="BL41" i="9"/>
  <c r="BM41" i="9"/>
  <c r="BN41" i="9"/>
  <c r="BO41" i="9"/>
  <c r="BP41" i="9"/>
  <c r="BQ41" i="9"/>
  <c r="BR41" i="9"/>
  <c r="BS41" i="9"/>
  <c r="BT41" i="9"/>
  <c r="BU41" i="9"/>
  <c r="BV41" i="9"/>
  <c r="BW41" i="9"/>
  <c r="BX41" i="9"/>
  <c r="BY41" i="9"/>
  <c r="BZ41" i="9"/>
  <c r="CA41" i="9"/>
  <c r="CB41" i="9"/>
  <c r="CC41" i="9"/>
  <c r="CD41" i="9"/>
  <c r="CE41" i="9"/>
  <c r="CF41" i="9"/>
  <c r="CG41" i="9"/>
  <c r="CH41" i="9"/>
  <c r="CI41" i="9"/>
  <c r="CJ41" i="9"/>
  <c r="CK41" i="9"/>
  <c r="CL41" i="9"/>
  <c r="CM41" i="9"/>
  <c r="CN41" i="9"/>
  <c r="CO41" i="9"/>
  <c r="CP41" i="9"/>
  <c r="CQ41" i="9"/>
  <c r="CR41" i="9"/>
  <c r="CS41" i="9"/>
  <c r="CT41" i="9"/>
  <c r="CU41" i="9"/>
  <c r="CV41" i="9"/>
  <c r="CW41" i="9"/>
  <c r="CX41" i="9"/>
  <c r="CY41" i="9"/>
  <c r="CZ41" i="9"/>
  <c r="DA41" i="9"/>
  <c r="DB41" i="9"/>
  <c r="DC41" i="9"/>
  <c r="DD41" i="9"/>
  <c r="DE41" i="9"/>
  <c r="DF41" i="9"/>
  <c r="DG41" i="9"/>
  <c r="DH41" i="9"/>
  <c r="DI41" i="9"/>
  <c r="DJ41" i="9"/>
  <c r="DK41" i="9"/>
  <c r="DL41" i="9"/>
  <c r="DM41" i="9"/>
  <c r="DN41" i="9"/>
  <c r="DO41" i="9"/>
  <c r="DP41" i="9"/>
  <c r="DQ41" i="9"/>
  <c r="DR41" i="9"/>
  <c r="DS41" i="9"/>
  <c r="DT41" i="9"/>
  <c r="DU41" i="9"/>
  <c r="DV41" i="9"/>
  <c r="DW41" i="9"/>
  <c r="DX41" i="9"/>
  <c r="DY41" i="9"/>
  <c r="DZ41" i="9"/>
  <c r="EA41" i="9"/>
  <c r="EB41" i="9"/>
  <c r="EC41" i="9"/>
  <c r="ED41" i="9"/>
  <c r="EE41" i="9"/>
  <c r="EF41" i="9"/>
  <c r="EG41" i="9"/>
  <c r="EH41" i="9"/>
  <c r="EI41" i="9"/>
  <c r="EJ41" i="9"/>
  <c r="EK41" i="9"/>
  <c r="EL41" i="9"/>
  <c r="EM41" i="9"/>
  <c r="EN41" i="9"/>
  <c r="EO41" i="9"/>
  <c r="EP41" i="9"/>
  <c r="EQ41" i="9"/>
  <c r="ER41" i="9"/>
  <c r="ES41" i="9"/>
  <c r="ET41" i="9"/>
  <c r="EU41" i="9"/>
  <c r="EV41" i="9"/>
  <c r="EW41" i="9"/>
  <c r="EX41" i="9"/>
  <c r="EY41" i="9"/>
  <c r="EZ41" i="9"/>
  <c r="FA41" i="9"/>
  <c r="FB41" i="9"/>
  <c r="FC41" i="9"/>
  <c r="FD41" i="9"/>
  <c r="FE41" i="9"/>
  <c r="FF41" i="9"/>
  <c r="FG41" i="9"/>
  <c r="FH41" i="9"/>
  <c r="FI41" i="9"/>
  <c r="FJ41" i="9"/>
  <c r="FK41" i="9"/>
  <c r="FL41" i="9"/>
  <c r="FM41" i="9"/>
  <c r="FN41" i="9"/>
  <c r="FO41" i="9"/>
  <c r="FP41" i="9"/>
  <c r="FQ41" i="9"/>
  <c r="FR41" i="9"/>
  <c r="FS41" i="9"/>
  <c r="FT41" i="9"/>
  <c r="FU41" i="9"/>
  <c r="FV41" i="9"/>
  <c r="FW41" i="9"/>
  <c r="FX41" i="9"/>
  <c r="FY41" i="9"/>
  <c r="FZ41" i="9"/>
  <c r="GA41" i="9"/>
  <c r="GB41" i="9"/>
  <c r="GC41" i="9"/>
  <c r="GD41" i="9"/>
  <c r="GE41" i="9"/>
  <c r="GF41" i="9"/>
  <c r="GG41" i="9"/>
  <c r="GH41" i="9"/>
  <c r="GI41" i="9"/>
  <c r="GJ41" i="9"/>
  <c r="GK41" i="9"/>
  <c r="GL41" i="9"/>
  <c r="GM41" i="9"/>
  <c r="GN41" i="9"/>
  <c r="GO41" i="9"/>
  <c r="GP41" i="9"/>
  <c r="GQ41" i="9"/>
  <c r="GR41" i="9"/>
  <c r="GS41" i="9"/>
  <c r="GT41" i="9"/>
  <c r="GU41" i="9"/>
  <c r="GV41" i="9"/>
  <c r="GW41" i="9"/>
  <c r="GX41" i="9"/>
  <c r="GY41" i="9"/>
  <c r="GZ41" i="9"/>
  <c r="HA41" i="9"/>
  <c r="HB41" i="9"/>
  <c r="HC41" i="9"/>
  <c r="HD41" i="9"/>
  <c r="HE41" i="9"/>
  <c r="HF41" i="9"/>
  <c r="HG41" i="9"/>
  <c r="HH41" i="9"/>
  <c r="HI41" i="9"/>
  <c r="HJ41" i="9"/>
  <c r="HK41" i="9"/>
  <c r="HL41" i="9"/>
  <c r="HM41" i="9"/>
  <c r="HN41" i="9"/>
  <c r="HO41" i="9"/>
  <c r="HP41" i="9"/>
  <c r="HQ41" i="9"/>
  <c r="HR41" i="9"/>
  <c r="HS41" i="9"/>
  <c r="HT41" i="9"/>
  <c r="HU41" i="9"/>
  <c r="HV41" i="9"/>
  <c r="HW41" i="9"/>
  <c r="HX41" i="9"/>
  <c r="HY41" i="9"/>
  <c r="HZ41" i="9"/>
  <c r="IA41" i="9"/>
  <c r="IB41" i="9"/>
  <c r="IC41" i="9"/>
  <c r="ID41" i="9"/>
  <c r="IE41" i="9"/>
  <c r="IF41" i="9"/>
  <c r="IG41" i="9"/>
  <c r="IH41" i="9"/>
  <c r="II41" i="9"/>
  <c r="IJ41" i="9"/>
  <c r="IK41" i="9"/>
  <c r="IL41" i="9"/>
  <c r="IM41" i="9"/>
  <c r="IN41" i="9"/>
  <c r="IO41" i="9"/>
  <c r="IP41" i="9"/>
  <c r="IQ41" i="9"/>
  <c r="IR41" i="9"/>
  <c r="IS41" i="9"/>
  <c r="IT41" i="9"/>
  <c r="IU41" i="9"/>
  <c r="IV41" i="9"/>
  <c r="A40" i="9"/>
  <c r="B40" i="9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AF40" i="9"/>
  <c r="AG40" i="9"/>
  <c r="AH40" i="9"/>
  <c r="AI40" i="9"/>
  <c r="AJ40" i="9"/>
  <c r="AK40" i="9"/>
  <c r="AL40" i="9"/>
  <c r="AM40" i="9"/>
  <c r="AN40" i="9"/>
  <c r="AO40" i="9"/>
  <c r="AP40" i="9"/>
  <c r="AQ40" i="9"/>
  <c r="AR40" i="9"/>
  <c r="AS40" i="9"/>
  <c r="AT40" i="9"/>
  <c r="AU40" i="9"/>
  <c r="AV40" i="9"/>
  <c r="AW40" i="9"/>
  <c r="AX40" i="9"/>
  <c r="AY40" i="9"/>
  <c r="AZ40" i="9"/>
  <c r="BA40" i="9"/>
  <c r="BB40" i="9"/>
  <c r="BC40" i="9"/>
  <c r="BD40" i="9"/>
  <c r="BE40" i="9"/>
  <c r="BF40" i="9"/>
  <c r="BG40" i="9"/>
  <c r="BH40" i="9"/>
  <c r="BI40" i="9"/>
  <c r="BJ40" i="9"/>
  <c r="BK40" i="9"/>
  <c r="BL40" i="9"/>
  <c r="BM40" i="9"/>
  <c r="BN40" i="9"/>
  <c r="BO40" i="9"/>
  <c r="BP40" i="9"/>
  <c r="BQ40" i="9"/>
  <c r="BR40" i="9"/>
  <c r="BS40" i="9"/>
  <c r="BT40" i="9"/>
  <c r="BU40" i="9"/>
  <c r="BV40" i="9"/>
  <c r="BW40" i="9"/>
  <c r="BX40" i="9"/>
  <c r="BY40" i="9"/>
  <c r="BZ40" i="9"/>
  <c r="CA40" i="9"/>
  <c r="CB40" i="9"/>
  <c r="CC40" i="9"/>
  <c r="CD40" i="9"/>
  <c r="CE40" i="9"/>
  <c r="CF40" i="9"/>
  <c r="CG40" i="9"/>
  <c r="CH40" i="9"/>
  <c r="CI40" i="9"/>
  <c r="CJ40" i="9"/>
  <c r="CK40" i="9"/>
  <c r="CL40" i="9"/>
  <c r="CM40" i="9"/>
  <c r="CN40" i="9"/>
  <c r="CO40" i="9"/>
  <c r="CP40" i="9"/>
  <c r="CQ40" i="9"/>
  <c r="CR40" i="9"/>
  <c r="CS40" i="9"/>
  <c r="CT40" i="9"/>
  <c r="CU40" i="9"/>
  <c r="CV40" i="9"/>
  <c r="CW40" i="9"/>
  <c r="CX40" i="9"/>
  <c r="CY40" i="9"/>
  <c r="CZ40" i="9"/>
  <c r="DA40" i="9"/>
  <c r="DB40" i="9"/>
  <c r="DC40" i="9"/>
  <c r="DD40" i="9"/>
  <c r="DE40" i="9"/>
  <c r="DF40" i="9"/>
  <c r="DG40" i="9"/>
  <c r="DH40" i="9"/>
  <c r="DI40" i="9"/>
  <c r="DJ40" i="9"/>
  <c r="DK40" i="9"/>
  <c r="DL40" i="9"/>
  <c r="DM40" i="9"/>
  <c r="DN40" i="9"/>
  <c r="DO40" i="9"/>
  <c r="DP40" i="9"/>
  <c r="DQ40" i="9"/>
  <c r="DR40" i="9"/>
  <c r="DS40" i="9"/>
  <c r="DT40" i="9"/>
  <c r="DU40" i="9"/>
  <c r="DV40" i="9"/>
  <c r="DW40" i="9"/>
  <c r="DX40" i="9"/>
  <c r="DY40" i="9"/>
  <c r="DZ40" i="9"/>
  <c r="EA40" i="9"/>
  <c r="EB40" i="9"/>
  <c r="EC40" i="9"/>
  <c r="ED40" i="9"/>
  <c r="EE40" i="9"/>
  <c r="EF40" i="9"/>
  <c r="EG40" i="9"/>
  <c r="EH40" i="9"/>
  <c r="EI40" i="9"/>
  <c r="EJ40" i="9"/>
  <c r="EK40" i="9"/>
  <c r="EL40" i="9"/>
  <c r="EM40" i="9"/>
  <c r="EN40" i="9"/>
  <c r="EO40" i="9"/>
  <c r="EP40" i="9"/>
  <c r="EQ40" i="9"/>
  <c r="ER40" i="9"/>
  <c r="ES40" i="9"/>
  <c r="ET40" i="9"/>
  <c r="EU40" i="9"/>
  <c r="EV40" i="9"/>
  <c r="EW40" i="9"/>
  <c r="EX40" i="9"/>
  <c r="EY40" i="9"/>
  <c r="EZ40" i="9"/>
  <c r="FA40" i="9"/>
  <c r="FB40" i="9"/>
  <c r="FC40" i="9"/>
  <c r="FD40" i="9"/>
  <c r="FE40" i="9"/>
  <c r="FF40" i="9"/>
  <c r="FG40" i="9"/>
  <c r="FH40" i="9"/>
  <c r="FI40" i="9"/>
  <c r="FJ40" i="9"/>
  <c r="FK40" i="9"/>
  <c r="FL40" i="9"/>
  <c r="FM40" i="9"/>
  <c r="FN40" i="9"/>
  <c r="FO40" i="9"/>
  <c r="FP40" i="9"/>
  <c r="FQ40" i="9"/>
  <c r="FR40" i="9"/>
  <c r="FS40" i="9"/>
  <c r="FT40" i="9"/>
  <c r="FU40" i="9"/>
  <c r="FV40" i="9"/>
  <c r="FW40" i="9"/>
  <c r="FX40" i="9"/>
  <c r="FY40" i="9"/>
  <c r="FZ40" i="9"/>
  <c r="GA40" i="9"/>
  <c r="GB40" i="9"/>
  <c r="GC40" i="9"/>
  <c r="GD40" i="9"/>
  <c r="GE40" i="9"/>
  <c r="GF40" i="9"/>
  <c r="GG40" i="9"/>
  <c r="GH40" i="9"/>
  <c r="GI40" i="9"/>
  <c r="GJ40" i="9"/>
  <c r="GK40" i="9"/>
  <c r="GL40" i="9"/>
  <c r="GM40" i="9"/>
  <c r="GN40" i="9"/>
  <c r="GO40" i="9"/>
  <c r="GP40" i="9"/>
  <c r="GQ40" i="9"/>
  <c r="GR40" i="9"/>
  <c r="GS40" i="9"/>
  <c r="GT40" i="9"/>
  <c r="GU40" i="9"/>
  <c r="GV40" i="9"/>
  <c r="GW40" i="9"/>
  <c r="GX40" i="9"/>
  <c r="GY40" i="9"/>
  <c r="GZ40" i="9"/>
  <c r="HA40" i="9"/>
  <c r="HB40" i="9"/>
  <c r="HC40" i="9"/>
  <c r="HD40" i="9"/>
  <c r="HE40" i="9"/>
  <c r="HF40" i="9"/>
  <c r="HG40" i="9"/>
  <c r="HH40" i="9"/>
  <c r="HI40" i="9"/>
  <c r="HJ40" i="9"/>
  <c r="HK40" i="9"/>
  <c r="HL40" i="9"/>
  <c r="HM40" i="9"/>
  <c r="HN40" i="9"/>
  <c r="HO40" i="9"/>
  <c r="HP40" i="9"/>
  <c r="HQ40" i="9"/>
  <c r="HR40" i="9"/>
  <c r="HS40" i="9"/>
  <c r="HT40" i="9"/>
  <c r="HU40" i="9"/>
  <c r="HV40" i="9"/>
  <c r="HW40" i="9"/>
  <c r="HX40" i="9"/>
  <c r="HY40" i="9"/>
  <c r="HZ40" i="9"/>
  <c r="IA40" i="9"/>
  <c r="IB40" i="9"/>
  <c r="IC40" i="9"/>
  <c r="ID40" i="9"/>
  <c r="IE40" i="9"/>
  <c r="IF40" i="9"/>
  <c r="IG40" i="9"/>
  <c r="IH40" i="9"/>
  <c r="II40" i="9"/>
  <c r="IJ40" i="9"/>
  <c r="IK40" i="9"/>
  <c r="IL40" i="9"/>
  <c r="IM40" i="9"/>
  <c r="IN40" i="9"/>
  <c r="IO40" i="9"/>
  <c r="IP40" i="9"/>
  <c r="IQ40" i="9"/>
  <c r="IR40" i="9"/>
  <c r="IS40" i="9"/>
  <c r="IT40" i="9"/>
  <c r="IU40" i="9"/>
  <c r="IV40" i="9"/>
  <c r="A39" i="9"/>
  <c r="B39" i="9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AO39" i="9"/>
  <c r="AP39" i="9"/>
  <c r="AQ39" i="9"/>
  <c r="AR39" i="9"/>
  <c r="AS39" i="9"/>
  <c r="AT39" i="9"/>
  <c r="AU39" i="9"/>
  <c r="AV39" i="9"/>
  <c r="AW39" i="9"/>
  <c r="AX39" i="9"/>
  <c r="AY39" i="9"/>
  <c r="AZ39" i="9"/>
  <c r="BA39" i="9"/>
  <c r="BB39" i="9"/>
  <c r="BC39" i="9"/>
  <c r="BD39" i="9"/>
  <c r="BE39" i="9"/>
  <c r="BF39" i="9"/>
  <c r="BG39" i="9"/>
  <c r="BH39" i="9"/>
  <c r="BI39" i="9"/>
  <c r="BJ39" i="9"/>
  <c r="BK39" i="9"/>
  <c r="BL39" i="9"/>
  <c r="BM39" i="9"/>
  <c r="BN39" i="9"/>
  <c r="BO39" i="9"/>
  <c r="BP39" i="9"/>
  <c r="BQ39" i="9"/>
  <c r="BR39" i="9"/>
  <c r="BS39" i="9"/>
  <c r="BT39" i="9"/>
  <c r="BU39" i="9"/>
  <c r="BV39" i="9"/>
  <c r="BW39" i="9"/>
  <c r="BX39" i="9"/>
  <c r="BY39" i="9"/>
  <c r="BZ39" i="9"/>
  <c r="CA39" i="9"/>
  <c r="CB39" i="9"/>
  <c r="CC39" i="9"/>
  <c r="CD39" i="9"/>
  <c r="CE39" i="9"/>
  <c r="CF39" i="9"/>
  <c r="CG39" i="9"/>
  <c r="CH39" i="9"/>
  <c r="CI39" i="9"/>
  <c r="CJ39" i="9"/>
  <c r="CK39" i="9"/>
  <c r="CL39" i="9"/>
  <c r="CM39" i="9"/>
  <c r="CN39" i="9"/>
  <c r="CO39" i="9"/>
  <c r="CP39" i="9"/>
  <c r="CQ39" i="9"/>
  <c r="CR39" i="9"/>
  <c r="CS39" i="9"/>
  <c r="CT39" i="9"/>
  <c r="CU39" i="9"/>
  <c r="CV39" i="9"/>
  <c r="CW39" i="9"/>
  <c r="CX39" i="9"/>
  <c r="CY39" i="9"/>
  <c r="CZ39" i="9"/>
  <c r="DA39" i="9"/>
  <c r="DB39" i="9"/>
  <c r="DC39" i="9"/>
  <c r="DD39" i="9"/>
  <c r="DE39" i="9"/>
  <c r="DF39" i="9"/>
  <c r="DG39" i="9"/>
  <c r="DH39" i="9"/>
  <c r="DI39" i="9"/>
  <c r="DJ39" i="9"/>
  <c r="DK39" i="9"/>
  <c r="DL39" i="9"/>
  <c r="DM39" i="9"/>
  <c r="DN39" i="9"/>
  <c r="DO39" i="9"/>
  <c r="DP39" i="9"/>
  <c r="DQ39" i="9"/>
  <c r="DR39" i="9"/>
  <c r="DS39" i="9"/>
  <c r="DT39" i="9"/>
  <c r="DU39" i="9"/>
  <c r="DV39" i="9"/>
  <c r="DW39" i="9"/>
  <c r="DX39" i="9"/>
  <c r="DY39" i="9"/>
  <c r="DZ39" i="9"/>
  <c r="EA39" i="9"/>
  <c r="EB39" i="9"/>
  <c r="EC39" i="9"/>
  <c r="ED39" i="9"/>
  <c r="EE39" i="9"/>
  <c r="EF39" i="9"/>
  <c r="EG39" i="9"/>
  <c r="EH39" i="9"/>
  <c r="EI39" i="9"/>
  <c r="EJ39" i="9"/>
  <c r="EK39" i="9"/>
  <c r="EL39" i="9"/>
  <c r="EM39" i="9"/>
  <c r="EN39" i="9"/>
  <c r="EO39" i="9"/>
  <c r="EP39" i="9"/>
  <c r="EQ39" i="9"/>
  <c r="ER39" i="9"/>
  <c r="ES39" i="9"/>
  <c r="ET39" i="9"/>
  <c r="EU39" i="9"/>
  <c r="EV39" i="9"/>
  <c r="EW39" i="9"/>
  <c r="EX39" i="9"/>
  <c r="EY39" i="9"/>
  <c r="EZ39" i="9"/>
  <c r="FA39" i="9"/>
  <c r="FB39" i="9"/>
  <c r="FC39" i="9"/>
  <c r="FD39" i="9"/>
  <c r="FE39" i="9"/>
  <c r="FF39" i="9"/>
  <c r="FG39" i="9"/>
  <c r="FH39" i="9"/>
  <c r="FI39" i="9"/>
  <c r="FJ39" i="9"/>
  <c r="FK39" i="9"/>
  <c r="FL39" i="9"/>
  <c r="FM39" i="9"/>
  <c r="FN39" i="9"/>
  <c r="FO39" i="9"/>
  <c r="FP39" i="9"/>
  <c r="FQ39" i="9"/>
  <c r="FR39" i="9"/>
  <c r="FS39" i="9"/>
  <c r="FT39" i="9"/>
  <c r="FU39" i="9"/>
  <c r="FV39" i="9"/>
  <c r="FW39" i="9"/>
  <c r="FX39" i="9"/>
  <c r="FY39" i="9"/>
  <c r="FZ39" i="9"/>
  <c r="GA39" i="9"/>
  <c r="GB39" i="9"/>
  <c r="GC39" i="9"/>
  <c r="GD39" i="9"/>
  <c r="GE39" i="9"/>
  <c r="GF39" i="9"/>
  <c r="GG39" i="9"/>
  <c r="GH39" i="9"/>
  <c r="GI39" i="9"/>
  <c r="GJ39" i="9"/>
  <c r="GK39" i="9"/>
  <c r="GL39" i="9"/>
  <c r="GM39" i="9"/>
  <c r="GN39" i="9"/>
  <c r="GO39" i="9"/>
  <c r="GP39" i="9"/>
  <c r="GQ39" i="9"/>
  <c r="GR39" i="9"/>
  <c r="GS39" i="9"/>
  <c r="GT39" i="9"/>
  <c r="GU39" i="9"/>
  <c r="GV39" i="9"/>
  <c r="GW39" i="9"/>
  <c r="GX39" i="9"/>
  <c r="GY39" i="9"/>
  <c r="GZ39" i="9"/>
  <c r="HA39" i="9"/>
  <c r="HB39" i="9"/>
  <c r="HC39" i="9"/>
  <c r="HD39" i="9"/>
  <c r="HE39" i="9"/>
  <c r="HF39" i="9"/>
  <c r="HG39" i="9"/>
  <c r="HH39" i="9"/>
  <c r="HI39" i="9"/>
  <c r="HJ39" i="9"/>
  <c r="HK39" i="9"/>
  <c r="HL39" i="9"/>
  <c r="HM39" i="9"/>
  <c r="HN39" i="9"/>
  <c r="HO39" i="9"/>
  <c r="HP39" i="9"/>
  <c r="HQ39" i="9"/>
  <c r="HR39" i="9"/>
  <c r="HS39" i="9"/>
  <c r="HT39" i="9"/>
  <c r="HU39" i="9"/>
  <c r="HV39" i="9"/>
  <c r="HW39" i="9"/>
  <c r="HX39" i="9"/>
  <c r="HY39" i="9"/>
  <c r="HZ39" i="9"/>
  <c r="IA39" i="9"/>
  <c r="IB39" i="9"/>
  <c r="IC39" i="9"/>
  <c r="ID39" i="9"/>
  <c r="IE39" i="9"/>
  <c r="IF39" i="9"/>
  <c r="IG39" i="9"/>
  <c r="IH39" i="9"/>
  <c r="II39" i="9"/>
  <c r="IJ39" i="9"/>
  <c r="IK39" i="9"/>
  <c r="IL39" i="9"/>
  <c r="IM39" i="9"/>
  <c r="IN39" i="9"/>
  <c r="IO39" i="9"/>
  <c r="IP39" i="9"/>
  <c r="IQ39" i="9"/>
  <c r="IR39" i="9"/>
  <c r="IS39" i="9"/>
  <c r="IT39" i="9"/>
  <c r="IU39" i="9"/>
  <c r="IV39" i="9"/>
  <c r="A38" i="9"/>
  <c r="B38" i="9"/>
  <c r="C38" i="9"/>
  <c r="D38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X38" i="9"/>
  <c r="Y38" i="9"/>
  <c r="Z38" i="9"/>
  <c r="AA38" i="9"/>
  <c r="AB38" i="9"/>
  <c r="AC38" i="9"/>
  <c r="AD38" i="9"/>
  <c r="AE38" i="9"/>
  <c r="AF38" i="9"/>
  <c r="AG38" i="9"/>
  <c r="AH38" i="9"/>
  <c r="AI38" i="9"/>
  <c r="AJ38" i="9"/>
  <c r="AK38" i="9"/>
  <c r="AL38" i="9"/>
  <c r="AM38" i="9"/>
  <c r="AN38" i="9"/>
  <c r="AO38" i="9"/>
  <c r="AP38" i="9"/>
  <c r="AQ38" i="9"/>
  <c r="AR38" i="9"/>
  <c r="AS38" i="9"/>
  <c r="AT38" i="9"/>
  <c r="AU38" i="9"/>
  <c r="AV38" i="9"/>
  <c r="AW38" i="9"/>
  <c r="AX38" i="9"/>
  <c r="AY38" i="9"/>
  <c r="AZ38" i="9"/>
  <c r="BA38" i="9"/>
  <c r="BB38" i="9"/>
  <c r="BC38" i="9"/>
  <c r="BD38" i="9"/>
  <c r="BE38" i="9"/>
  <c r="BF38" i="9"/>
  <c r="BG38" i="9"/>
  <c r="BH38" i="9"/>
  <c r="BI38" i="9"/>
  <c r="BJ38" i="9"/>
  <c r="BK38" i="9"/>
  <c r="BL38" i="9"/>
  <c r="BM38" i="9"/>
  <c r="BN38" i="9"/>
  <c r="BO38" i="9"/>
  <c r="BP38" i="9"/>
  <c r="BQ38" i="9"/>
  <c r="BR38" i="9"/>
  <c r="BS38" i="9"/>
  <c r="BT38" i="9"/>
  <c r="BU38" i="9"/>
  <c r="BV38" i="9"/>
  <c r="BW38" i="9"/>
  <c r="BX38" i="9"/>
  <c r="BY38" i="9"/>
  <c r="BZ38" i="9"/>
  <c r="CA38" i="9"/>
  <c r="CB38" i="9"/>
  <c r="CC38" i="9"/>
  <c r="CD38" i="9"/>
  <c r="CE38" i="9"/>
  <c r="CF38" i="9"/>
  <c r="CG38" i="9"/>
  <c r="CH38" i="9"/>
  <c r="CI38" i="9"/>
  <c r="CJ38" i="9"/>
  <c r="CK38" i="9"/>
  <c r="CL38" i="9"/>
  <c r="CM38" i="9"/>
  <c r="CN38" i="9"/>
  <c r="CO38" i="9"/>
  <c r="CP38" i="9"/>
  <c r="CQ38" i="9"/>
  <c r="CR38" i="9"/>
  <c r="CS38" i="9"/>
  <c r="CT38" i="9"/>
  <c r="CU38" i="9"/>
  <c r="CV38" i="9"/>
  <c r="CW38" i="9"/>
  <c r="CX38" i="9"/>
  <c r="CY38" i="9"/>
  <c r="CZ38" i="9"/>
  <c r="DA38" i="9"/>
  <c r="DB38" i="9"/>
  <c r="DC38" i="9"/>
  <c r="DD38" i="9"/>
  <c r="DE38" i="9"/>
  <c r="DF38" i="9"/>
  <c r="DG38" i="9"/>
  <c r="DH38" i="9"/>
  <c r="DI38" i="9"/>
  <c r="DJ38" i="9"/>
  <c r="DK38" i="9"/>
  <c r="DL38" i="9"/>
  <c r="DM38" i="9"/>
  <c r="DN38" i="9"/>
  <c r="DO38" i="9"/>
  <c r="DP38" i="9"/>
  <c r="DQ38" i="9"/>
  <c r="DR38" i="9"/>
  <c r="DS38" i="9"/>
  <c r="DT38" i="9"/>
  <c r="DU38" i="9"/>
  <c r="DV38" i="9"/>
  <c r="DW38" i="9"/>
  <c r="DX38" i="9"/>
  <c r="DY38" i="9"/>
  <c r="DZ38" i="9"/>
  <c r="EA38" i="9"/>
  <c r="EB38" i="9"/>
  <c r="EC38" i="9"/>
  <c r="ED38" i="9"/>
  <c r="EE38" i="9"/>
  <c r="EF38" i="9"/>
  <c r="EG38" i="9"/>
  <c r="EH38" i="9"/>
  <c r="EI38" i="9"/>
  <c r="EJ38" i="9"/>
  <c r="EK38" i="9"/>
  <c r="EL38" i="9"/>
  <c r="EM38" i="9"/>
  <c r="EN38" i="9"/>
  <c r="EO38" i="9"/>
  <c r="EP38" i="9"/>
  <c r="EQ38" i="9"/>
  <c r="ER38" i="9"/>
  <c r="ES38" i="9"/>
  <c r="ET38" i="9"/>
  <c r="EU38" i="9"/>
  <c r="EV38" i="9"/>
  <c r="EW38" i="9"/>
  <c r="EX38" i="9"/>
  <c r="EY38" i="9"/>
  <c r="EZ38" i="9"/>
  <c r="FA38" i="9"/>
  <c r="FB38" i="9"/>
  <c r="FC38" i="9"/>
  <c r="FD38" i="9"/>
  <c r="FE38" i="9"/>
  <c r="FF38" i="9"/>
  <c r="FG38" i="9"/>
  <c r="FH38" i="9"/>
  <c r="FI38" i="9"/>
  <c r="FJ38" i="9"/>
  <c r="FK38" i="9"/>
  <c r="FL38" i="9"/>
  <c r="FM38" i="9"/>
  <c r="FN38" i="9"/>
  <c r="FO38" i="9"/>
  <c r="FP38" i="9"/>
  <c r="FQ38" i="9"/>
  <c r="FR38" i="9"/>
  <c r="FS38" i="9"/>
  <c r="FT38" i="9"/>
  <c r="FU38" i="9"/>
  <c r="FV38" i="9"/>
  <c r="FW38" i="9"/>
  <c r="FX38" i="9"/>
  <c r="FY38" i="9"/>
  <c r="FZ38" i="9"/>
  <c r="GA38" i="9"/>
  <c r="GB38" i="9"/>
  <c r="GC38" i="9"/>
  <c r="GD38" i="9"/>
  <c r="GE38" i="9"/>
  <c r="GF38" i="9"/>
  <c r="GG38" i="9"/>
  <c r="GH38" i="9"/>
  <c r="GI38" i="9"/>
  <c r="GJ38" i="9"/>
  <c r="GK38" i="9"/>
  <c r="GL38" i="9"/>
  <c r="GM38" i="9"/>
  <c r="GN38" i="9"/>
  <c r="GO38" i="9"/>
  <c r="GP38" i="9"/>
  <c r="GQ38" i="9"/>
  <c r="GR38" i="9"/>
  <c r="GS38" i="9"/>
  <c r="GT38" i="9"/>
  <c r="GU38" i="9"/>
  <c r="GV38" i="9"/>
  <c r="GW38" i="9"/>
  <c r="GX38" i="9"/>
  <c r="GY38" i="9"/>
  <c r="GZ38" i="9"/>
  <c r="HA38" i="9"/>
  <c r="HB38" i="9"/>
  <c r="HC38" i="9"/>
  <c r="HD38" i="9"/>
  <c r="HE38" i="9"/>
  <c r="HF38" i="9"/>
  <c r="HG38" i="9"/>
  <c r="HH38" i="9"/>
  <c r="HI38" i="9"/>
  <c r="HJ38" i="9"/>
  <c r="HK38" i="9"/>
  <c r="HL38" i="9"/>
  <c r="HM38" i="9"/>
  <c r="HN38" i="9"/>
  <c r="HO38" i="9"/>
  <c r="HP38" i="9"/>
  <c r="HQ38" i="9"/>
  <c r="HR38" i="9"/>
  <c r="HS38" i="9"/>
  <c r="HT38" i="9"/>
  <c r="HU38" i="9"/>
  <c r="HV38" i="9"/>
  <c r="HW38" i="9"/>
  <c r="HX38" i="9"/>
  <c r="HY38" i="9"/>
  <c r="HZ38" i="9"/>
  <c r="IA38" i="9"/>
  <c r="IB38" i="9"/>
  <c r="IC38" i="9"/>
  <c r="ID38" i="9"/>
  <c r="IE38" i="9"/>
  <c r="IF38" i="9"/>
  <c r="IG38" i="9"/>
  <c r="IH38" i="9"/>
  <c r="II38" i="9"/>
  <c r="IJ38" i="9"/>
  <c r="IK38" i="9"/>
  <c r="IL38" i="9"/>
  <c r="IM38" i="9"/>
  <c r="IN38" i="9"/>
  <c r="IO38" i="9"/>
  <c r="IP38" i="9"/>
  <c r="IQ38" i="9"/>
  <c r="IR38" i="9"/>
  <c r="IS38" i="9"/>
  <c r="IT38" i="9"/>
  <c r="IU38" i="9"/>
  <c r="IV38" i="9"/>
  <c r="A37" i="9"/>
  <c r="B37" i="9"/>
  <c r="C37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AB37" i="9"/>
  <c r="AC37" i="9"/>
  <c r="AD37" i="9"/>
  <c r="AE37" i="9"/>
  <c r="AF37" i="9"/>
  <c r="AG37" i="9"/>
  <c r="AH37" i="9"/>
  <c r="AI37" i="9"/>
  <c r="AJ37" i="9"/>
  <c r="AK37" i="9"/>
  <c r="AL37" i="9"/>
  <c r="AM37" i="9"/>
  <c r="AN37" i="9"/>
  <c r="AO37" i="9"/>
  <c r="AP37" i="9"/>
  <c r="AQ37" i="9"/>
  <c r="AR37" i="9"/>
  <c r="AS37" i="9"/>
  <c r="AT37" i="9"/>
  <c r="AU37" i="9"/>
  <c r="AV37" i="9"/>
  <c r="AW37" i="9"/>
  <c r="AX37" i="9"/>
  <c r="AY37" i="9"/>
  <c r="AZ37" i="9"/>
  <c r="BA37" i="9"/>
  <c r="BB37" i="9"/>
  <c r="BC37" i="9"/>
  <c r="BD37" i="9"/>
  <c r="BE37" i="9"/>
  <c r="BF37" i="9"/>
  <c r="BG37" i="9"/>
  <c r="BH37" i="9"/>
  <c r="BI37" i="9"/>
  <c r="BJ37" i="9"/>
  <c r="BK37" i="9"/>
  <c r="BL37" i="9"/>
  <c r="BM37" i="9"/>
  <c r="BN37" i="9"/>
  <c r="BO37" i="9"/>
  <c r="BP37" i="9"/>
  <c r="BQ37" i="9"/>
  <c r="BR37" i="9"/>
  <c r="BS37" i="9"/>
  <c r="BT37" i="9"/>
  <c r="BU37" i="9"/>
  <c r="BV37" i="9"/>
  <c r="BW37" i="9"/>
  <c r="BX37" i="9"/>
  <c r="BY37" i="9"/>
  <c r="BZ37" i="9"/>
  <c r="CA37" i="9"/>
  <c r="CB37" i="9"/>
  <c r="CC37" i="9"/>
  <c r="CD37" i="9"/>
  <c r="CE37" i="9"/>
  <c r="CF37" i="9"/>
  <c r="CG37" i="9"/>
  <c r="CH37" i="9"/>
  <c r="CI37" i="9"/>
  <c r="CJ37" i="9"/>
  <c r="CK37" i="9"/>
  <c r="CL37" i="9"/>
  <c r="CM37" i="9"/>
  <c r="CN37" i="9"/>
  <c r="CO37" i="9"/>
  <c r="CP37" i="9"/>
  <c r="CQ37" i="9"/>
  <c r="CR37" i="9"/>
  <c r="CS37" i="9"/>
  <c r="CT37" i="9"/>
  <c r="CU37" i="9"/>
  <c r="CV37" i="9"/>
  <c r="CW37" i="9"/>
  <c r="CX37" i="9"/>
  <c r="CY37" i="9"/>
  <c r="CZ37" i="9"/>
  <c r="DA37" i="9"/>
  <c r="DB37" i="9"/>
  <c r="DC37" i="9"/>
  <c r="DD37" i="9"/>
  <c r="DE37" i="9"/>
  <c r="DF37" i="9"/>
  <c r="DG37" i="9"/>
  <c r="DH37" i="9"/>
  <c r="DI37" i="9"/>
  <c r="DJ37" i="9"/>
  <c r="DK37" i="9"/>
  <c r="DL37" i="9"/>
  <c r="DM37" i="9"/>
  <c r="DN37" i="9"/>
  <c r="DO37" i="9"/>
  <c r="DP37" i="9"/>
  <c r="DQ37" i="9"/>
  <c r="DR37" i="9"/>
  <c r="DS37" i="9"/>
  <c r="DT37" i="9"/>
  <c r="DU37" i="9"/>
  <c r="DV37" i="9"/>
  <c r="DW37" i="9"/>
  <c r="DX37" i="9"/>
  <c r="DY37" i="9"/>
  <c r="DZ37" i="9"/>
  <c r="EA37" i="9"/>
  <c r="EB37" i="9"/>
  <c r="EC37" i="9"/>
  <c r="ED37" i="9"/>
  <c r="EE37" i="9"/>
  <c r="EF37" i="9"/>
  <c r="EG37" i="9"/>
  <c r="EH37" i="9"/>
  <c r="EI37" i="9"/>
  <c r="EJ37" i="9"/>
  <c r="EK37" i="9"/>
  <c r="EL37" i="9"/>
  <c r="EM37" i="9"/>
  <c r="EN37" i="9"/>
  <c r="EO37" i="9"/>
  <c r="EP37" i="9"/>
  <c r="EQ37" i="9"/>
  <c r="ER37" i="9"/>
  <c r="ES37" i="9"/>
  <c r="ET37" i="9"/>
  <c r="EU37" i="9"/>
  <c r="EV37" i="9"/>
  <c r="EW37" i="9"/>
  <c r="EX37" i="9"/>
  <c r="EY37" i="9"/>
  <c r="EZ37" i="9"/>
  <c r="FA37" i="9"/>
  <c r="FB37" i="9"/>
  <c r="FC37" i="9"/>
  <c r="FD37" i="9"/>
  <c r="FE37" i="9"/>
  <c r="FF37" i="9"/>
  <c r="FG37" i="9"/>
  <c r="FH37" i="9"/>
  <c r="FI37" i="9"/>
  <c r="FJ37" i="9"/>
  <c r="FK37" i="9"/>
  <c r="FL37" i="9"/>
  <c r="FM37" i="9"/>
  <c r="FN37" i="9"/>
  <c r="FO37" i="9"/>
  <c r="FP37" i="9"/>
  <c r="FQ37" i="9"/>
  <c r="FR37" i="9"/>
  <c r="FS37" i="9"/>
  <c r="FT37" i="9"/>
  <c r="FU37" i="9"/>
  <c r="FV37" i="9"/>
  <c r="FW37" i="9"/>
  <c r="FX37" i="9"/>
  <c r="FY37" i="9"/>
  <c r="FZ37" i="9"/>
  <c r="GA37" i="9"/>
  <c r="GB37" i="9"/>
  <c r="GC37" i="9"/>
  <c r="GD37" i="9"/>
  <c r="GE37" i="9"/>
  <c r="GF37" i="9"/>
  <c r="GG37" i="9"/>
  <c r="GH37" i="9"/>
  <c r="GI37" i="9"/>
  <c r="GJ37" i="9"/>
  <c r="GK37" i="9"/>
  <c r="GL37" i="9"/>
  <c r="GM37" i="9"/>
  <c r="GN37" i="9"/>
  <c r="GO37" i="9"/>
  <c r="GP37" i="9"/>
  <c r="GQ37" i="9"/>
  <c r="GR37" i="9"/>
  <c r="GS37" i="9"/>
  <c r="GT37" i="9"/>
  <c r="GU37" i="9"/>
  <c r="GV37" i="9"/>
  <c r="GW37" i="9"/>
  <c r="GX37" i="9"/>
  <c r="GY37" i="9"/>
  <c r="GZ37" i="9"/>
  <c r="HA37" i="9"/>
  <c r="HB37" i="9"/>
  <c r="HC37" i="9"/>
  <c r="HD37" i="9"/>
  <c r="HE37" i="9"/>
  <c r="HF37" i="9"/>
  <c r="HG37" i="9"/>
  <c r="HH37" i="9"/>
  <c r="HI37" i="9"/>
  <c r="HJ37" i="9"/>
  <c r="HK37" i="9"/>
  <c r="HL37" i="9"/>
  <c r="HM37" i="9"/>
  <c r="HN37" i="9"/>
  <c r="HO37" i="9"/>
  <c r="HP37" i="9"/>
  <c r="HQ37" i="9"/>
  <c r="HR37" i="9"/>
  <c r="HS37" i="9"/>
  <c r="HT37" i="9"/>
  <c r="HU37" i="9"/>
  <c r="HV37" i="9"/>
  <c r="HW37" i="9"/>
  <c r="HX37" i="9"/>
  <c r="HY37" i="9"/>
  <c r="HZ37" i="9"/>
  <c r="IA37" i="9"/>
  <c r="IB37" i="9"/>
  <c r="IC37" i="9"/>
  <c r="ID37" i="9"/>
  <c r="IE37" i="9"/>
  <c r="IF37" i="9"/>
  <c r="IG37" i="9"/>
  <c r="IH37" i="9"/>
  <c r="II37" i="9"/>
  <c r="IJ37" i="9"/>
  <c r="IK37" i="9"/>
  <c r="IL37" i="9"/>
  <c r="IM37" i="9"/>
  <c r="IN37" i="9"/>
  <c r="IO37" i="9"/>
  <c r="IP37" i="9"/>
  <c r="IQ37" i="9"/>
  <c r="IR37" i="9"/>
  <c r="IS37" i="9"/>
  <c r="IT37" i="9"/>
  <c r="IU37" i="9"/>
  <c r="IV37" i="9"/>
  <c r="A36" i="9"/>
  <c r="B36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AI36" i="9"/>
  <c r="AJ36" i="9"/>
  <c r="AK36" i="9"/>
  <c r="AL36" i="9"/>
  <c r="AM36" i="9"/>
  <c r="AN36" i="9"/>
  <c r="AO36" i="9"/>
  <c r="AP36" i="9"/>
  <c r="AQ36" i="9"/>
  <c r="AR36" i="9"/>
  <c r="AS36" i="9"/>
  <c r="AT36" i="9"/>
  <c r="AU36" i="9"/>
  <c r="AV36" i="9"/>
  <c r="AW36" i="9"/>
  <c r="AX36" i="9"/>
  <c r="AY36" i="9"/>
  <c r="AZ36" i="9"/>
  <c r="BA36" i="9"/>
  <c r="BB36" i="9"/>
  <c r="BC36" i="9"/>
  <c r="BD36" i="9"/>
  <c r="BE36" i="9"/>
  <c r="BF36" i="9"/>
  <c r="BG36" i="9"/>
  <c r="BH36" i="9"/>
  <c r="BI36" i="9"/>
  <c r="BJ36" i="9"/>
  <c r="BK36" i="9"/>
  <c r="BL36" i="9"/>
  <c r="BM36" i="9"/>
  <c r="BN36" i="9"/>
  <c r="BO36" i="9"/>
  <c r="BP36" i="9"/>
  <c r="BQ36" i="9"/>
  <c r="BR36" i="9"/>
  <c r="BS36" i="9"/>
  <c r="BT36" i="9"/>
  <c r="BU36" i="9"/>
  <c r="BV36" i="9"/>
  <c r="BW36" i="9"/>
  <c r="BX36" i="9"/>
  <c r="BY36" i="9"/>
  <c r="BZ36" i="9"/>
  <c r="CA36" i="9"/>
  <c r="CB36" i="9"/>
  <c r="CC36" i="9"/>
  <c r="CD36" i="9"/>
  <c r="CE36" i="9"/>
  <c r="CF36" i="9"/>
  <c r="CG36" i="9"/>
  <c r="CH36" i="9"/>
  <c r="CI36" i="9"/>
  <c r="CJ36" i="9"/>
  <c r="CK36" i="9"/>
  <c r="CL36" i="9"/>
  <c r="CM36" i="9"/>
  <c r="CN36" i="9"/>
  <c r="CO36" i="9"/>
  <c r="CP36" i="9"/>
  <c r="CQ36" i="9"/>
  <c r="CR36" i="9"/>
  <c r="CS36" i="9"/>
  <c r="CT36" i="9"/>
  <c r="CU36" i="9"/>
  <c r="CV36" i="9"/>
  <c r="CW36" i="9"/>
  <c r="CX36" i="9"/>
  <c r="CY36" i="9"/>
  <c r="CZ36" i="9"/>
  <c r="DA36" i="9"/>
  <c r="DB36" i="9"/>
  <c r="DC36" i="9"/>
  <c r="DD36" i="9"/>
  <c r="DE36" i="9"/>
  <c r="DF36" i="9"/>
  <c r="DG36" i="9"/>
  <c r="DH36" i="9"/>
  <c r="DI36" i="9"/>
  <c r="DJ36" i="9"/>
  <c r="DK36" i="9"/>
  <c r="DL36" i="9"/>
  <c r="DM36" i="9"/>
  <c r="DN36" i="9"/>
  <c r="DO36" i="9"/>
  <c r="DP36" i="9"/>
  <c r="DQ36" i="9"/>
  <c r="DR36" i="9"/>
  <c r="DS36" i="9"/>
  <c r="DT36" i="9"/>
  <c r="DU36" i="9"/>
  <c r="DV36" i="9"/>
  <c r="DW36" i="9"/>
  <c r="DX36" i="9"/>
  <c r="DY36" i="9"/>
  <c r="DZ36" i="9"/>
  <c r="EA36" i="9"/>
  <c r="EB36" i="9"/>
  <c r="EC36" i="9"/>
  <c r="ED36" i="9"/>
  <c r="EE36" i="9"/>
  <c r="EF36" i="9"/>
  <c r="EG36" i="9"/>
  <c r="EH36" i="9"/>
  <c r="EI36" i="9"/>
  <c r="EJ36" i="9"/>
  <c r="EK36" i="9"/>
  <c r="EL36" i="9"/>
  <c r="EM36" i="9"/>
  <c r="EN36" i="9"/>
  <c r="EO36" i="9"/>
  <c r="EP36" i="9"/>
  <c r="EQ36" i="9"/>
  <c r="ER36" i="9"/>
  <c r="ES36" i="9"/>
  <c r="ET36" i="9"/>
  <c r="EU36" i="9"/>
  <c r="EV36" i="9"/>
  <c r="EW36" i="9"/>
  <c r="EX36" i="9"/>
  <c r="EY36" i="9"/>
  <c r="EZ36" i="9"/>
  <c r="FA36" i="9"/>
  <c r="FB36" i="9"/>
  <c r="FC36" i="9"/>
  <c r="FD36" i="9"/>
  <c r="FE36" i="9"/>
  <c r="FF36" i="9"/>
  <c r="FG36" i="9"/>
  <c r="FH36" i="9"/>
  <c r="FI36" i="9"/>
  <c r="FJ36" i="9"/>
  <c r="FK36" i="9"/>
  <c r="FL36" i="9"/>
  <c r="FM36" i="9"/>
  <c r="FN36" i="9"/>
  <c r="FO36" i="9"/>
  <c r="FP36" i="9"/>
  <c r="FQ36" i="9"/>
  <c r="FR36" i="9"/>
  <c r="FS36" i="9"/>
  <c r="FT36" i="9"/>
  <c r="FU36" i="9"/>
  <c r="FV36" i="9"/>
  <c r="FW36" i="9"/>
  <c r="FX36" i="9"/>
  <c r="FY36" i="9"/>
  <c r="FZ36" i="9"/>
  <c r="GA36" i="9"/>
  <c r="GB36" i="9"/>
  <c r="GC36" i="9"/>
  <c r="GD36" i="9"/>
  <c r="GE36" i="9"/>
  <c r="GF36" i="9"/>
  <c r="GG36" i="9"/>
  <c r="GH36" i="9"/>
  <c r="GI36" i="9"/>
  <c r="GJ36" i="9"/>
  <c r="GK36" i="9"/>
  <c r="GL36" i="9"/>
  <c r="GM36" i="9"/>
  <c r="GN36" i="9"/>
  <c r="GO36" i="9"/>
  <c r="GP36" i="9"/>
  <c r="GQ36" i="9"/>
  <c r="GR36" i="9"/>
  <c r="GS36" i="9"/>
  <c r="GT36" i="9"/>
  <c r="GU36" i="9"/>
  <c r="GV36" i="9"/>
  <c r="GW36" i="9"/>
  <c r="GX36" i="9"/>
  <c r="GY36" i="9"/>
  <c r="GZ36" i="9"/>
  <c r="HA36" i="9"/>
  <c r="HB36" i="9"/>
  <c r="HC36" i="9"/>
  <c r="HD36" i="9"/>
  <c r="HE36" i="9"/>
  <c r="HF36" i="9"/>
  <c r="HG36" i="9"/>
  <c r="HH36" i="9"/>
  <c r="HI36" i="9"/>
  <c r="HJ36" i="9"/>
  <c r="HK36" i="9"/>
  <c r="HL36" i="9"/>
  <c r="HM36" i="9"/>
  <c r="HN36" i="9"/>
  <c r="HO36" i="9"/>
  <c r="HP36" i="9"/>
  <c r="HQ36" i="9"/>
  <c r="HR36" i="9"/>
  <c r="HS36" i="9"/>
  <c r="HT36" i="9"/>
  <c r="HU36" i="9"/>
  <c r="HV36" i="9"/>
  <c r="HW36" i="9"/>
  <c r="HX36" i="9"/>
  <c r="HY36" i="9"/>
  <c r="HZ36" i="9"/>
  <c r="IA36" i="9"/>
  <c r="IB36" i="9"/>
  <c r="IC36" i="9"/>
  <c r="ID36" i="9"/>
  <c r="IE36" i="9"/>
  <c r="IF36" i="9"/>
  <c r="IG36" i="9"/>
  <c r="IH36" i="9"/>
  <c r="II36" i="9"/>
  <c r="IJ36" i="9"/>
  <c r="IK36" i="9"/>
  <c r="IL36" i="9"/>
  <c r="IM36" i="9"/>
  <c r="IN36" i="9"/>
  <c r="IO36" i="9"/>
  <c r="IP36" i="9"/>
  <c r="IQ36" i="9"/>
  <c r="IR36" i="9"/>
  <c r="IS36" i="9"/>
  <c r="IT36" i="9"/>
  <c r="IU36" i="9"/>
  <c r="IV36" i="9"/>
  <c r="A35" i="9"/>
  <c r="B35" i="9"/>
  <c r="C35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AI35" i="9"/>
  <c r="AJ35" i="9"/>
  <c r="AK35" i="9"/>
  <c r="AL35" i="9"/>
  <c r="AM35" i="9"/>
  <c r="AN35" i="9"/>
  <c r="AO35" i="9"/>
  <c r="AP35" i="9"/>
  <c r="AQ35" i="9"/>
  <c r="AR35" i="9"/>
  <c r="AS35" i="9"/>
  <c r="AT35" i="9"/>
  <c r="AU35" i="9"/>
  <c r="AV35" i="9"/>
  <c r="AW35" i="9"/>
  <c r="AX35" i="9"/>
  <c r="AY35" i="9"/>
  <c r="AZ35" i="9"/>
  <c r="BA35" i="9"/>
  <c r="BB35" i="9"/>
  <c r="BC35" i="9"/>
  <c r="BD35" i="9"/>
  <c r="BE35" i="9"/>
  <c r="BF35" i="9"/>
  <c r="BG35" i="9"/>
  <c r="BH35" i="9"/>
  <c r="BI35" i="9"/>
  <c r="BJ35" i="9"/>
  <c r="BK35" i="9"/>
  <c r="BL35" i="9"/>
  <c r="BM35" i="9"/>
  <c r="BN35" i="9"/>
  <c r="BO35" i="9"/>
  <c r="BP35" i="9"/>
  <c r="BQ35" i="9"/>
  <c r="BR35" i="9"/>
  <c r="BS35" i="9"/>
  <c r="BT35" i="9"/>
  <c r="BU35" i="9"/>
  <c r="BV35" i="9"/>
  <c r="BW35" i="9"/>
  <c r="BX35" i="9"/>
  <c r="BY35" i="9"/>
  <c r="BZ35" i="9"/>
  <c r="CA35" i="9"/>
  <c r="CB35" i="9"/>
  <c r="CC35" i="9"/>
  <c r="CD35" i="9"/>
  <c r="CE35" i="9"/>
  <c r="CF35" i="9"/>
  <c r="CG35" i="9"/>
  <c r="CH35" i="9"/>
  <c r="CI35" i="9"/>
  <c r="CJ35" i="9"/>
  <c r="CK35" i="9"/>
  <c r="CL35" i="9"/>
  <c r="CM35" i="9"/>
  <c r="CN35" i="9"/>
  <c r="CO35" i="9"/>
  <c r="CP35" i="9"/>
  <c r="CQ35" i="9"/>
  <c r="CR35" i="9"/>
  <c r="CS35" i="9"/>
  <c r="CT35" i="9"/>
  <c r="CU35" i="9"/>
  <c r="CV35" i="9"/>
  <c r="CW35" i="9"/>
  <c r="CX35" i="9"/>
  <c r="CY35" i="9"/>
  <c r="CZ35" i="9"/>
  <c r="DA35" i="9"/>
  <c r="DB35" i="9"/>
  <c r="DC35" i="9"/>
  <c r="DD35" i="9"/>
  <c r="DE35" i="9"/>
  <c r="DF35" i="9"/>
  <c r="DG35" i="9"/>
  <c r="DH35" i="9"/>
  <c r="DI35" i="9"/>
  <c r="DJ35" i="9"/>
  <c r="DK35" i="9"/>
  <c r="DL35" i="9"/>
  <c r="DM35" i="9"/>
  <c r="DN35" i="9"/>
  <c r="DO35" i="9"/>
  <c r="DP35" i="9"/>
  <c r="DQ35" i="9"/>
  <c r="DR35" i="9"/>
  <c r="DS35" i="9"/>
  <c r="DT35" i="9"/>
  <c r="DU35" i="9"/>
  <c r="DV35" i="9"/>
  <c r="DW35" i="9"/>
  <c r="DX35" i="9"/>
  <c r="DY35" i="9"/>
  <c r="DZ35" i="9"/>
  <c r="EA35" i="9"/>
  <c r="EB35" i="9"/>
  <c r="EC35" i="9"/>
  <c r="ED35" i="9"/>
  <c r="EE35" i="9"/>
  <c r="EF35" i="9"/>
  <c r="EG35" i="9"/>
  <c r="EH35" i="9"/>
  <c r="EI35" i="9"/>
  <c r="EJ35" i="9"/>
  <c r="EK35" i="9"/>
  <c r="EL35" i="9"/>
  <c r="EM35" i="9"/>
  <c r="EN35" i="9"/>
  <c r="EO35" i="9"/>
  <c r="EP35" i="9"/>
  <c r="EQ35" i="9"/>
  <c r="ER35" i="9"/>
  <c r="ES35" i="9"/>
  <c r="ET35" i="9"/>
  <c r="EU35" i="9"/>
  <c r="EV35" i="9"/>
  <c r="EW35" i="9"/>
  <c r="EX35" i="9"/>
  <c r="EY35" i="9"/>
  <c r="EZ35" i="9"/>
  <c r="FA35" i="9"/>
  <c r="FB35" i="9"/>
  <c r="FC35" i="9"/>
  <c r="FD35" i="9"/>
  <c r="FE35" i="9"/>
  <c r="FF35" i="9"/>
  <c r="FG35" i="9"/>
  <c r="FH35" i="9"/>
  <c r="FI35" i="9"/>
  <c r="FJ35" i="9"/>
  <c r="FK35" i="9"/>
  <c r="FL35" i="9"/>
  <c r="FM35" i="9"/>
  <c r="FN35" i="9"/>
  <c r="FO35" i="9"/>
  <c r="FP35" i="9"/>
  <c r="FQ35" i="9"/>
  <c r="FR35" i="9"/>
  <c r="FS35" i="9"/>
  <c r="FT35" i="9"/>
  <c r="FU35" i="9"/>
  <c r="FV35" i="9"/>
  <c r="FW35" i="9"/>
  <c r="FX35" i="9"/>
  <c r="FY35" i="9"/>
  <c r="FZ35" i="9"/>
  <c r="GA35" i="9"/>
  <c r="GB35" i="9"/>
  <c r="GC35" i="9"/>
  <c r="GD35" i="9"/>
  <c r="GE35" i="9"/>
  <c r="GF35" i="9"/>
  <c r="GG35" i="9"/>
  <c r="GH35" i="9"/>
  <c r="GI35" i="9"/>
  <c r="GJ35" i="9"/>
  <c r="GK35" i="9"/>
  <c r="GL35" i="9"/>
  <c r="GM35" i="9"/>
  <c r="GN35" i="9"/>
  <c r="GO35" i="9"/>
  <c r="GP35" i="9"/>
  <c r="GQ35" i="9"/>
  <c r="GR35" i="9"/>
  <c r="GS35" i="9"/>
  <c r="GT35" i="9"/>
  <c r="GU35" i="9"/>
  <c r="GV35" i="9"/>
  <c r="GW35" i="9"/>
  <c r="GX35" i="9"/>
  <c r="GY35" i="9"/>
  <c r="GZ35" i="9"/>
  <c r="HA35" i="9"/>
  <c r="HB35" i="9"/>
  <c r="HC35" i="9"/>
  <c r="HD35" i="9"/>
  <c r="HE35" i="9"/>
  <c r="HF35" i="9"/>
  <c r="HG35" i="9"/>
  <c r="HH35" i="9"/>
  <c r="HI35" i="9"/>
  <c r="HJ35" i="9"/>
  <c r="HK35" i="9"/>
  <c r="HL35" i="9"/>
  <c r="HM35" i="9"/>
  <c r="HN35" i="9"/>
  <c r="HO35" i="9"/>
  <c r="HP35" i="9"/>
  <c r="HQ35" i="9"/>
  <c r="HR35" i="9"/>
  <c r="HS35" i="9"/>
  <c r="HT35" i="9"/>
  <c r="HU35" i="9"/>
  <c r="HV35" i="9"/>
  <c r="HW35" i="9"/>
  <c r="HX35" i="9"/>
  <c r="HY35" i="9"/>
  <c r="HZ35" i="9"/>
  <c r="IA35" i="9"/>
  <c r="IB35" i="9"/>
  <c r="IC35" i="9"/>
  <c r="ID35" i="9"/>
  <c r="IE35" i="9"/>
  <c r="IF35" i="9"/>
  <c r="IG35" i="9"/>
  <c r="IH35" i="9"/>
  <c r="II35" i="9"/>
  <c r="IJ35" i="9"/>
  <c r="IK35" i="9"/>
  <c r="IL35" i="9"/>
  <c r="IM35" i="9"/>
  <c r="IN35" i="9"/>
  <c r="IO35" i="9"/>
  <c r="IP35" i="9"/>
  <c r="IQ35" i="9"/>
  <c r="IR35" i="9"/>
  <c r="IS35" i="9"/>
  <c r="IT35" i="9"/>
  <c r="IU35" i="9"/>
  <c r="IV35" i="9"/>
  <c r="A34" i="9"/>
  <c r="B34" i="9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AB34" i="9"/>
  <c r="AC34" i="9"/>
  <c r="AD34" i="9"/>
  <c r="AE34" i="9"/>
  <c r="AF34" i="9"/>
  <c r="AG34" i="9"/>
  <c r="AH34" i="9"/>
  <c r="AI34" i="9"/>
  <c r="AJ34" i="9"/>
  <c r="AK34" i="9"/>
  <c r="AL34" i="9"/>
  <c r="AM34" i="9"/>
  <c r="AN34" i="9"/>
  <c r="AO34" i="9"/>
  <c r="AP34" i="9"/>
  <c r="AQ34" i="9"/>
  <c r="AR34" i="9"/>
  <c r="AT34" i="9"/>
  <c r="AU34" i="9"/>
  <c r="AV34" i="9"/>
  <c r="AW34" i="9"/>
  <c r="AX34" i="9"/>
  <c r="AY34" i="9"/>
  <c r="AZ34" i="9"/>
  <c r="BA34" i="9"/>
  <c r="BB34" i="9"/>
  <c r="BC34" i="9"/>
  <c r="BD34" i="9"/>
  <c r="BE34" i="9"/>
  <c r="BF34" i="9"/>
  <c r="BG34" i="9"/>
  <c r="BH34" i="9"/>
  <c r="BI34" i="9"/>
  <c r="BJ34" i="9"/>
  <c r="BK34" i="9"/>
  <c r="BL34" i="9"/>
  <c r="BM34" i="9"/>
  <c r="BN34" i="9"/>
  <c r="BO34" i="9"/>
  <c r="BP34" i="9"/>
  <c r="BQ34" i="9"/>
  <c r="BR34" i="9"/>
  <c r="BS34" i="9"/>
  <c r="BT34" i="9"/>
  <c r="BU34" i="9"/>
  <c r="BV34" i="9"/>
  <c r="BW34" i="9"/>
  <c r="BX34" i="9"/>
  <c r="BY34" i="9"/>
  <c r="BZ34" i="9"/>
  <c r="CA34" i="9"/>
  <c r="CB34" i="9"/>
  <c r="CC34" i="9"/>
  <c r="CD34" i="9"/>
  <c r="CE34" i="9"/>
  <c r="CF34" i="9"/>
  <c r="CG34" i="9"/>
  <c r="CH34" i="9"/>
  <c r="CI34" i="9"/>
  <c r="CJ34" i="9"/>
  <c r="CK34" i="9"/>
  <c r="CL34" i="9"/>
  <c r="CM34" i="9"/>
  <c r="CN34" i="9"/>
  <c r="CO34" i="9"/>
  <c r="CP34" i="9"/>
  <c r="CQ34" i="9"/>
  <c r="CR34" i="9"/>
  <c r="CS34" i="9"/>
  <c r="CT34" i="9"/>
  <c r="CU34" i="9"/>
  <c r="CV34" i="9"/>
  <c r="CW34" i="9"/>
  <c r="CX34" i="9"/>
  <c r="CY34" i="9"/>
  <c r="CZ34" i="9"/>
  <c r="DA34" i="9"/>
  <c r="DB34" i="9"/>
  <c r="DC34" i="9"/>
  <c r="DD34" i="9"/>
  <c r="DE34" i="9"/>
  <c r="DF34" i="9"/>
  <c r="DG34" i="9"/>
  <c r="DH34" i="9"/>
  <c r="DI34" i="9"/>
  <c r="DJ34" i="9"/>
  <c r="DK34" i="9"/>
  <c r="DL34" i="9"/>
  <c r="DM34" i="9"/>
  <c r="DN34" i="9"/>
  <c r="DO34" i="9"/>
  <c r="DP34" i="9"/>
  <c r="DQ34" i="9"/>
  <c r="DR34" i="9"/>
  <c r="DS34" i="9"/>
  <c r="DT34" i="9"/>
  <c r="DU34" i="9"/>
  <c r="DV34" i="9"/>
  <c r="DW34" i="9"/>
  <c r="DX34" i="9"/>
  <c r="DY34" i="9"/>
  <c r="DZ34" i="9"/>
  <c r="EA34" i="9"/>
  <c r="EB34" i="9"/>
  <c r="EC34" i="9"/>
  <c r="ED34" i="9"/>
  <c r="EE34" i="9"/>
  <c r="EF34" i="9"/>
  <c r="EG34" i="9"/>
  <c r="EH34" i="9"/>
  <c r="EI34" i="9"/>
  <c r="EJ34" i="9"/>
  <c r="EK34" i="9"/>
  <c r="EL34" i="9"/>
  <c r="EM34" i="9"/>
  <c r="EN34" i="9"/>
  <c r="EO34" i="9"/>
  <c r="EP34" i="9"/>
  <c r="EQ34" i="9"/>
  <c r="ER34" i="9"/>
  <c r="ES34" i="9"/>
  <c r="ET34" i="9"/>
  <c r="EU34" i="9"/>
  <c r="EV34" i="9"/>
  <c r="EW34" i="9"/>
  <c r="EX34" i="9"/>
  <c r="EY34" i="9"/>
  <c r="EZ34" i="9"/>
  <c r="FA34" i="9"/>
  <c r="FB34" i="9"/>
  <c r="FC34" i="9"/>
  <c r="FD34" i="9"/>
  <c r="FE34" i="9"/>
  <c r="FF34" i="9"/>
  <c r="FG34" i="9"/>
  <c r="FH34" i="9"/>
  <c r="FI34" i="9"/>
  <c r="FJ34" i="9"/>
  <c r="FK34" i="9"/>
  <c r="FL34" i="9"/>
  <c r="FM34" i="9"/>
  <c r="FN34" i="9"/>
  <c r="FO34" i="9"/>
  <c r="FP34" i="9"/>
  <c r="FQ34" i="9"/>
  <c r="FR34" i="9"/>
  <c r="FS34" i="9"/>
  <c r="FT34" i="9"/>
  <c r="FU34" i="9"/>
  <c r="FV34" i="9"/>
  <c r="FW34" i="9"/>
  <c r="FX34" i="9"/>
  <c r="FY34" i="9"/>
  <c r="FZ34" i="9"/>
  <c r="GA34" i="9"/>
  <c r="GB34" i="9"/>
  <c r="GC34" i="9"/>
  <c r="GD34" i="9"/>
  <c r="GE34" i="9"/>
  <c r="GF34" i="9"/>
  <c r="GG34" i="9"/>
  <c r="GH34" i="9"/>
  <c r="GI34" i="9"/>
  <c r="GJ34" i="9"/>
  <c r="GK34" i="9"/>
  <c r="GL34" i="9"/>
  <c r="GM34" i="9"/>
  <c r="GN34" i="9"/>
  <c r="GO34" i="9"/>
  <c r="GP34" i="9"/>
  <c r="GQ34" i="9"/>
  <c r="GR34" i="9"/>
  <c r="GS34" i="9"/>
  <c r="GT34" i="9"/>
  <c r="GU34" i="9"/>
  <c r="GV34" i="9"/>
  <c r="GW34" i="9"/>
  <c r="GX34" i="9"/>
  <c r="GY34" i="9"/>
  <c r="GZ34" i="9"/>
  <c r="HA34" i="9"/>
  <c r="HB34" i="9"/>
  <c r="HC34" i="9"/>
  <c r="HD34" i="9"/>
  <c r="HE34" i="9"/>
  <c r="HF34" i="9"/>
  <c r="HG34" i="9"/>
  <c r="HH34" i="9"/>
  <c r="HI34" i="9"/>
  <c r="HJ34" i="9"/>
  <c r="HK34" i="9"/>
  <c r="HL34" i="9"/>
  <c r="HM34" i="9"/>
  <c r="HN34" i="9"/>
  <c r="HO34" i="9"/>
  <c r="HP34" i="9"/>
  <c r="HQ34" i="9"/>
  <c r="HR34" i="9"/>
  <c r="HS34" i="9"/>
  <c r="HT34" i="9"/>
  <c r="HU34" i="9"/>
  <c r="HV34" i="9"/>
  <c r="HW34" i="9"/>
  <c r="HX34" i="9"/>
  <c r="HY34" i="9"/>
  <c r="HZ34" i="9"/>
  <c r="IA34" i="9"/>
  <c r="IB34" i="9"/>
  <c r="IC34" i="9"/>
  <c r="ID34" i="9"/>
  <c r="IE34" i="9"/>
  <c r="IF34" i="9"/>
  <c r="IG34" i="9"/>
  <c r="IH34" i="9"/>
  <c r="II34" i="9"/>
  <c r="IJ34" i="9"/>
  <c r="IK34" i="9"/>
  <c r="IL34" i="9"/>
  <c r="IM34" i="9"/>
  <c r="IN34" i="9"/>
  <c r="IO34" i="9"/>
  <c r="IP34" i="9"/>
  <c r="IQ34" i="9"/>
  <c r="IR34" i="9"/>
  <c r="IS34" i="9"/>
  <c r="IT34" i="9"/>
  <c r="IU34" i="9"/>
  <c r="IV34" i="9"/>
  <c r="A33" i="9"/>
  <c r="B33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AH33" i="9"/>
  <c r="AI33" i="9"/>
  <c r="AJ33" i="9"/>
  <c r="AK33" i="9"/>
  <c r="AL33" i="9"/>
  <c r="AM33" i="9"/>
  <c r="AN33" i="9"/>
  <c r="AO33" i="9"/>
  <c r="AP33" i="9"/>
  <c r="AQ33" i="9"/>
  <c r="AR33" i="9"/>
  <c r="AS33" i="9"/>
  <c r="AT33" i="9"/>
  <c r="AU33" i="9"/>
  <c r="AV33" i="9"/>
  <c r="AW33" i="9"/>
  <c r="AX33" i="9"/>
  <c r="AY33" i="9"/>
  <c r="AZ33" i="9"/>
  <c r="BA33" i="9"/>
  <c r="BB33" i="9"/>
  <c r="BC33" i="9"/>
  <c r="BD33" i="9"/>
  <c r="BE33" i="9"/>
  <c r="BF33" i="9"/>
  <c r="BG33" i="9"/>
  <c r="BH33" i="9"/>
  <c r="BI33" i="9"/>
  <c r="BJ33" i="9"/>
  <c r="BK33" i="9"/>
  <c r="BL33" i="9"/>
  <c r="BM33" i="9"/>
  <c r="BN33" i="9"/>
  <c r="BO33" i="9"/>
  <c r="BP33" i="9"/>
  <c r="BQ33" i="9"/>
  <c r="BR33" i="9"/>
  <c r="BS33" i="9"/>
  <c r="BT33" i="9"/>
  <c r="BU33" i="9"/>
  <c r="BV33" i="9"/>
  <c r="BW33" i="9"/>
  <c r="BX33" i="9"/>
  <c r="BY33" i="9"/>
  <c r="BZ33" i="9"/>
  <c r="CA33" i="9"/>
  <c r="CB33" i="9"/>
  <c r="CC33" i="9"/>
  <c r="CD33" i="9"/>
  <c r="CE33" i="9"/>
  <c r="CF33" i="9"/>
  <c r="CG33" i="9"/>
  <c r="CH33" i="9"/>
  <c r="CI33" i="9"/>
  <c r="CJ33" i="9"/>
  <c r="CK33" i="9"/>
  <c r="CL33" i="9"/>
  <c r="CM33" i="9"/>
  <c r="CN33" i="9"/>
  <c r="CO33" i="9"/>
  <c r="CP33" i="9"/>
  <c r="CQ33" i="9"/>
  <c r="CR33" i="9"/>
  <c r="CS33" i="9"/>
  <c r="CT33" i="9"/>
  <c r="CU33" i="9"/>
  <c r="CV33" i="9"/>
  <c r="CW33" i="9"/>
  <c r="CX33" i="9"/>
  <c r="CY33" i="9"/>
  <c r="CZ33" i="9"/>
  <c r="DA33" i="9"/>
  <c r="DB33" i="9"/>
  <c r="DC33" i="9"/>
  <c r="DD33" i="9"/>
  <c r="DE33" i="9"/>
  <c r="DF33" i="9"/>
  <c r="DG33" i="9"/>
  <c r="DH33" i="9"/>
  <c r="DI33" i="9"/>
  <c r="DJ33" i="9"/>
  <c r="DK33" i="9"/>
  <c r="DL33" i="9"/>
  <c r="DM33" i="9"/>
  <c r="DN33" i="9"/>
  <c r="DO33" i="9"/>
  <c r="DP33" i="9"/>
  <c r="DQ33" i="9"/>
  <c r="DR33" i="9"/>
  <c r="DS33" i="9"/>
  <c r="DT33" i="9"/>
  <c r="DU33" i="9"/>
  <c r="DV33" i="9"/>
  <c r="DW33" i="9"/>
  <c r="DX33" i="9"/>
  <c r="DY33" i="9"/>
  <c r="DZ33" i="9"/>
  <c r="EA33" i="9"/>
  <c r="EB33" i="9"/>
  <c r="EC33" i="9"/>
  <c r="ED33" i="9"/>
  <c r="EE33" i="9"/>
  <c r="EF33" i="9"/>
  <c r="EG33" i="9"/>
  <c r="EH33" i="9"/>
  <c r="EI33" i="9"/>
  <c r="EJ33" i="9"/>
  <c r="EK33" i="9"/>
  <c r="EL33" i="9"/>
  <c r="EM33" i="9"/>
  <c r="EN33" i="9"/>
  <c r="EO33" i="9"/>
  <c r="EP33" i="9"/>
  <c r="EQ33" i="9"/>
  <c r="ER33" i="9"/>
  <c r="ES33" i="9"/>
  <c r="ET33" i="9"/>
  <c r="EU33" i="9"/>
  <c r="EV33" i="9"/>
  <c r="EW33" i="9"/>
  <c r="EX33" i="9"/>
  <c r="EY33" i="9"/>
  <c r="EZ33" i="9"/>
  <c r="FA33" i="9"/>
  <c r="FB33" i="9"/>
  <c r="FC33" i="9"/>
  <c r="FD33" i="9"/>
  <c r="FE33" i="9"/>
  <c r="FF33" i="9"/>
  <c r="FG33" i="9"/>
  <c r="FH33" i="9"/>
  <c r="FI33" i="9"/>
  <c r="FJ33" i="9"/>
  <c r="FK33" i="9"/>
  <c r="FL33" i="9"/>
  <c r="FM33" i="9"/>
  <c r="FN33" i="9"/>
  <c r="FO33" i="9"/>
  <c r="FP33" i="9"/>
  <c r="FQ33" i="9"/>
  <c r="FR33" i="9"/>
  <c r="FS33" i="9"/>
  <c r="FT33" i="9"/>
  <c r="FU33" i="9"/>
  <c r="FV33" i="9"/>
  <c r="FW33" i="9"/>
  <c r="FX33" i="9"/>
  <c r="FY33" i="9"/>
  <c r="FZ33" i="9"/>
  <c r="GA33" i="9"/>
  <c r="GB33" i="9"/>
  <c r="GC33" i="9"/>
  <c r="GD33" i="9"/>
  <c r="GE33" i="9"/>
  <c r="GF33" i="9"/>
  <c r="GG33" i="9"/>
  <c r="GH33" i="9"/>
  <c r="GI33" i="9"/>
  <c r="GJ33" i="9"/>
  <c r="GK33" i="9"/>
  <c r="GL33" i="9"/>
  <c r="GM33" i="9"/>
  <c r="GN33" i="9"/>
  <c r="GO33" i="9"/>
  <c r="GP33" i="9"/>
  <c r="GQ33" i="9"/>
  <c r="GR33" i="9"/>
  <c r="GS33" i="9"/>
  <c r="GT33" i="9"/>
  <c r="GU33" i="9"/>
  <c r="GV33" i="9"/>
  <c r="GW33" i="9"/>
  <c r="GX33" i="9"/>
  <c r="GY33" i="9"/>
  <c r="GZ33" i="9"/>
  <c r="HA33" i="9"/>
  <c r="HB33" i="9"/>
  <c r="HC33" i="9"/>
  <c r="HD33" i="9"/>
  <c r="HE33" i="9"/>
  <c r="HF33" i="9"/>
  <c r="HG33" i="9"/>
  <c r="HH33" i="9"/>
  <c r="HI33" i="9"/>
  <c r="HJ33" i="9"/>
  <c r="HK33" i="9"/>
  <c r="HL33" i="9"/>
  <c r="HM33" i="9"/>
  <c r="HN33" i="9"/>
  <c r="HO33" i="9"/>
  <c r="HP33" i="9"/>
  <c r="HQ33" i="9"/>
  <c r="HR33" i="9"/>
  <c r="HS33" i="9"/>
  <c r="HT33" i="9"/>
  <c r="HU33" i="9"/>
  <c r="HV33" i="9"/>
  <c r="HW33" i="9"/>
  <c r="HX33" i="9"/>
  <c r="HY33" i="9"/>
  <c r="HZ33" i="9"/>
  <c r="IA33" i="9"/>
  <c r="IB33" i="9"/>
  <c r="IC33" i="9"/>
  <c r="ID33" i="9"/>
  <c r="IE33" i="9"/>
  <c r="IF33" i="9"/>
  <c r="IG33" i="9"/>
  <c r="IH33" i="9"/>
  <c r="II33" i="9"/>
  <c r="IJ33" i="9"/>
  <c r="IK33" i="9"/>
  <c r="IL33" i="9"/>
  <c r="IM33" i="9"/>
  <c r="IN33" i="9"/>
  <c r="IO33" i="9"/>
  <c r="IP33" i="9"/>
  <c r="IQ33" i="9"/>
  <c r="IR33" i="9"/>
  <c r="IS33" i="9"/>
  <c r="IT33" i="9"/>
  <c r="IU33" i="9"/>
  <c r="IV33" i="9"/>
  <c r="A32" i="9"/>
  <c r="B32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AH32" i="9"/>
  <c r="AI32" i="9"/>
  <c r="AJ32" i="9"/>
  <c r="AK32" i="9"/>
  <c r="AL32" i="9"/>
  <c r="AM32" i="9"/>
  <c r="AN32" i="9"/>
  <c r="AO32" i="9"/>
  <c r="AP32" i="9"/>
  <c r="AQ32" i="9"/>
  <c r="AR32" i="9"/>
  <c r="AS32" i="9"/>
  <c r="AT32" i="9"/>
  <c r="AU32" i="9"/>
  <c r="AV32" i="9"/>
  <c r="AW32" i="9"/>
  <c r="AX32" i="9"/>
  <c r="AY32" i="9"/>
  <c r="AZ32" i="9"/>
  <c r="BA32" i="9"/>
  <c r="BB32" i="9"/>
  <c r="BC32" i="9"/>
  <c r="BD32" i="9"/>
  <c r="BE32" i="9"/>
  <c r="BF32" i="9"/>
  <c r="BG32" i="9"/>
  <c r="BH32" i="9"/>
  <c r="BI32" i="9"/>
  <c r="BJ32" i="9"/>
  <c r="BK32" i="9"/>
  <c r="BL32" i="9"/>
  <c r="BM32" i="9"/>
  <c r="BN32" i="9"/>
  <c r="BO32" i="9"/>
  <c r="BP32" i="9"/>
  <c r="BQ32" i="9"/>
  <c r="BR32" i="9"/>
  <c r="BS32" i="9"/>
  <c r="BT32" i="9"/>
  <c r="BU32" i="9"/>
  <c r="BV32" i="9"/>
  <c r="BW32" i="9"/>
  <c r="BX32" i="9"/>
  <c r="BY32" i="9"/>
  <c r="BZ32" i="9"/>
  <c r="CA32" i="9"/>
  <c r="CB32" i="9"/>
  <c r="CC32" i="9"/>
  <c r="CD32" i="9"/>
  <c r="CE32" i="9"/>
  <c r="CF32" i="9"/>
  <c r="CG32" i="9"/>
  <c r="CH32" i="9"/>
  <c r="CI32" i="9"/>
  <c r="CJ32" i="9"/>
  <c r="CK32" i="9"/>
  <c r="CL32" i="9"/>
  <c r="CM32" i="9"/>
  <c r="CN32" i="9"/>
  <c r="CO32" i="9"/>
  <c r="CP32" i="9"/>
  <c r="CQ32" i="9"/>
  <c r="CR32" i="9"/>
  <c r="CS32" i="9"/>
  <c r="CT32" i="9"/>
  <c r="CU32" i="9"/>
  <c r="CV32" i="9"/>
  <c r="CW32" i="9"/>
  <c r="CX32" i="9"/>
  <c r="CY32" i="9"/>
  <c r="CZ32" i="9"/>
  <c r="DA32" i="9"/>
  <c r="DB32" i="9"/>
  <c r="DC32" i="9"/>
  <c r="DD32" i="9"/>
  <c r="DE32" i="9"/>
  <c r="DF32" i="9"/>
  <c r="DG32" i="9"/>
  <c r="DH32" i="9"/>
  <c r="DI32" i="9"/>
  <c r="DJ32" i="9"/>
  <c r="DK32" i="9"/>
  <c r="DL32" i="9"/>
  <c r="DM32" i="9"/>
  <c r="DN32" i="9"/>
  <c r="DO32" i="9"/>
  <c r="DP32" i="9"/>
  <c r="DQ32" i="9"/>
  <c r="DR32" i="9"/>
  <c r="DS32" i="9"/>
  <c r="DT32" i="9"/>
  <c r="DU32" i="9"/>
  <c r="DV32" i="9"/>
  <c r="DW32" i="9"/>
  <c r="DX32" i="9"/>
  <c r="DY32" i="9"/>
  <c r="DZ32" i="9"/>
  <c r="EA32" i="9"/>
  <c r="EB32" i="9"/>
  <c r="EC32" i="9"/>
  <c r="ED32" i="9"/>
  <c r="EE32" i="9"/>
  <c r="EF32" i="9"/>
  <c r="EG32" i="9"/>
  <c r="EH32" i="9"/>
  <c r="EI32" i="9"/>
  <c r="EJ32" i="9"/>
  <c r="EK32" i="9"/>
  <c r="EL32" i="9"/>
  <c r="EM32" i="9"/>
  <c r="EN32" i="9"/>
  <c r="EO32" i="9"/>
  <c r="EP32" i="9"/>
  <c r="EQ32" i="9"/>
  <c r="ER32" i="9"/>
  <c r="ES32" i="9"/>
  <c r="ET32" i="9"/>
  <c r="EU32" i="9"/>
  <c r="EV32" i="9"/>
  <c r="EW32" i="9"/>
  <c r="EX32" i="9"/>
  <c r="EY32" i="9"/>
  <c r="EZ32" i="9"/>
  <c r="FA32" i="9"/>
  <c r="FB32" i="9"/>
  <c r="FC32" i="9"/>
  <c r="FD32" i="9"/>
  <c r="FE32" i="9"/>
  <c r="FF32" i="9"/>
  <c r="FG32" i="9"/>
  <c r="FH32" i="9"/>
  <c r="FI32" i="9"/>
  <c r="FJ32" i="9"/>
  <c r="FK32" i="9"/>
  <c r="FL32" i="9"/>
  <c r="FM32" i="9"/>
  <c r="FN32" i="9"/>
  <c r="FO32" i="9"/>
  <c r="FP32" i="9"/>
  <c r="FQ32" i="9"/>
  <c r="FR32" i="9"/>
  <c r="FS32" i="9"/>
  <c r="FT32" i="9"/>
  <c r="FU32" i="9"/>
  <c r="FV32" i="9"/>
  <c r="FW32" i="9"/>
  <c r="FX32" i="9"/>
  <c r="FY32" i="9"/>
  <c r="FZ32" i="9"/>
  <c r="GA32" i="9"/>
  <c r="GB32" i="9"/>
  <c r="GC32" i="9"/>
  <c r="GD32" i="9"/>
  <c r="GE32" i="9"/>
  <c r="GF32" i="9"/>
  <c r="GG32" i="9"/>
  <c r="GH32" i="9"/>
  <c r="GI32" i="9"/>
  <c r="GJ32" i="9"/>
  <c r="GK32" i="9"/>
  <c r="GL32" i="9"/>
  <c r="GM32" i="9"/>
  <c r="GN32" i="9"/>
  <c r="GO32" i="9"/>
  <c r="GP32" i="9"/>
  <c r="GQ32" i="9"/>
  <c r="GR32" i="9"/>
  <c r="GS32" i="9"/>
  <c r="GT32" i="9"/>
  <c r="GU32" i="9"/>
  <c r="GV32" i="9"/>
  <c r="GW32" i="9"/>
  <c r="GX32" i="9"/>
  <c r="GY32" i="9"/>
  <c r="GZ32" i="9"/>
  <c r="HA32" i="9"/>
  <c r="HB32" i="9"/>
  <c r="HC32" i="9"/>
  <c r="HD32" i="9"/>
  <c r="HE32" i="9"/>
  <c r="HF32" i="9"/>
  <c r="HG32" i="9"/>
  <c r="HH32" i="9"/>
  <c r="HI32" i="9"/>
  <c r="HJ32" i="9"/>
  <c r="HK32" i="9"/>
  <c r="HL32" i="9"/>
  <c r="HM32" i="9"/>
  <c r="HN32" i="9"/>
  <c r="HO32" i="9"/>
  <c r="HP32" i="9"/>
  <c r="HQ32" i="9"/>
  <c r="HR32" i="9"/>
  <c r="HS32" i="9"/>
  <c r="HT32" i="9"/>
  <c r="HU32" i="9"/>
  <c r="HV32" i="9"/>
  <c r="HW32" i="9"/>
  <c r="HX32" i="9"/>
  <c r="HY32" i="9"/>
  <c r="HZ32" i="9"/>
  <c r="IA32" i="9"/>
  <c r="IB32" i="9"/>
  <c r="IC32" i="9"/>
  <c r="ID32" i="9"/>
  <c r="IE32" i="9"/>
  <c r="IF32" i="9"/>
  <c r="IG32" i="9"/>
  <c r="IH32" i="9"/>
  <c r="II32" i="9"/>
  <c r="IJ32" i="9"/>
  <c r="IK32" i="9"/>
  <c r="IL32" i="9"/>
  <c r="IM32" i="9"/>
  <c r="IN32" i="9"/>
  <c r="IO32" i="9"/>
  <c r="IP32" i="9"/>
  <c r="IQ32" i="9"/>
  <c r="IR32" i="9"/>
  <c r="IS32" i="9"/>
  <c r="IT32" i="9"/>
  <c r="IU32" i="9"/>
  <c r="IV32" i="9"/>
  <c r="A31" i="9"/>
  <c r="B31" i="9"/>
  <c r="C31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X31" i="9"/>
  <c r="Y31" i="9"/>
  <c r="Z31" i="9"/>
  <c r="AA31" i="9"/>
  <c r="AB31" i="9"/>
  <c r="AC31" i="9"/>
  <c r="AD31" i="9"/>
  <c r="AE31" i="9"/>
  <c r="AF31" i="9"/>
  <c r="AG31" i="9"/>
  <c r="AH31" i="9"/>
  <c r="AI31" i="9"/>
  <c r="AJ31" i="9"/>
  <c r="AK31" i="9"/>
  <c r="AL31" i="9"/>
  <c r="AM31" i="9"/>
  <c r="AN31" i="9"/>
  <c r="AO31" i="9"/>
  <c r="AP31" i="9"/>
  <c r="AQ31" i="9"/>
  <c r="AR31" i="9"/>
  <c r="AS31" i="9"/>
  <c r="AT31" i="9"/>
  <c r="AU31" i="9"/>
  <c r="AV31" i="9"/>
  <c r="AW31" i="9"/>
  <c r="AX31" i="9"/>
  <c r="AY31" i="9"/>
  <c r="AZ31" i="9"/>
  <c r="BA31" i="9"/>
  <c r="BB31" i="9"/>
  <c r="BC31" i="9"/>
  <c r="BD31" i="9"/>
  <c r="BE31" i="9"/>
  <c r="BF31" i="9"/>
  <c r="BG31" i="9"/>
  <c r="BH31" i="9"/>
  <c r="BI31" i="9"/>
  <c r="BJ31" i="9"/>
  <c r="BK31" i="9"/>
  <c r="BL31" i="9"/>
  <c r="BM31" i="9"/>
  <c r="BN31" i="9"/>
  <c r="BO31" i="9"/>
  <c r="BP31" i="9"/>
  <c r="BQ31" i="9"/>
  <c r="BR31" i="9"/>
  <c r="BS31" i="9"/>
  <c r="BT31" i="9"/>
  <c r="BU31" i="9"/>
  <c r="BV31" i="9"/>
  <c r="BW31" i="9"/>
  <c r="BX31" i="9"/>
  <c r="BY31" i="9"/>
  <c r="BZ31" i="9"/>
  <c r="CA31" i="9"/>
  <c r="CB31" i="9"/>
  <c r="CC31" i="9"/>
  <c r="CD31" i="9"/>
  <c r="CE31" i="9"/>
  <c r="CF31" i="9"/>
  <c r="CG31" i="9"/>
  <c r="CH31" i="9"/>
  <c r="CI31" i="9"/>
  <c r="CJ31" i="9"/>
  <c r="CK31" i="9"/>
  <c r="CL31" i="9"/>
  <c r="CM31" i="9"/>
  <c r="CN31" i="9"/>
  <c r="CO31" i="9"/>
  <c r="CP31" i="9"/>
  <c r="CQ31" i="9"/>
  <c r="CR31" i="9"/>
  <c r="CS31" i="9"/>
  <c r="CT31" i="9"/>
  <c r="CU31" i="9"/>
  <c r="CV31" i="9"/>
  <c r="CW31" i="9"/>
  <c r="CX31" i="9"/>
  <c r="CY31" i="9"/>
  <c r="CZ31" i="9"/>
  <c r="DA31" i="9"/>
  <c r="DB31" i="9"/>
  <c r="DC31" i="9"/>
  <c r="DD31" i="9"/>
  <c r="DE31" i="9"/>
  <c r="DF31" i="9"/>
  <c r="DG31" i="9"/>
  <c r="DH31" i="9"/>
  <c r="DI31" i="9"/>
  <c r="DJ31" i="9"/>
  <c r="DK31" i="9"/>
  <c r="DL31" i="9"/>
  <c r="DM31" i="9"/>
  <c r="DN31" i="9"/>
  <c r="DO31" i="9"/>
  <c r="DP31" i="9"/>
  <c r="DQ31" i="9"/>
  <c r="DR31" i="9"/>
  <c r="DS31" i="9"/>
  <c r="DT31" i="9"/>
  <c r="DU31" i="9"/>
  <c r="DV31" i="9"/>
  <c r="DW31" i="9"/>
  <c r="DX31" i="9"/>
  <c r="DY31" i="9"/>
  <c r="DZ31" i="9"/>
  <c r="EA31" i="9"/>
  <c r="EB31" i="9"/>
  <c r="EC31" i="9"/>
  <c r="ED31" i="9"/>
  <c r="EE31" i="9"/>
  <c r="EF31" i="9"/>
  <c r="EG31" i="9"/>
  <c r="EH31" i="9"/>
  <c r="EI31" i="9"/>
  <c r="EJ31" i="9"/>
  <c r="EK31" i="9"/>
  <c r="EL31" i="9"/>
  <c r="EM31" i="9"/>
  <c r="EN31" i="9"/>
  <c r="EO31" i="9"/>
  <c r="EP31" i="9"/>
  <c r="EQ31" i="9"/>
  <c r="ER31" i="9"/>
  <c r="ES31" i="9"/>
  <c r="ET31" i="9"/>
  <c r="EU31" i="9"/>
  <c r="EV31" i="9"/>
  <c r="EW31" i="9"/>
  <c r="EX31" i="9"/>
  <c r="EY31" i="9"/>
  <c r="EZ31" i="9"/>
  <c r="FA31" i="9"/>
  <c r="FB31" i="9"/>
  <c r="FC31" i="9"/>
  <c r="FD31" i="9"/>
  <c r="FE31" i="9"/>
  <c r="FF31" i="9"/>
  <c r="FG31" i="9"/>
  <c r="FH31" i="9"/>
  <c r="FI31" i="9"/>
  <c r="FJ31" i="9"/>
  <c r="FK31" i="9"/>
  <c r="FL31" i="9"/>
  <c r="FM31" i="9"/>
  <c r="FN31" i="9"/>
  <c r="FO31" i="9"/>
  <c r="FP31" i="9"/>
  <c r="FQ31" i="9"/>
  <c r="FR31" i="9"/>
  <c r="FS31" i="9"/>
  <c r="FT31" i="9"/>
  <c r="FU31" i="9"/>
  <c r="FV31" i="9"/>
  <c r="FW31" i="9"/>
  <c r="FX31" i="9"/>
  <c r="FY31" i="9"/>
  <c r="FZ31" i="9"/>
  <c r="GA31" i="9"/>
  <c r="GB31" i="9"/>
  <c r="GC31" i="9"/>
  <c r="GD31" i="9"/>
  <c r="GE31" i="9"/>
  <c r="GF31" i="9"/>
  <c r="GG31" i="9"/>
  <c r="GH31" i="9"/>
  <c r="GI31" i="9"/>
  <c r="GJ31" i="9"/>
  <c r="GK31" i="9"/>
  <c r="GL31" i="9"/>
  <c r="GM31" i="9"/>
  <c r="GN31" i="9"/>
  <c r="GO31" i="9"/>
  <c r="GP31" i="9"/>
  <c r="GQ31" i="9"/>
  <c r="GR31" i="9"/>
  <c r="GS31" i="9"/>
  <c r="GT31" i="9"/>
  <c r="GU31" i="9"/>
  <c r="GV31" i="9"/>
  <c r="GW31" i="9"/>
  <c r="GX31" i="9"/>
  <c r="GY31" i="9"/>
  <c r="GZ31" i="9"/>
  <c r="HA31" i="9"/>
  <c r="HB31" i="9"/>
  <c r="HC31" i="9"/>
  <c r="HD31" i="9"/>
  <c r="HE31" i="9"/>
  <c r="HF31" i="9"/>
  <c r="HG31" i="9"/>
  <c r="HH31" i="9"/>
  <c r="HI31" i="9"/>
  <c r="HJ31" i="9"/>
  <c r="HK31" i="9"/>
  <c r="HL31" i="9"/>
  <c r="HM31" i="9"/>
  <c r="HN31" i="9"/>
  <c r="HO31" i="9"/>
  <c r="HP31" i="9"/>
  <c r="HQ31" i="9"/>
  <c r="HR31" i="9"/>
  <c r="HS31" i="9"/>
  <c r="HT31" i="9"/>
  <c r="HU31" i="9"/>
  <c r="HV31" i="9"/>
  <c r="HW31" i="9"/>
  <c r="HX31" i="9"/>
  <c r="HY31" i="9"/>
  <c r="HZ31" i="9"/>
  <c r="IA31" i="9"/>
  <c r="IB31" i="9"/>
  <c r="IC31" i="9"/>
  <c r="ID31" i="9"/>
  <c r="IE31" i="9"/>
  <c r="IF31" i="9"/>
  <c r="IG31" i="9"/>
  <c r="IH31" i="9"/>
  <c r="II31" i="9"/>
  <c r="IJ31" i="9"/>
  <c r="IK31" i="9"/>
  <c r="IL31" i="9"/>
  <c r="IM31" i="9"/>
  <c r="IN31" i="9"/>
  <c r="IO31" i="9"/>
  <c r="IP31" i="9"/>
  <c r="IQ31" i="9"/>
  <c r="IR31" i="9"/>
  <c r="IS31" i="9"/>
  <c r="IT31" i="9"/>
  <c r="IU31" i="9"/>
  <c r="IV31" i="9"/>
  <c r="A30" i="9"/>
  <c r="B30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AI30" i="9"/>
  <c r="AJ30" i="9"/>
  <c r="AK30" i="9"/>
  <c r="AL30" i="9"/>
  <c r="AM30" i="9"/>
  <c r="AN30" i="9"/>
  <c r="AO30" i="9"/>
  <c r="AP30" i="9"/>
  <c r="AQ30" i="9"/>
  <c r="AR30" i="9"/>
  <c r="AS30" i="9"/>
  <c r="AT30" i="9"/>
  <c r="AU30" i="9"/>
  <c r="AV30" i="9"/>
  <c r="AW30" i="9"/>
  <c r="AX30" i="9"/>
  <c r="AY30" i="9"/>
  <c r="AZ30" i="9"/>
  <c r="BA30" i="9"/>
  <c r="BB30" i="9"/>
  <c r="BC30" i="9"/>
  <c r="BD30" i="9"/>
  <c r="BE30" i="9"/>
  <c r="BF30" i="9"/>
  <c r="BG30" i="9"/>
  <c r="BH30" i="9"/>
  <c r="BI30" i="9"/>
  <c r="BJ30" i="9"/>
  <c r="BK30" i="9"/>
  <c r="BL30" i="9"/>
  <c r="BM30" i="9"/>
  <c r="BN30" i="9"/>
  <c r="BO30" i="9"/>
  <c r="BP30" i="9"/>
  <c r="BQ30" i="9"/>
  <c r="BR30" i="9"/>
  <c r="BS30" i="9"/>
  <c r="BT30" i="9"/>
  <c r="BU30" i="9"/>
  <c r="BV30" i="9"/>
  <c r="BW30" i="9"/>
  <c r="BX30" i="9"/>
  <c r="BY30" i="9"/>
  <c r="BZ30" i="9"/>
  <c r="CA30" i="9"/>
  <c r="CB30" i="9"/>
  <c r="CC30" i="9"/>
  <c r="CD30" i="9"/>
  <c r="CE30" i="9"/>
  <c r="CF30" i="9"/>
  <c r="CG30" i="9"/>
  <c r="CH30" i="9"/>
  <c r="CI30" i="9"/>
  <c r="CJ30" i="9"/>
  <c r="CK30" i="9"/>
  <c r="CL30" i="9"/>
  <c r="CM30" i="9"/>
  <c r="CN30" i="9"/>
  <c r="CO30" i="9"/>
  <c r="CP30" i="9"/>
  <c r="CQ30" i="9"/>
  <c r="CR30" i="9"/>
  <c r="CS30" i="9"/>
  <c r="CT30" i="9"/>
  <c r="CU30" i="9"/>
  <c r="CV30" i="9"/>
  <c r="CW30" i="9"/>
  <c r="CX30" i="9"/>
  <c r="CY30" i="9"/>
  <c r="CZ30" i="9"/>
  <c r="DA30" i="9"/>
  <c r="DB30" i="9"/>
  <c r="DC30" i="9"/>
  <c r="DD30" i="9"/>
  <c r="DE30" i="9"/>
  <c r="DF30" i="9"/>
  <c r="DG30" i="9"/>
  <c r="DH30" i="9"/>
  <c r="DI30" i="9"/>
  <c r="DJ30" i="9"/>
  <c r="DK30" i="9"/>
  <c r="DL30" i="9"/>
  <c r="DM30" i="9"/>
  <c r="DN30" i="9"/>
  <c r="DO30" i="9"/>
  <c r="DP30" i="9"/>
  <c r="DQ30" i="9"/>
  <c r="DR30" i="9"/>
  <c r="DS30" i="9"/>
  <c r="DT30" i="9"/>
  <c r="DU30" i="9"/>
  <c r="DV30" i="9"/>
  <c r="DW30" i="9"/>
  <c r="DX30" i="9"/>
  <c r="DY30" i="9"/>
  <c r="DZ30" i="9"/>
  <c r="EA30" i="9"/>
  <c r="EB30" i="9"/>
  <c r="EC30" i="9"/>
  <c r="ED30" i="9"/>
  <c r="EE30" i="9"/>
  <c r="EF30" i="9"/>
  <c r="EG30" i="9"/>
  <c r="EH30" i="9"/>
  <c r="EI30" i="9"/>
  <c r="EJ30" i="9"/>
  <c r="EK30" i="9"/>
  <c r="EL30" i="9"/>
  <c r="EM30" i="9"/>
  <c r="EN30" i="9"/>
  <c r="EO30" i="9"/>
  <c r="EP30" i="9"/>
  <c r="EQ30" i="9"/>
  <c r="ER30" i="9"/>
  <c r="ES30" i="9"/>
  <c r="ET30" i="9"/>
  <c r="EU30" i="9"/>
  <c r="EV30" i="9"/>
  <c r="EW30" i="9"/>
  <c r="EX30" i="9"/>
  <c r="EY30" i="9"/>
  <c r="EZ30" i="9"/>
  <c r="FA30" i="9"/>
  <c r="FB30" i="9"/>
  <c r="FC30" i="9"/>
  <c r="FD30" i="9"/>
  <c r="FE30" i="9"/>
  <c r="FF30" i="9"/>
  <c r="FG30" i="9"/>
  <c r="FH30" i="9"/>
  <c r="FI30" i="9"/>
  <c r="FJ30" i="9"/>
  <c r="FK30" i="9"/>
  <c r="FL30" i="9"/>
  <c r="FM30" i="9"/>
  <c r="FN30" i="9"/>
  <c r="FO30" i="9"/>
  <c r="FP30" i="9"/>
  <c r="FQ30" i="9"/>
  <c r="FR30" i="9"/>
  <c r="FS30" i="9"/>
  <c r="FT30" i="9"/>
  <c r="FU30" i="9"/>
  <c r="FV30" i="9"/>
  <c r="FW30" i="9"/>
  <c r="FX30" i="9"/>
  <c r="FY30" i="9"/>
  <c r="FZ30" i="9"/>
  <c r="GA30" i="9"/>
  <c r="GB30" i="9"/>
  <c r="GC30" i="9"/>
  <c r="GD30" i="9"/>
  <c r="GE30" i="9"/>
  <c r="GF30" i="9"/>
  <c r="GG30" i="9"/>
  <c r="GH30" i="9"/>
  <c r="GI30" i="9"/>
  <c r="GJ30" i="9"/>
  <c r="GK30" i="9"/>
  <c r="GL30" i="9"/>
  <c r="GM30" i="9"/>
  <c r="GN30" i="9"/>
  <c r="GO30" i="9"/>
  <c r="GP30" i="9"/>
  <c r="GQ30" i="9"/>
  <c r="GR30" i="9"/>
  <c r="GS30" i="9"/>
  <c r="GT30" i="9"/>
  <c r="GU30" i="9"/>
  <c r="GV30" i="9"/>
  <c r="GW30" i="9"/>
  <c r="GX30" i="9"/>
  <c r="GY30" i="9"/>
  <c r="GZ30" i="9"/>
  <c r="HA30" i="9"/>
  <c r="HB30" i="9"/>
  <c r="HC30" i="9"/>
  <c r="HD30" i="9"/>
  <c r="HE30" i="9"/>
  <c r="HF30" i="9"/>
  <c r="HG30" i="9"/>
  <c r="HH30" i="9"/>
  <c r="HI30" i="9"/>
  <c r="HJ30" i="9"/>
  <c r="HK30" i="9"/>
  <c r="HL30" i="9"/>
  <c r="HM30" i="9"/>
  <c r="HN30" i="9"/>
  <c r="HO30" i="9"/>
  <c r="HP30" i="9"/>
  <c r="HQ30" i="9"/>
  <c r="HR30" i="9"/>
  <c r="HS30" i="9"/>
  <c r="HT30" i="9"/>
  <c r="HU30" i="9"/>
  <c r="HV30" i="9"/>
  <c r="HW30" i="9"/>
  <c r="HX30" i="9"/>
  <c r="HY30" i="9"/>
  <c r="HZ30" i="9"/>
  <c r="IA30" i="9"/>
  <c r="IB30" i="9"/>
  <c r="IC30" i="9"/>
  <c r="ID30" i="9"/>
  <c r="IE30" i="9"/>
  <c r="IF30" i="9"/>
  <c r="IG30" i="9"/>
  <c r="IH30" i="9"/>
  <c r="II30" i="9"/>
  <c r="IJ30" i="9"/>
  <c r="IK30" i="9"/>
  <c r="IL30" i="9"/>
  <c r="IM30" i="9"/>
  <c r="IN30" i="9"/>
  <c r="IO30" i="9"/>
  <c r="IP30" i="9"/>
  <c r="IQ30" i="9"/>
  <c r="IR30" i="9"/>
  <c r="IS30" i="9"/>
  <c r="IT30" i="9"/>
  <c r="IU30" i="9"/>
  <c r="IV30" i="9"/>
  <c r="A29" i="9"/>
  <c r="B29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AI29" i="9"/>
  <c r="AJ29" i="9"/>
  <c r="AK29" i="9"/>
  <c r="AL29" i="9"/>
  <c r="AM29" i="9"/>
  <c r="AN29" i="9"/>
  <c r="AO29" i="9"/>
  <c r="AP29" i="9"/>
  <c r="AQ29" i="9"/>
  <c r="AR29" i="9"/>
  <c r="AS29" i="9"/>
  <c r="AT29" i="9"/>
  <c r="AU29" i="9"/>
  <c r="AV29" i="9"/>
  <c r="AW29" i="9"/>
  <c r="AX29" i="9"/>
  <c r="AY29" i="9"/>
  <c r="AZ29" i="9"/>
  <c r="BA29" i="9"/>
  <c r="BB29" i="9"/>
  <c r="BC29" i="9"/>
  <c r="BD29" i="9"/>
  <c r="BE29" i="9"/>
  <c r="BF29" i="9"/>
  <c r="BG29" i="9"/>
  <c r="BH29" i="9"/>
  <c r="BI29" i="9"/>
  <c r="BJ29" i="9"/>
  <c r="BK29" i="9"/>
  <c r="BL29" i="9"/>
  <c r="BM29" i="9"/>
  <c r="BN29" i="9"/>
  <c r="BO29" i="9"/>
  <c r="BP29" i="9"/>
  <c r="BQ29" i="9"/>
  <c r="BR29" i="9"/>
  <c r="BS29" i="9"/>
  <c r="BT29" i="9"/>
  <c r="BU29" i="9"/>
  <c r="BV29" i="9"/>
  <c r="BW29" i="9"/>
  <c r="BX29" i="9"/>
  <c r="BY29" i="9"/>
  <c r="BZ29" i="9"/>
  <c r="CA29" i="9"/>
  <c r="CB29" i="9"/>
  <c r="CC29" i="9"/>
  <c r="CD29" i="9"/>
  <c r="CE29" i="9"/>
  <c r="CF29" i="9"/>
  <c r="CG29" i="9"/>
  <c r="CH29" i="9"/>
  <c r="CI29" i="9"/>
  <c r="CJ29" i="9"/>
  <c r="CK29" i="9"/>
  <c r="CL29" i="9"/>
  <c r="CM29" i="9"/>
  <c r="CN29" i="9"/>
  <c r="CO29" i="9"/>
  <c r="CP29" i="9"/>
  <c r="CQ29" i="9"/>
  <c r="CR29" i="9"/>
  <c r="CS29" i="9"/>
  <c r="CT29" i="9"/>
  <c r="CU29" i="9"/>
  <c r="CV29" i="9"/>
  <c r="CW29" i="9"/>
  <c r="CX29" i="9"/>
  <c r="CY29" i="9"/>
  <c r="CZ29" i="9"/>
  <c r="DA29" i="9"/>
  <c r="DB29" i="9"/>
  <c r="DC29" i="9"/>
  <c r="DD29" i="9"/>
  <c r="DE29" i="9"/>
  <c r="DF29" i="9"/>
  <c r="DG29" i="9"/>
  <c r="DH29" i="9"/>
  <c r="DI29" i="9"/>
  <c r="DJ29" i="9"/>
  <c r="DK29" i="9"/>
  <c r="DL29" i="9"/>
  <c r="DM29" i="9"/>
  <c r="DN29" i="9"/>
  <c r="DO29" i="9"/>
  <c r="DP29" i="9"/>
  <c r="DQ29" i="9"/>
  <c r="DR29" i="9"/>
  <c r="DS29" i="9"/>
  <c r="DT29" i="9"/>
  <c r="DU29" i="9"/>
  <c r="DV29" i="9"/>
  <c r="DW29" i="9"/>
  <c r="DX29" i="9"/>
  <c r="DY29" i="9"/>
  <c r="DZ29" i="9"/>
  <c r="EA29" i="9"/>
  <c r="EB29" i="9"/>
  <c r="EC29" i="9"/>
  <c r="ED29" i="9"/>
  <c r="EE29" i="9"/>
  <c r="EF29" i="9"/>
  <c r="EG29" i="9"/>
  <c r="EH29" i="9"/>
  <c r="EI29" i="9"/>
  <c r="EJ29" i="9"/>
  <c r="EK29" i="9"/>
  <c r="EL29" i="9"/>
  <c r="EM29" i="9"/>
  <c r="EN29" i="9"/>
  <c r="EO29" i="9"/>
  <c r="EP29" i="9"/>
  <c r="EQ29" i="9"/>
  <c r="ER29" i="9"/>
  <c r="ES29" i="9"/>
  <c r="ET29" i="9"/>
  <c r="EU29" i="9"/>
  <c r="EV29" i="9"/>
  <c r="EW29" i="9"/>
  <c r="EX29" i="9"/>
  <c r="EY29" i="9"/>
  <c r="EZ29" i="9"/>
  <c r="FA29" i="9"/>
  <c r="FB29" i="9"/>
  <c r="FC29" i="9"/>
  <c r="FD29" i="9"/>
  <c r="FE29" i="9"/>
  <c r="FF29" i="9"/>
  <c r="FG29" i="9"/>
  <c r="FH29" i="9"/>
  <c r="FI29" i="9"/>
  <c r="FJ29" i="9"/>
  <c r="FK29" i="9"/>
  <c r="FL29" i="9"/>
  <c r="FM29" i="9"/>
  <c r="FN29" i="9"/>
  <c r="FO29" i="9"/>
  <c r="FP29" i="9"/>
  <c r="FQ29" i="9"/>
  <c r="FR29" i="9"/>
  <c r="FS29" i="9"/>
  <c r="FT29" i="9"/>
  <c r="FU29" i="9"/>
  <c r="FV29" i="9"/>
  <c r="FW29" i="9"/>
  <c r="FX29" i="9"/>
  <c r="FY29" i="9"/>
  <c r="FZ29" i="9"/>
  <c r="GA29" i="9"/>
  <c r="GB29" i="9"/>
  <c r="GC29" i="9"/>
  <c r="GD29" i="9"/>
  <c r="GE29" i="9"/>
  <c r="GF29" i="9"/>
  <c r="GG29" i="9"/>
  <c r="GH29" i="9"/>
  <c r="GI29" i="9"/>
  <c r="GJ29" i="9"/>
  <c r="GK29" i="9"/>
  <c r="GL29" i="9"/>
  <c r="GM29" i="9"/>
  <c r="GN29" i="9"/>
  <c r="GO29" i="9"/>
  <c r="GP29" i="9"/>
  <c r="GQ29" i="9"/>
  <c r="GR29" i="9"/>
  <c r="GS29" i="9"/>
  <c r="GT29" i="9"/>
  <c r="GU29" i="9"/>
  <c r="GV29" i="9"/>
  <c r="GW29" i="9"/>
  <c r="GX29" i="9"/>
  <c r="GY29" i="9"/>
  <c r="GZ29" i="9"/>
  <c r="HA29" i="9"/>
  <c r="HB29" i="9"/>
  <c r="HC29" i="9"/>
  <c r="HD29" i="9"/>
  <c r="HE29" i="9"/>
  <c r="HF29" i="9"/>
  <c r="HG29" i="9"/>
  <c r="HH29" i="9"/>
  <c r="HI29" i="9"/>
  <c r="HJ29" i="9"/>
  <c r="HK29" i="9"/>
  <c r="HL29" i="9"/>
  <c r="HM29" i="9"/>
  <c r="HN29" i="9"/>
  <c r="HO29" i="9"/>
  <c r="HP29" i="9"/>
  <c r="HQ29" i="9"/>
  <c r="HR29" i="9"/>
  <c r="HS29" i="9"/>
  <c r="HT29" i="9"/>
  <c r="HU29" i="9"/>
  <c r="HV29" i="9"/>
  <c r="HW29" i="9"/>
  <c r="HX29" i="9"/>
  <c r="HY29" i="9"/>
  <c r="HZ29" i="9"/>
  <c r="IA29" i="9"/>
  <c r="IB29" i="9"/>
  <c r="IC29" i="9"/>
  <c r="ID29" i="9"/>
  <c r="IE29" i="9"/>
  <c r="IF29" i="9"/>
  <c r="IG29" i="9"/>
  <c r="IH29" i="9"/>
  <c r="II29" i="9"/>
  <c r="IJ29" i="9"/>
  <c r="IK29" i="9"/>
  <c r="IL29" i="9"/>
  <c r="IM29" i="9"/>
  <c r="IN29" i="9"/>
  <c r="IO29" i="9"/>
  <c r="IP29" i="9"/>
  <c r="IQ29" i="9"/>
  <c r="IR29" i="9"/>
  <c r="IS29" i="9"/>
  <c r="IT29" i="9"/>
  <c r="IU29" i="9"/>
  <c r="IV29" i="9"/>
  <c r="A28" i="9"/>
  <c r="B28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AI28" i="9"/>
  <c r="AJ28" i="9"/>
  <c r="AK28" i="9"/>
  <c r="AL28" i="9"/>
  <c r="AM28" i="9"/>
  <c r="AN28" i="9"/>
  <c r="AO28" i="9"/>
  <c r="AP28" i="9"/>
  <c r="AQ28" i="9"/>
  <c r="AR28" i="9"/>
  <c r="AS28" i="9"/>
  <c r="AT28" i="9"/>
  <c r="AU28" i="9"/>
  <c r="AV28" i="9"/>
  <c r="AW28" i="9"/>
  <c r="AX28" i="9"/>
  <c r="AY28" i="9"/>
  <c r="AZ28" i="9"/>
  <c r="BA28" i="9"/>
  <c r="BB28" i="9"/>
  <c r="BC28" i="9"/>
  <c r="BD28" i="9"/>
  <c r="BE28" i="9"/>
  <c r="BF28" i="9"/>
  <c r="BG28" i="9"/>
  <c r="BH28" i="9"/>
  <c r="BI28" i="9"/>
  <c r="BJ28" i="9"/>
  <c r="BK28" i="9"/>
  <c r="BL28" i="9"/>
  <c r="BM28" i="9"/>
  <c r="BN28" i="9"/>
  <c r="BO28" i="9"/>
  <c r="BP28" i="9"/>
  <c r="BQ28" i="9"/>
  <c r="BR28" i="9"/>
  <c r="BS28" i="9"/>
  <c r="BT28" i="9"/>
  <c r="BU28" i="9"/>
  <c r="BV28" i="9"/>
  <c r="BW28" i="9"/>
  <c r="BX28" i="9"/>
  <c r="BY28" i="9"/>
  <c r="BZ28" i="9"/>
  <c r="CA28" i="9"/>
  <c r="CB28" i="9"/>
  <c r="CC28" i="9"/>
  <c r="CD28" i="9"/>
  <c r="CE28" i="9"/>
  <c r="CF28" i="9"/>
  <c r="CG28" i="9"/>
  <c r="CH28" i="9"/>
  <c r="CI28" i="9"/>
  <c r="CJ28" i="9"/>
  <c r="CK28" i="9"/>
  <c r="CL28" i="9"/>
  <c r="CM28" i="9"/>
  <c r="CN28" i="9"/>
  <c r="CO28" i="9"/>
  <c r="CP28" i="9"/>
  <c r="CQ28" i="9"/>
  <c r="CR28" i="9"/>
  <c r="CS28" i="9"/>
  <c r="CT28" i="9"/>
  <c r="CU28" i="9"/>
  <c r="CV28" i="9"/>
  <c r="CW28" i="9"/>
  <c r="CX28" i="9"/>
  <c r="CY28" i="9"/>
  <c r="CZ28" i="9"/>
  <c r="DA28" i="9"/>
  <c r="DB28" i="9"/>
  <c r="DC28" i="9"/>
  <c r="DD28" i="9"/>
  <c r="DE28" i="9"/>
  <c r="DF28" i="9"/>
  <c r="DG28" i="9"/>
  <c r="DH28" i="9"/>
  <c r="DI28" i="9"/>
  <c r="DJ28" i="9"/>
  <c r="DK28" i="9"/>
  <c r="DL28" i="9"/>
  <c r="DM28" i="9"/>
  <c r="DN28" i="9"/>
  <c r="DO28" i="9"/>
  <c r="DP28" i="9"/>
  <c r="DQ28" i="9"/>
  <c r="DR28" i="9"/>
  <c r="DS28" i="9"/>
  <c r="DT28" i="9"/>
  <c r="DU28" i="9"/>
  <c r="DV28" i="9"/>
  <c r="DW28" i="9"/>
  <c r="DX28" i="9"/>
  <c r="DY28" i="9"/>
  <c r="DZ28" i="9"/>
  <c r="EA28" i="9"/>
  <c r="EB28" i="9"/>
  <c r="EC28" i="9"/>
  <c r="ED28" i="9"/>
  <c r="EE28" i="9"/>
  <c r="EF28" i="9"/>
  <c r="EG28" i="9"/>
  <c r="EH28" i="9"/>
  <c r="EI28" i="9"/>
  <c r="EJ28" i="9"/>
  <c r="EK28" i="9"/>
  <c r="EL28" i="9"/>
  <c r="EM28" i="9"/>
  <c r="EN28" i="9"/>
  <c r="EO28" i="9"/>
  <c r="EP28" i="9"/>
  <c r="EQ28" i="9"/>
  <c r="ER28" i="9"/>
  <c r="ES28" i="9"/>
  <c r="ET28" i="9"/>
  <c r="EU28" i="9"/>
  <c r="EV28" i="9"/>
  <c r="EW28" i="9"/>
  <c r="EX28" i="9"/>
  <c r="EY28" i="9"/>
  <c r="EZ28" i="9"/>
  <c r="FA28" i="9"/>
  <c r="FB28" i="9"/>
  <c r="FC28" i="9"/>
  <c r="FD28" i="9"/>
  <c r="FE28" i="9"/>
  <c r="FF28" i="9"/>
  <c r="FG28" i="9"/>
  <c r="FH28" i="9"/>
  <c r="FI28" i="9"/>
  <c r="FJ28" i="9"/>
  <c r="FK28" i="9"/>
  <c r="FL28" i="9"/>
  <c r="FM28" i="9"/>
  <c r="FN28" i="9"/>
  <c r="FO28" i="9"/>
  <c r="FP28" i="9"/>
  <c r="FQ28" i="9"/>
  <c r="FR28" i="9"/>
  <c r="FS28" i="9"/>
  <c r="FT28" i="9"/>
  <c r="FU28" i="9"/>
  <c r="FV28" i="9"/>
  <c r="FW28" i="9"/>
  <c r="FX28" i="9"/>
  <c r="FY28" i="9"/>
  <c r="FZ28" i="9"/>
  <c r="GA28" i="9"/>
  <c r="GB28" i="9"/>
  <c r="GC28" i="9"/>
  <c r="GD28" i="9"/>
  <c r="GE28" i="9"/>
  <c r="GF28" i="9"/>
  <c r="GG28" i="9"/>
  <c r="GH28" i="9"/>
  <c r="GI28" i="9"/>
  <c r="GJ28" i="9"/>
  <c r="GK28" i="9"/>
  <c r="GL28" i="9"/>
  <c r="GM28" i="9"/>
  <c r="GN28" i="9"/>
  <c r="GO28" i="9"/>
  <c r="GP28" i="9"/>
  <c r="GQ28" i="9"/>
  <c r="GR28" i="9"/>
  <c r="GS28" i="9"/>
  <c r="GT28" i="9"/>
  <c r="GU28" i="9"/>
  <c r="GV28" i="9"/>
  <c r="GW28" i="9"/>
  <c r="GX28" i="9"/>
  <c r="GY28" i="9"/>
  <c r="GZ28" i="9"/>
  <c r="HA28" i="9"/>
  <c r="HB28" i="9"/>
  <c r="HC28" i="9"/>
  <c r="HD28" i="9"/>
  <c r="HE28" i="9"/>
  <c r="HF28" i="9"/>
  <c r="HG28" i="9"/>
  <c r="HH28" i="9"/>
  <c r="HI28" i="9"/>
  <c r="HJ28" i="9"/>
  <c r="HK28" i="9"/>
  <c r="HL28" i="9"/>
  <c r="HM28" i="9"/>
  <c r="HN28" i="9"/>
  <c r="HO28" i="9"/>
  <c r="HP28" i="9"/>
  <c r="HQ28" i="9"/>
  <c r="HR28" i="9"/>
  <c r="HS28" i="9"/>
  <c r="HT28" i="9"/>
  <c r="HU28" i="9"/>
  <c r="HV28" i="9"/>
  <c r="HW28" i="9"/>
  <c r="HX28" i="9"/>
  <c r="HY28" i="9"/>
  <c r="HZ28" i="9"/>
  <c r="IA28" i="9"/>
  <c r="IB28" i="9"/>
  <c r="IC28" i="9"/>
  <c r="ID28" i="9"/>
  <c r="IE28" i="9"/>
  <c r="IF28" i="9"/>
  <c r="IG28" i="9"/>
  <c r="IH28" i="9"/>
  <c r="II28" i="9"/>
  <c r="IJ28" i="9"/>
  <c r="IK28" i="9"/>
  <c r="IL28" i="9"/>
  <c r="IM28" i="9"/>
  <c r="IN28" i="9"/>
  <c r="IO28" i="9"/>
  <c r="IP28" i="9"/>
  <c r="IQ28" i="9"/>
  <c r="IR28" i="9"/>
  <c r="IS28" i="9"/>
  <c r="IT28" i="9"/>
  <c r="IU28" i="9"/>
  <c r="IV28" i="9"/>
  <c r="A27" i="9"/>
  <c r="B27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AI27" i="9"/>
  <c r="AJ27" i="9"/>
  <c r="AK27" i="9"/>
  <c r="AL27" i="9"/>
  <c r="AM27" i="9"/>
  <c r="AN27" i="9"/>
  <c r="AO27" i="9"/>
  <c r="AP27" i="9"/>
  <c r="AQ27" i="9"/>
  <c r="AR27" i="9"/>
  <c r="AS27" i="9"/>
  <c r="AT27" i="9"/>
  <c r="AU27" i="9"/>
  <c r="AV27" i="9"/>
  <c r="AW27" i="9"/>
  <c r="AX27" i="9"/>
  <c r="AY27" i="9"/>
  <c r="AZ27" i="9"/>
  <c r="BA27" i="9"/>
  <c r="BB27" i="9"/>
  <c r="BC27" i="9"/>
  <c r="BD27" i="9"/>
  <c r="BE27" i="9"/>
  <c r="BF27" i="9"/>
  <c r="BG27" i="9"/>
  <c r="BH27" i="9"/>
  <c r="BI27" i="9"/>
  <c r="BJ27" i="9"/>
  <c r="BK27" i="9"/>
  <c r="BL27" i="9"/>
  <c r="BM27" i="9"/>
  <c r="BN27" i="9"/>
  <c r="BO27" i="9"/>
  <c r="BP27" i="9"/>
  <c r="BQ27" i="9"/>
  <c r="BR27" i="9"/>
  <c r="BS27" i="9"/>
  <c r="BT27" i="9"/>
  <c r="BU27" i="9"/>
  <c r="BV27" i="9"/>
  <c r="BW27" i="9"/>
  <c r="BX27" i="9"/>
  <c r="BY27" i="9"/>
  <c r="BZ27" i="9"/>
  <c r="CA27" i="9"/>
  <c r="CB27" i="9"/>
  <c r="CC27" i="9"/>
  <c r="CD27" i="9"/>
  <c r="CE27" i="9"/>
  <c r="CF27" i="9"/>
  <c r="CG27" i="9"/>
  <c r="CH27" i="9"/>
  <c r="CI27" i="9"/>
  <c r="CJ27" i="9"/>
  <c r="CK27" i="9"/>
  <c r="CL27" i="9"/>
  <c r="CM27" i="9"/>
  <c r="CN27" i="9"/>
  <c r="CO27" i="9"/>
  <c r="CP27" i="9"/>
  <c r="CQ27" i="9"/>
  <c r="CR27" i="9"/>
  <c r="CS27" i="9"/>
  <c r="CT27" i="9"/>
  <c r="CU27" i="9"/>
  <c r="CV27" i="9"/>
  <c r="CW27" i="9"/>
  <c r="CX27" i="9"/>
  <c r="CY27" i="9"/>
  <c r="CZ27" i="9"/>
  <c r="DA27" i="9"/>
  <c r="DB27" i="9"/>
  <c r="DC27" i="9"/>
  <c r="DD27" i="9"/>
  <c r="DE27" i="9"/>
  <c r="DF27" i="9"/>
  <c r="DG27" i="9"/>
  <c r="DH27" i="9"/>
  <c r="DI27" i="9"/>
  <c r="DJ27" i="9"/>
  <c r="DK27" i="9"/>
  <c r="DL27" i="9"/>
  <c r="DM27" i="9"/>
  <c r="DN27" i="9"/>
  <c r="DO27" i="9"/>
  <c r="DP27" i="9"/>
  <c r="DQ27" i="9"/>
  <c r="DR27" i="9"/>
  <c r="DS27" i="9"/>
  <c r="DT27" i="9"/>
  <c r="DU27" i="9"/>
  <c r="DV27" i="9"/>
  <c r="DW27" i="9"/>
  <c r="DX27" i="9"/>
  <c r="DY27" i="9"/>
  <c r="DZ27" i="9"/>
  <c r="EA27" i="9"/>
  <c r="EB27" i="9"/>
  <c r="EC27" i="9"/>
  <c r="ED27" i="9"/>
  <c r="EE27" i="9"/>
  <c r="EF27" i="9"/>
  <c r="EG27" i="9"/>
  <c r="EH27" i="9"/>
  <c r="EI27" i="9"/>
  <c r="EJ27" i="9"/>
  <c r="EK27" i="9"/>
  <c r="EL27" i="9"/>
  <c r="EM27" i="9"/>
  <c r="EN27" i="9"/>
  <c r="EO27" i="9"/>
  <c r="EP27" i="9"/>
  <c r="EQ27" i="9"/>
  <c r="ER27" i="9"/>
  <c r="ES27" i="9"/>
  <c r="ET27" i="9"/>
  <c r="EU27" i="9"/>
  <c r="EV27" i="9"/>
  <c r="EW27" i="9"/>
  <c r="EX27" i="9"/>
  <c r="EY27" i="9"/>
  <c r="EZ27" i="9"/>
  <c r="FA27" i="9"/>
  <c r="FB27" i="9"/>
  <c r="FC27" i="9"/>
  <c r="FD27" i="9"/>
  <c r="FE27" i="9"/>
  <c r="FF27" i="9"/>
  <c r="FG27" i="9"/>
  <c r="FH27" i="9"/>
  <c r="FI27" i="9"/>
  <c r="FJ27" i="9"/>
  <c r="FK27" i="9"/>
  <c r="FL27" i="9"/>
  <c r="FM27" i="9"/>
  <c r="FN27" i="9"/>
  <c r="FO27" i="9"/>
  <c r="FP27" i="9"/>
  <c r="FQ27" i="9"/>
  <c r="FR27" i="9"/>
  <c r="FS27" i="9"/>
  <c r="FT27" i="9"/>
  <c r="FU27" i="9"/>
  <c r="FV27" i="9"/>
  <c r="FW27" i="9"/>
  <c r="FX27" i="9"/>
  <c r="FY27" i="9"/>
  <c r="FZ27" i="9"/>
  <c r="GA27" i="9"/>
  <c r="GB27" i="9"/>
  <c r="GC27" i="9"/>
  <c r="GD27" i="9"/>
  <c r="GE27" i="9"/>
  <c r="GF27" i="9"/>
  <c r="GG27" i="9"/>
  <c r="GH27" i="9"/>
  <c r="GI27" i="9"/>
  <c r="GJ27" i="9"/>
  <c r="GK27" i="9"/>
  <c r="GL27" i="9"/>
  <c r="GM27" i="9"/>
  <c r="GN27" i="9"/>
  <c r="GO27" i="9"/>
  <c r="GP27" i="9"/>
  <c r="GQ27" i="9"/>
  <c r="GR27" i="9"/>
  <c r="GS27" i="9"/>
  <c r="GT27" i="9"/>
  <c r="GU27" i="9"/>
  <c r="GV27" i="9"/>
  <c r="GW27" i="9"/>
  <c r="GX27" i="9"/>
  <c r="GY27" i="9"/>
  <c r="GZ27" i="9"/>
  <c r="HA27" i="9"/>
  <c r="HB27" i="9"/>
  <c r="HC27" i="9"/>
  <c r="HD27" i="9"/>
  <c r="HE27" i="9"/>
  <c r="HF27" i="9"/>
  <c r="HG27" i="9"/>
  <c r="HH27" i="9"/>
  <c r="HI27" i="9"/>
  <c r="HJ27" i="9"/>
  <c r="HK27" i="9"/>
  <c r="HL27" i="9"/>
  <c r="HM27" i="9"/>
  <c r="HN27" i="9"/>
  <c r="HO27" i="9"/>
  <c r="HP27" i="9"/>
  <c r="HQ27" i="9"/>
  <c r="HR27" i="9"/>
  <c r="HS27" i="9"/>
  <c r="HT27" i="9"/>
  <c r="HU27" i="9"/>
  <c r="HV27" i="9"/>
  <c r="HW27" i="9"/>
  <c r="HX27" i="9"/>
  <c r="HY27" i="9"/>
  <c r="HZ27" i="9"/>
  <c r="IA27" i="9"/>
  <c r="IB27" i="9"/>
  <c r="IC27" i="9"/>
  <c r="ID27" i="9"/>
  <c r="IE27" i="9"/>
  <c r="IF27" i="9"/>
  <c r="IG27" i="9"/>
  <c r="IH27" i="9"/>
  <c r="II27" i="9"/>
  <c r="IJ27" i="9"/>
  <c r="IK27" i="9"/>
  <c r="IL27" i="9"/>
  <c r="IM27" i="9"/>
  <c r="IN27" i="9"/>
  <c r="IO27" i="9"/>
  <c r="IP27" i="9"/>
  <c r="IQ27" i="9"/>
  <c r="IR27" i="9"/>
  <c r="IS27" i="9"/>
  <c r="IT27" i="9"/>
  <c r="IU27" i="9"/>
  <c r="IV27" i="9"/>
  <c r="A26" i="9"/>
  <c r="B26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N26" i="9"/>
  <c r="AO26" i="9"/>
  <c r="AP26" i="9"/>
  <c r="AQ26" i="9"/>
  <c r="AR26" i="9"/>
  <c r="AS26" i="9"/>
  <c r="AT26" i="9"/>
  <c r="AU26" i="9"/>
  <c r="AV26" i="9"/>
  <c r="AW26" i="9"/>
  <c r="AX26" i="9"/>
  <c r="AY26" i="9"/>
  <c r="AZ26" i="9"/>
  <c r="BA26" i="9"/>
  <c r="BB26" i="9"/>
  <c r="BC26" i="9"/>
  <c r="BD26" i="9"/>
  <c r="BE26" i="9"/>
  <c r="BF26" i="9"/>
  <c r="BG26" i="9"/>
  <c r="BH26" i="9"/>
  <c r="BI26" i="9"/>
  <c r="BJ26" i="9"/>
  <c r="BK26" i="9"/>
  <c r="BL26" i="9"/>
  <c r="BM26" i="9"/>
  <c r="BN26" i="9"/>
  <c r="BO26" i="9"/>
  <c r="BP26" i="9"/>
  <c r="BQ26" i="9"/>
  <c r="BR26" i="9"/>
  <c r="BS26" i="9"/>
  <c r="BT26" i="9"/>
  <c r="BU26" i="9"/>
  <c r="BV26" i="9"/>
  <c r="BW26" i="9"/>
  <c r="BX26" i="9"/>
  <c r="BY26" i="9"/>
  <c r="BZ26" i="9"/>
  <c r="CA26" i="9"/>
  <c r="CB26" i="9"/>
  <c r="CC26" i="9"/>
  <c r="CD26" i="9"/>
  <c r="CE26" i="9"/>
  <c r="CF26" i="9"/>
  <c r="CG26" i="9"/>
  <c r="CH26" i="9"/>
  <c r="CI26" i="9"/>
  <c r="CJ26" i="9"/>
  <c r="CK26" i="9"/>
  <c r="CL26" i="9"/>
  <c r="CM26" i="9"/>
  <c r="CN26" i="9"/>
  <c r="CO26" i="9"/>
  <c r="CP26" i="9"/>
  <c r="CQ26" i="9"/>
  <c r="CR26" i="9"/>
  <c r="CS26" i="9"/>
  <c r="CT26" i="9"/>
  <c r="CU26" i="9"/>
  <c r="CV26" i="9"/>
  <c r="CW26" i="9"/>
  <c r="CX26" i="9"/>
  <c r="CY26" i="9"/>
  <c r="CZ26" i="9"/>
  <c r="DA26" i="9"/>
  <c r="DB26" i="9"/>
  <c r="DC26" i="9"/>
  <c r="DD26" i="9"/>
  <c r="DE26" i="9"/>
  <c r="DF26" i="9"/>
  <c r="DG26" i="9"/>
  <c r="DH26" i="9"/>
  <c r="DI26" i="9"/>
  <c r="DJ26" i="9"/>
  <c r="DK26" i="9"/>
  <c r="DL26" i="9"/>
  <c r="DM26" i="9"/>
  <c r="DN26" i="9"/>
  <c r="DO26" i="9"/>
  <c r="DP26" i="9"/>
  <c r="DQ26" i="9"/>
  <c r="DR26" i="9"/>
  <c r="DS26" i="9"/>
  <c r="DT26" i="9"/>
  <c r="DU26" i="9"/>
  <c r="DV26" i="9"/>
  <c r="DW26" i="9"/>
  <c r="DX26" i="9"/>
  <c r="DY26" i="9"/>
  <c r="DZ26" i="9"/>
  <c r="EA26" i="9"/>
  <c r="EB26" i="9"/>
  <c r="EC26" i="9"/>
  <c r="ED26" i="9"/>
  <c r="EE26" i="9"/>
  <c r="EF26" i="9"/>
  <c r="EG26" i="9"/>
  <c r="EH26" i="9"/>
  <c r="EI26" i="9"/>
  <c r="EJ26" i="9"/>
  <c r="EK26" i="9"/>
  <c r="EL26" i="9"/>
  <c r="EM26" i="9"/>
  <c r="EN26" i="9"/>
  <c r="EO26" i="9"/>
  <c r="EP26" i="9"/>
  <c r="EQ26" i="9"/>
  <c r="ER26" i="9"/>
  <c r="ES26" i="9"/>
  <c r="ET26" i="9"/>
  <c r="EU26" i="9"/>
  <c r="EV26" i="9"/>
  <c r="EW26" i="9"/>
  <c r="EX26" i="9"/>
  <c r="EY26" i="9"/>
  <c r="EZ26" i="9"/>
  <c r="FA26" i="9"/>
  <c r="FB26" i="9"/>
  <c r="FC26" i="9"/>
  <c r="FD26" i="9"/>
  <c r="FE26" i="9"/>
  <c r="FF26" i="9"/>
  <c r="FG26" i="9"/>
  <c r="FH26" i="9"/>
  <c r="FI26" i="9"/>
  <c r="FJ26" i="9"/>
  <c r="FK26" i="9"/>
  <c r="FL26" i="9"/>
  <c r="FM26" i="9"/>
  <c r="FN26" i="9"/>
  <c r="FO26" i="9"/>
  <c r="FP26" i="9"/>
  <c r="FQ26" i="9"/>
  <c r="FR26" i="9"/>
  <c r="FS26" i="9"/>
  <c r="FT26" i="9"/>
  <c r="FU26" i="9"/>
  <c r="FV26" i="9"/>
  <c r="FW26" i="9"/>
  <c r="FX26" i="9"/>
  <c r="FY26" i="9"/>
  <c r="FZ26" i="9"/>
  <c r="GA26" i="9"/>
  <c r="GB26" i="9"/>
  <c r="GC26" i="9"/>
  <c r="GD26" i="9"/>
  <c r="GE26" i="9"/>
  <c r="GF26" i="9"/>
  <c r="GG26" i="9"/>
  <c r="GH26" i="9"/>
  <c r="GI26" i="9"/>
  <c r="GJ26" i="9"/>
  <c r="GK26" i="9"/>
  <c r="GL26" i="9"/>
  <c r="GM26" i="9"/>
  <c r="GN26" i="9"/>
  <c r="GO26" i="9"/>
  <c r="GP26" i="9"/>
  <c r="GQ26" i="9"/>
  <c r="GR26" i="9"/>
  <c r="GS26" i="9"/>
  <c r="GT26" i="9"/>
  <c r="GU26" i="9"/>
  <c r="GV26" i="9"/>
  <c r="GW26" i="9"/>
  <c r="GX26" i="9"/>
  <c r="GY26" i="9"/>
  <c r="GZ26" i="9"/>
  <c r="HA26" i="9"/>
  <c r="HB26" i="9"/>
  <c r="HC26" i="9"/>
  <c r="HD26" i="9"/>
  <c r="HE26" i="9"/>
  <c r="HF26" i="9"/>
  <c r="HG26" i="9"/>
  <c r="HH26" i="9"/>
  <c r="HI26" i="9"/>
  <c r="HJ26" i="9"/>
  <c r="HK26" i="9"/>
  <c r="HL26" i="9"/>
  <c r="HM26" i="9"/>
  <c r="HN26" i="9"/>
  <c r="HO26" i="9"/>
  <c r="HP26" i="9"/>
  <c r="HQ26" i="9"/>
  <c r="HR26" i="9"/>
  <c r="HS26" i="9"/>
  <c r="HT26" i="9"/>
  <c r="HU26" i="9"/>
  <c r="HV26" i="9"/>
  <c r="HW26" i="9"/>
  <c r="HX26" i="9"/>
  <c r="HY26" i="9"/>
  <c r="HZ26" i="9"/>
  <c r="IA26" i="9"/>
  <c r="IB26" i="9"/>
  <c r="IC26" i="9"/>
  <c r="ID26" i="9"/>
  <c r="IE26" i="9"/>
  <c r="IF26" i="9"/>
  <c r="IG26" i="9"/>
  <c r="IH26" i="9"/>
  <c r="II26" i="9"/>
  <c r="IJ26" i="9"/>
  <c r="IK26" i="9"/>
  <c r="IL26" i="9"/>
  <c r="IM26" i="9"/>
  <c r="IN26" i="9"/>
  <c r="IO26" i="9"/>
  <c r="IP26" i="9"/>
  <c r="IQ26" i="9"/>
  <c r="IR26" i="9"/>
  <c r="IS26" i="9"/>
  <c r="IT26" i="9"/>
  <c r="IU26" i="9"/>
  <c r="IV26" i="9"/>
  <c r="A25" i="9"/>
  <c r="B25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AF25" i="9"/>
  <c r="AG25" i="9"/>
  <c r="AH25" i="9"/>
  <c r="AI25" i="9"/>
  <c r="AJ25" i="9"/>
  <c r="AK25" i="9"/>
  <c r="AL25" i="9"/>
  <c r="AM25" i="9"/>
  <c r="AN25" i="9"/>
  <c r="AO25" i="9"/>
  <c r="AP25" i="9"/>
  <c r="AQ25" i="9"/>
  <c r="AR25" i="9"/>
  <c r="AS25" i="9"/>
  <c r="AT25" i="9"/>
  <c r="AU25" i="9"/>
  <c r="AV25" i="9"/>
  <c r="AW25" i="9"/>
  <c r="AX25" i="9"/>
  <c r="AY25" i="9"/>
  <c r="AZ25" i="9"/>
  <c r="BA25" i="9"/>
  <c r="BB25" i="9"/>
  <c r="BC25" i="9"/>
  <c r="BD25" i="9"/>
  <c r="BE25" i="9"/>
  <c r="BF25" i="9"/>
  <c r="BG25" i="9"/>
  <c r="BH25" i="9"/>
  <c r="BI25" i="9"/>
  <c r="BJ25" i="9"/>
  <c r="BK25" i="9"/>
  <c r="BL25" i="9"/>
  <c r="BM25" i="9"/>
  <c r="BN25" i="9"/>
  <c r="BO25" i="9"/>
  <c r="BP25" i="9"/>
  <c r="BQ25" i="9"/>
  <c r="BR25" i="9"/>
  <c r="BS25" i="9"/>
  <c r="BT25" i="9"/>
  <c r="BU25" i="9"/>
  <c r="BV25" i="9"/>
  <c r="BW25" i="9"/>
  <c r="BX25" i="9"/>
  <c r="BY25" i="9"/>
  <c r="BZ25" i="9"/>
  <c r="CA25" i="9"/>
  <c r="CB25" i="9"/>
  <c r="CC25" i="9"/>
  <c r="CD25" i="9"/>
  <c r="CE25" i="9"/>
  <c r="CF25" i="9"/>
  <c r="CG25" i="9"/>
  <c r="CH25" i="9"/>
  <c r="CI25" i="9"/>
  <c r="CJ25" i="9"/>
  <c r="CK25" i="9"/>
  <c r="CL25" i="9"/>
  <c r="CM25" i="9"/>
  <c r="CN25" i="9"/>
  <c r="CO25" i="9"/>
  <c r="CP25" i="9"/>
  <c r="CQ25" i="9"/>
  <c r="CR25" i="9"/>
  <c r="CS25" i="9"/>
  <c r="CT25" i="9"/>
  <c r="CU25" i="9"/>
  <c r="CV25" i="9"/>
  <c r="CW25" i="9"/>
  <c r="CX25" i="9"/>
  <c r="CY25" i="9"/>
  <c r="CZ25" i="9"/>
  <c r="DA25" i="9"/>
  <c r="DB25" i="9"/>
  <c r="DC25" i="9"/>
  <c r="DD25" i="9"/>
  <c r="DE25" i="9"/>
  <c r="DF25" i="9"/>
  <c r="DG25" i="9"/>
  <c r="DH25" i="9"/>
  <c r="DI25" i="9"/>
  <c r="DJ25" i="9"/>
  <c r="DK25" i="9"/>
  <c r="DL25" i="9"/>
  <c r="DM25" i="9"/>
  <c r="DN25" i="9"/>
  <c r="DO25" i="9"/>
  <c r="DP25" i="9"/>
  <c r="DQ25" i="9"/>
  <c r="DR25" i="9"/>
  <c r="DS25" i="9"/>
  <c r="DT25" i="9"/>
  <c r="DU25" i="9"/>
  <c r="DV25" i="9"/>
  <c r="DW25" i="9"/>
  <c r="DX25" i="9"/>
  <c r="DY25" i="9"/>
  <c r="DZ25" i="9"/>
  <c r="EA25" i="9"/>
  <c r="EB25" i="9"/>
  <c r="EC25" i="9"/>
  <c r="ED25" i="9"/>
  <c r="EE25" i="9"/>
  <c r="EF25" i="9"/>
  <c r="EG25" i="9"/>
  <c r="EH25" i="9"/>
  <c r="EI25" i="9"/>
  <c r="EJ25" i="9"/>
  <c r="EK25" i="9"/>
  <c r="EL25" i="9"/>
  <c r="EM25" i="9"/>
  <c r="EN25" i="9"/>
  <c r="EO25" i="9"/>
  <c r="EP25" i="9"/>
  <c r="EQ25" i="9"/>
  <c r="ER25" i="9"/>
  <c r="ES25" i="9"/>
  <c r="ET25" i="9"/>
  <c r="EU25" i="9"/>
  <c r="EV25" i="9"/>
  <c r="EW25" i="9"/>
  <c r="EX25" i="9"/>
  <c r="EY25" i="9"/>
  <c r="EZ25" i="9"/>
  <c r="FA25" i="9"/>
  <c r="FB25" i="9"/>
  <c r="FC25" i="9"/>
  <c r="FD25" i="9"/>
  <c r="FE25" i="9"/>
  <c r="FF25" i="9"/>
  <c r="FG25" i="9"/>
  <c r="FH25" i="9"/>
  <c r="FI25" i="9"/>
  <c r="FJ25" i="9"/>
  <c r="FK25" i="9"/>
  <c r="FL25" i="9"/>
  <c r="FM25" i="9"/>
  <c r="FN25" i="9"/>
  <c r="FO25" i="9"/>
  <c r="FP25" i="9"/>
  <c r="FQ25" i="9"/>
  <c r="FR25" i="9"/>
  <c r="FS25" i="9"/>
  <c r="FT25" i="9"/>
  <c r="FU25" i="9"/>
  <c r="FV25" i="9"/>
  <c r="FW25" i="9"/>
  <c r="FX25" i="9"/>
  <c r="FY25" i="9"/>
  <c r="FZ25" i="9"/>
  <c r="GA25" i="9"/>
  <c r="GB25" i="9"/>
  <c r="GC25" i="9"/>
  <c r="GD25" i="9"/>
  <c r="GE25" i="9"/>
  <c r="GF25" i="9"/>
  <c r="GG25" i="9"/>
  <c r="GH25" i="9"/>
  <c r="GI25" i="9"/>
  <c r="GJ25" i="9"/>
  <c r="GK25" i="9"/>
  <c r="GL25" i="9"/>
  <c r="GM25" i="9"/>
  <c r="GN25" i="9"/>
  <c r="GO25" i="9"/>
  <c r="GP25" i="9"/>
  <c r="GQ25" i="9"/>
  <c r="GR25" i="9"/>
  <c r="GS25" i="9"/>
  <c r="GT25" i="9"/>
  <c r="GU25" i="9"/>
  <c r="GV25" i="9"/>
  <c r="GW25" i="9"/>
  <c r="GX25" i="9"/>
  <c r="GY25" i="9"/>
  <c r="GZ25" i="9"/>
  <c r="HA25" i="9"/>
  <c r="HB25" i="9"/>
  <c r="HC25" i="9"/>
  <c r="HD25" i="9"/>
  <c r="HE25" i="9"/>
  <c r="HF25" i="9"/>
  <c r="HG25" i="9"/>
  <c r="HH25" i="9"/>
  <c r="HI25" i="9"/>
  <c r="HJ25" i="9"/>
  <c r="HK25" i="9"/>
  <c r="HL25" i="9"/>
  <c r="HM25" i="9"/>
  <c r="HN25" i="9"/>
  <c r="HO25" i="9"/>
  <c r="HP25" i="9"/>
  <c r="HQ25" i="9"/>
  <c r="HR25" i="9"/>
  <c r="HS25" i="9"/>
  <c r="HT25" i="9"/>
  <c r="HU25" i="9"/>
  <c r="HV25" i="9"/>
  <c r="HW25" i="9"/>
  <c r="HX25" i="9"/>
  <c r="HY25" i="9"/>
  <c r="HZ25" i="9"/>
  <c r="IA25" i="9"/>
  <c r="IB25" i="9"/>
  <c r="IC25" i="9"/>
  <c r="ID25" i="9"/>
  <c r="IE25" i="9"/>
  <c r="IF25" i="9"/>
  <c r="IG25" i="9"/>
  <c r="IH25" i="9"/>
  <c r="II25" i="9"/>
  <c r="IJ25" i="9"/>
  <c r="IK25" i="9"/>
  <c r="IL25" i="9"/>
  <c r="IM25" i="9"/>
  <c r="IN25" i="9"/>
  <c r="IO25" i="9"/>
  <c r="IP25" i="9"/>
  <c r="IQ25" i="9"/>
  <c r="IR25" i="9"/>
  <c r="IS25" i="9"/>
  <c r="IT25" i="9"/>
  <c r="IU25" i="9"/>
  <c r="IV25" i="9"/>
  <c r="A24" i="9"/>
  <c r="B24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AF24" i="9"/>
  <c r="AG24" i="9"/>
  <c r="AH24" i="9"/>
  <c r="AI24" i="9"/>
  <c r="AJ24" i="9"/>
  <c r="AK24" i="9"/>
  <c r="AL24" i="9"/>
  <c r="AM24" i="9"/>
  <c r="AN24" i="9"/>
  <c r="AO24" i="9"/>
  <c r="AP24" i="9"/>
  <c r="AQ24" i="9"/>
  <c r="AR24" i="9"/>
  <c r="AS24" i="9"/>
  <c r="AT24" i="9"/>
  <c r="AU24" i="9"/>
  <c r="AV24" i="9"/>
  <c r="AW24" i="9"/>
  <c r="AX24" i="9"/>
  <c r="AY24" i="9"/>
  <c r="AZ24" i="9"/>
  <c r="BA24" i="9"/>
  <c r="BB24" i="9"/>
  <c r="BC24" i="9"/>
  <c r="BD24" i="9"/>
  <c r="BE24" i="9"/>
  <c r="BF24" i="9"/>
  <c r="BG24" i="9"/>
  <c r="BH24" i="9"/>
  <c r="BI24" i="9"/>
  <c r="BJ24" i="9"/>
  <c r="BK24" i="9"/>
  <c r="BL24" i="9"/>
  <c r="BM24" i="9"/>
  <c r="BN24" i="9"/>
  <c r="BO24" i="9"/>
  <c r="BP24" i="9"/>
  <c r="BQ24" i="9"/>
  <c r="BR24" i="9"/>
  <c r="BS24" i="9"/>
  <c r="BT24" i="9"/>
  <c r="BU24" i="9"/>
  <c r="BV24" i="9"/>
  <c r="BW24" i="9"/>
  <c r="BX24" i="9"/>
  <c r="BY24" i="9"/>
  <c r="BZ24" i="9"/>
  <c r="CA24" i="9"/>
  <c r="CB24" i="9"/>
  <c r="CC24" i="9"/>
  <c r="CD24" i="9"/>
  <c r="CE24" i="9"/>
  <c r="CF24" i="9"/>
  <c r="CG24" i="9"/>
  <c r="CH24" i="9"/>
  <c r="CI24" i="9"/>
  <c r="CJ24" i="9"/>
  <c r="CK24" i="9"/>
  <c r="CL24" i="9"/>
  <c r="CM24" i="9"/>
  <c r="CN24" i="9"/>
  <c r="CO24" i="9"/>
  <c r="CP24" i="9"/>
  <c r="CQ24" i="9"/>
  <c r="CR24" i="9"/>
  <c r="CS24" i="9"/>
  <c r="CT24" i="9"/>
  <c r="CU24" i="9"/>
  <c r="CV24" i="9"/>
  <c r="CW24" i="9"/>
  <c r="CX24" i="9"/>
  <c r="CY24" i="9"/>
  <c r="CZ24" i="9"/>
  <c r="DA24" i="9"/>
  <c r="DB24" i="9"/>
  <c r="DC24" i="9"/>
  <c r="DD24" i="9"/>
  <c r="DE24" i="9"/>
  <c r="DF24" i="9"/>
  <c r="DG24" i="9"/>
  <c r="DH24" i="9"/>
  <c r="DI24" i="9"/>
  <c r="DJ24" i="9"/>
  <c r="DK24" i="9"/>
  <c r="DL24" i="9"/>
  <c r="DM24" i="9"/>
  <c r="DN24" i="9"/>
  <c r="DO24" i="9"/>
  <c r="DP24" i="9"/>
  <c r="DQ24" i="9"/>
  <c r="DR24" i="9"/>
  <c r="DS24" i="9"/>
  <c r="DT24" i="9"/>
  <c r="DU24" i="9"/>
  <c r="DV24" i="9"/>
  <c r="DW24" i="9"/>
  <c r="DX24" i="9"/>
  <c r="DY24" i="9"/>
  <c r="DZ24" i="9"/>
  <c r="EA24" i="9"/>
  <c r="EB24" i="9"/>
  <c r="EC24" i="9"/>
  <c r="ED24" i="9"/>
  <c r="EE24" i="9"/>
  <c r="EF24" i="9"/>
  <c r="EG24" i="9"/>
  <c r="EH24" i="9"/>
  <c r="EI24" i="9"/>
  <c r="EJ24" i="9"/>
  <c r="EK24" i="9"/>
  <c r="EL24" i="9"/>
  <c r="EM24" i="9"/>
  <c r="EN24" i="9"/>
  <c r="EO24" i="9"/>
  <c r="EP24" i="9"/>
  <c r="EQ24" i="9"/>
  <c r="ER24" i="9"/>
  <c r="ES24" i="9"/>
  <c r="ET24" i="9"/>
  <c r="EU24" i="9"/>
  <c r="EV24" i="9"/>
  <c r="EW24" i="9"/>
  <c r="EX24" i="9"/>
  <c r="EY24" i="9"/>
  <c r="EZ24" i="9"/>
  <c r="FA24" i="9"/>
  <c r="FB24" i="9"/>
  <c r="FC24" i="9"/>
  <c r="FD24" i="9"/>
  <c r="FE24" i="9"/>
  <c r="FF24" i="9"/>
  <c r="FG24" i="9"/>
  <c r="FH24" i="9"/>
  <c r="FI24" i="9"/>
  <c r="FJ24" i="9"/>
  <c r="FK24" i="9"/>
  <c r="FL24" i="9"/>
  <c r="FM24" i="9"/>
  <c r="FN24" i="9"/>
  <c r="FO24" i="9"/>
  <c r="FP24" i="9"/>
  <c r="FQ24" i="9"/>
  <c r="FR24" i="9"/>
  <c r="FS24" i="9"/>
  <c r="FT24" i="9"/>
  <c r="FU24" i="9"/>
  <c r="FV24" i="9"/>
  <c r="FW24" i="9"/>
  <c r="FX24" i="9"/>
  <c r="FY24" i="9"/>
  <c r="FZ24" i="9"/>
  <c r="GA24" i="9"/>
  <c r="GB24" i="9"/>
  <c r="GC24" i="9"/>
  <c r="GD24" i="9"/>
  <c r="GE24" i="9"/>
  <c r="GF24" i="9"/>
  <c r="GG24" i="9"/>
  <c r="GH24" i="9"/>
  <c r="GI24" i="9"/>
  <c r="GJ24" i="9"/>
  <c r="GK24" i="9"/>
  <c r="GL24" i="9"/>
  <c r="GM24" i="9"/>
  <c r="GN24" i="9"/>
  <c r="GO24" i="9"/>
  <c r="GP24" i="9"/>
  <c r="GQ24" i="9"/>
  <c r="GR24" i="9"/>
  <c r="GS24" i="9"/>
  <c r="GT24" i="9"/>
  <c r="GU24" i="9"/>
  <c r="GV24" i="9"/>
  <c r="GW24" i="9"/>
  <c r="GX24" i="9"/>
  <c r="GY24" i="9"/>
  <c r="GZ24" i="9"/>
  <c r="HA24" i="9"/>
  <c r="HB24" i="9"/>
  <c r="HC24" i="9"/>
  <c r="HD24" i="9"/>
  <c r="HE24" i="9"/>
  <c r="HF24" i="9"/>
  <c r="HG24" i="9"/>
  <c r="HH24" i="9"/>
  <c r="HI24" i="9"/>
  <c r="HJ24" i="9"/>
  <c r="HK24" i="9"/>
  <c r="HL24" i="9"/>
  <c r="HM24" i="9"/>
  <c r="HN24" i="9"/>
  <c r="HO24" i="9"/>
  <c r="HP24" i="9"/>
  <c r="HQ24" i="9"/>
  <c r="HR24" i="9"/>
  <c r="HS24" i="9"/>
  <c r="HT24" i="9"/>
  <c r="HU24" i="9"/>
  <c r="HV24" i="9"/>
  <c r="HW24" i="9"/>
  <c r="HX24" i="9"/>
  <c r="HY24" i="9"/>
  <c r="HZ24" i="9"/>
  <c r="IA24" i="9"/>
  <c r="IB24" i="9"/>
  <c r="IC24" i="9"/>
  <c r="ID24" i="9"/>
  <c r="IE24" i="9"/>
  <c r="IF24" i="9"/>
  <c r="IG24" i="9"/>
  <c r="IH24" i="9"/>
  <c r="II24" i="9"/>
  <c r="IJ24" i="9"/>
  <c r="IK24" i="9"/>
  <c r="IL24" i="9"/>
  <c r="IM24" i="9"/>
  <c r="IN24" i="9"/>
  <c r="IO24" i="9"/>
  <c r="IP24" i="9"/>
  <c r="IQ24" i="9"/>
  <c r="IR24" i="9"/>
  <c r="IS24" i="9"/>
  <c r="IT24" i="9"/>
  <c r="IU24" i="9"/>
  <c r="IV24" i="9"/>
  <c r="A23" i="9"/>
  <c r="B23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AT23" i="9"/>
  <c r="AU23" i="9"/>
  <c r="AV23" i="9"/>
  <c r="AW23" i="9"/>
  <c r="AX23" i="9"/>
  <c r="AY23" i="9"/>
  <c r="AZ23" i="9"/>
  <c r="BA23" i="9"/>
  <c r="BB23" i="9"/>
  <c r="BC23" i="9"/>
  <c r="BD23" i="9"/>
  <c r="BE23" i="9"/>
  <c r="BF23" i="9"/>
  <c r="BG23" i="9"/>
  <c r="BH23" i="9"/>
  <c r="BI23" i="9"/>
  <c r="BJ23" i="9"/>
  <c r="BK23" i="9"/>
  <c r="BL23" i="9"/>
  <c r="BM23" i="9"/>
  <c r="BN23" i="9"/>
  <c r="BO23" i="9"/>
  <c r="BP23" i="9"/>
  <c r="BQ23" i="9"/>
  <c r="BR23" i="9"/>
  <c r="BS23" i="9"/>
  <c r="BT23" i="9"/>
  <c r="BU23" i="9"/>
  <c r="BV23" i="9"/>
  <c r="BW23" i="9"/>
  <c r="BX23" i="9"/>
  <c r="BY23" i="9"/>
  <c r="BZ23" i="9"/>
  <c r="CA23" i="9"/>
  <c r="CB23" i="9"/>
  <c r="CC23" i="9"/>
  <c r="CD23" i="9"/>
  <c r="CE23" i="9"/>
  <c r="CF23" i="9"/>
  <c r="CG23" i="9"/>
  <c r="CH23" i="9"/>
  <c r="CI23" i="9"/>
  <c r="CJ23" i="9"/>
  <c r="CK23" i="9"/>
  <c r="CL23" i="9"/>
  <c r="CM23" i="9"/>
  <c r="CN23" i="9"/>
  <c r="CO23" i="9"/>
  <c r="CP23" i="9"/>
  <c r="CQ23" i="9"/>
  <c r="CR23" i="9"/>
  <c r="CS23" i="9"/>
  <c r="CT23" i="9"/>
  <c r="CU23" i="9"/>
  <c r="CV23" i="9"/>
  <c r="CW23" i="9"/>
  <c r="CX23" i="9"/>
  <c r="CY23" i="9"/>
  <c r="CZ23" i="9"/>
  <c r="DA23" i="9"/>
  <c r="DB23" i="9"/>
  <c r="DC23" i="9"/>
  <c r="DD23" i="9"/>
  <c r="DE23" i="9"/>
  <c r="DF23" i="9"/>
  <c r="DG23" i="9"/>
  <c r="DH23" i="9"/>
  <c r="DI23" i="9"/>
  <c r="DJ23" i="9"/>
  <c r="DK23" i="9"/>
  <c r="DL23" i="9"/>
  <c r="DM23" i="9"/>
  <c r="DN23" i="9"/>
  <c r="DO23" i="9"/>
  <c r="DP23" i="9"/>
  <c r="DQ23" i="9"/>
  <c r="DR23" i="9"/>
  <c r="DS23" i="9"/>
  <c r="DT23" i="9"/>
  <c r="DU23" i="9"/>
  <c r="DV23" i="9"/>
  <c r="DW23" i="9"/>
  <c r="DX23" i="9"/>
  <c r="DY23" i="9"/>
  <c r="DZ23" i="9"/>
  <c r="EA23" i="9"/>
  <c r="EB23" i="9"/>
  <c r="EC23" i="9"/>
  <c r="ED23" i="9"/>
  <c r="EE23" i="9"/>
  <c r="EF23" i="9"/>
  <c r="EG23" i="9"/>
  <c r="EH23" i="9"/>
  <c r="EI23" i="9"/>
  <c r="EJ23" i="9"/>
  <c r="EK23" i="9"/>
  <c r="EL23" i="9"/>
  <c r="EM23" i="9"/>
  <c r="EN23" i="9"/>
  <c r="EO23" i="9"/>
  <c r="EP23" i="9"/>
  <c r="EQ23" i="9"/>
  <c r="ER23" i="9"/>
  <c r="ES23" i="9"/>
  <c r="ET23" i="9"/>
  <c r="EU23" i="9"/>
  <c r="EV23" i="9"/>
  <c r="EW23" i="9"/>
  <c r="EX23" i="9"/>
  <c r="EY23" i="9"/>
  <c r="EZ23" i="9"/>
  <c r="FA23" i="9"/>
  <c r="FB23" i="9"/>
  <c r="FC23" i="9"/>
  <c r="FD23" i="9"/>
  <c r="FE23" i="9"/>
  <c r="FF23" i="9"/>
  <c r="FG23" i="9"/>
  <c r="FH23" i="9"/>
  <c r="FI23" i="9"/>
  <c r="FJ23" i="9"/>
  <c r="FK23" i="9"/>
  <c r="FL23" i="9"/>
  <c r="FM23" i="9"/>
  <c r="FN23" i="9"/>
  <c r="FO23" i="9"/>
  <c r="FP23" i="9"/>
  <c r="FQ23" i="9"/>
  <c r="FR23" i="9"/>
  <c r="FS23" i="9"/>
  <c r="FT23" i="9"/>
  <c r="FU23" i="9"/>
  <c r="FV23" i="9"/>
  <c r="FW23" i="9"/>
  <c r="FX23" i="9"/>
  <c r="FY23" i="9"/>
  <c r="FZ23" i="9"/>
  <c r="GA23" i="9"/>
  <c r="GB23" i="9"/>
  <c r="GC23" i="9"/>
  <c r="GD23" i="9"/>
  <c r="GE23" i="9"/>
  <c r="GF23" i="9"/>
  <c r="GG23" i="9"/>
  <c r="GH23" i="9"/>
  <c r="GI23" i="9"/>
  <c r="GJ23" i="9"/>
  <c r="GK23" i="9"/>
  <c r="GL23" i="9"/>
  <c r="GM23" i="9"/>
  <c r="GN23" i="9"/>
  <c r="GO23" i="9"/>
  <c r="GP23" i="9"/>
  <c r="GQ23" i="9"/>
  <c r="GR23" i="9"/>
  <c r="GS23" i="9"/>
  <c r="GT23" i="9"/>
  <c r="GU23" i="9"/>
  <c r="GV23" i="9"/>
  <c r="GW23" i="9"/>
  <c r="GX23" i="9"/>
  <c r="GY23" i="9"/>
  <c r="GZ23" i="9"/>
  <c r="HA23" i="9"/>
  <c r="HB23" i="9"/>
  <c r="HC23" i="9"/>
  <c r="HD23" i="9"/>
  <c r="HE23" i="9"/>
  <c r="HF23" i="9"/>
  <c r="HG23" i="9"/>
  <c r="HH23" i="9"/>
  <c r="HI23" i="9"/>
  <c r="HJ23" i="9"/>
  <c r="HK23" i="9"/>
  <c r="HL23" i="9"/>
  <c r="HM23" i="9"/>
  <c r="HN23" i="9"/>
  <c r="HO23" i="9"/>
  <c r="HP23" i="9"/>
  <c r="HQ23" i="9"/>
  <c r="HR23" i="9"/>
  <c r="HS23" i="9"/>
  <c r="HT23" i="9"/>
  <c r="HU23" i="9"/>
  <c r="HV23" i="9"/>
  <c r="HW23" i="9"/>
  <c r="HX23" i="9"/>
  <c r="HY23" i="9"/>
  <c r="HZ23" i="9"/>
  <c r="IA23" i="9"/>
  <c r="IB23" i="9"/>
  <c r="IC23" i="9"/>
  <c r="ID23" i="9"/>
  <c r="IE23" i="9"/>
  <c r="IF23" i="9"/>
  <c r="IG23" i="9"/>
  <c r="IH23" i="9"/>
  <c r="II23" i="9"/>
  <c r="IJ23" i="9"/>
  <c r="IK23" i="9"/>
  <c r="IL23" i="9"/>
  <c r="IM23" i="9"/>
  <c r="IN23" i="9"/>
  <c r="IO23" i="9"/>
  <c r="IP23" i="9"/>
  <c r="IQ23" i="9"/>
  <c r="IR23" i="9"/>
  <c r="IS23" i="9"/>
  <c r="IT23" i="9"/>
  <c r="IU23" i="9"/>
  <c r="IV23" i="9"/>
  <c r="A22" i="9"/>
  <c r="B22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AG22" i="9"/>
  <c r="AH22" i="9"/>
  <c r="AI22" i="9"/>
  <c r="AJ22" i="9"/>
  <c r="AK22" i="9"/>
  <c r="AL22" i="9"/>
  <c r="AM22" i="9"/>
  <c r="AN22" i="9"/>
  <c r="AO22" i="9"/>
  <c r="AP22" i="9"/>
  <c r="AQ22" i="9"/>
  <c r="AR22" i="9"/>
  <c r="AS22" i="9"/>
  <c r="AT22" i="9"/>
  <c r="AU22" i="9"/>
  <c r="AV22" i="9"/>
  <c r="AW22" i="9"/>
  <c r="AX22" i="9"/>
  <c r="AY22" i="9"/>
  <c r="AZ22" i="9"/>
  <c r="BA22" i="9"/>
  <c r="BB22" i="9"/>
  <c r="BC22" i="9"/>
  <c r="BD22" i="9"/>
  <c r="BE22" i="9"/>
  <c r="BF22" i="9"/>
  <c r="BG22" i="9"/>
  <c r="BH22" i="9"/>
  <c r="BI22" i="9"/>
  <c r="BJ22" i="9"/>
  <c r="BK22" i="9"/>
  <c r="BL22" i="9"/>
  <c r="BM22" i="9"/>
  <c r="BN22" i="9"/>
  <c r="BO22" i="9"/>
  <c r="BP22" i="9"/>
  <c r="BQ22" i="9"/>
  <c r="BR22" i="9"/>
  <c r="BS22" i="9"/>
  <c r="BT22" i="9"/>
  <c r="BU22" i="9"/>
  <c r="BV22" i="9"/>
  <c r="BW22" i="9"/>
  <c r="BX22" i="9"/>
  <c r="BY22" i="9"/>
  <c r="BZ22" i="9"/>
  <c r="CA22" i="9"/>
  <c r="CB22" i="9"/>
  <c r="CC22" i="9"/>
  <c r="CD22" i="9"/>
  <c r="CE22" i="9"/>
  <c r="CF22" i="9"/>
  <c r="CG22" i="9"/>
  <c r="CH22" i="9"/>
  <c r="CI22" i="9"/>
  <c r="CJ22" i="9"/>
  <c r="CK22" i="9"/>
  <c r="CL22" i="9"/>
  <c r="CM22" i="9"/>
  <c r="CN22" i="9"/>
  <c r="CO22" i="9"/>
  <c r="CP22" i="9"/>
  <c r="CQ22" i="9"/>
  <c r="CR22" i="9"/>
  <c r="CS22" i="9"/>
  <c r="CT22" i="9"/>
  <c r="CU22" i="9"/>
  <c r="CV22" i="9"/>
  <c r="CW22" i="9"/>
  <c r="CX22" i="9"/>
  <c r="CY22" i="9"/>
  <c r="CZ22" i="9"/>
  <c r="DA22" i="9"/>
  <c r="DB22" i="9"/>
  <c r="DC22" i="9"/>
  <c r="DD22" i="9"/>
  <c r="DE22" i="9"/>
  <c r="DF22" i="9"/>
  <c r="DG22" i="9"/>
  <c r="DH22" i="9"/>
  <c r="DI22" i="9"/>
  <c r="DJ22" i="9"/>
  <c r="DK22" i="9"/>
  <c r="DL22" i="9"/>
  <c r="DM22" i="9"/>
  <c r="DN22" i="9"/>
  <c r="DO22" i="9"/>
  <c r="DP22" i="9"/>
  <c r="DQ22" i="9"/>
  <c r="DR22" i="9"/>
  <c r="DS22" i="9"/>
  <c r="DT22" i="9"/>
  <c r="DU22" i="9"/>
  <c r="DV22" i="9"/>
  <c r="DW22" i="9"/>
  <c r="DX22" i="9"/>
  <c r="DY22" i="9"/>
  <c r="DZ22" i="9"/>
  <c r="EA22" i="9"/>
  <c r="EB22" i="9"/>
  <c r="EC22" i="9"/>
  <c r="ED22" i="9"/>
  <c r="EE22" i="9"/>
  <c r="EF22" i="9"/>
  <c r="EG22" i="9"/>
  <c r="EH22" i="9"/>
  <c r="EI22" i="9"/>
  <c r="EJ22" i="9"/>
  <c r="EK22" i="9"/>
  <c r="EL22" i="9"/>
  <c r="EM22" i="9"/>
  <c r="EN22" i="9"/>
  <c r="EO22" i="9"/>
  <c r="EP22" i="9"/>
  <c r="EQ22" i="9"/>
  <c r="ER22" i="9"/>
  <c r="ES22" i="9"/>
  <c r="ET22" i="9"/>
  <c r="EU22" i="9"/>
  <c r="EV22" i="9"/>
  <c r="EW22" i="9"/>
  <c r="EX22" i="9"/>
  <c r="EY22" i="9"/>
  <c r="EZ22" i="9"/>
  <c r="FA22" i="9"/>
  <c r="FB22" i="9"/>
  <c r="FC22" i="9"/>
  <c r="FD22" i="9"/>
  <c r="FE22" i="9"/>
  <c r="FF22" i="9"/>
  <c r="FG22" i="9"/>
  <c r="FH22" i="9"/>
  <c r="FI22" i="9"/>
  <c r="FJ22" i="9"/>
  <c r="FK22" i="9"/>
  <c r="FL22" i="9"/>
  <c r="FM22" i="9"/>
  <c r="FN22" i="9"/>
  <c r="FO22" i="9"/>
  <c r="FP22" i="9"/>
  <c r="FQ22" i="9"/>
  <c r="FR22" i="9"/>
  <c r="FS22" i="9"/>
  <c r="FT22" i="9"/>
  <c r="FU22" i="9"/>
  <c r="FV22" i="9"/>
  <c r="FW22" i="9"/>
  <c r="FX22" i="9"/>
  <c r="FY22" i="9"/>
  <c r="FZ22" i="9"/>
  <c r="GA22" i="9"/>
  <c r="GB22" i="9"/>
  <c r="GC22" i="9"/>
  <c r="GD22" i="9"/>
  <c r="GE22" i="9"/>
  <c r="GF22" i="9"/>
  <c r="GG22" i="9"/>
  <c r="GH22" i="9"/>
  <c r="GI22" i="9"/>
  <c r="GJ22" i="9"/>
  <c r="GK22" i="9"/>
  <c r="GL22" i="9"/>
  <c r="GM22" i="9"/>
  <c r="GN22" i="9"/>
  <c r="GO22" i="9"/>
  <c r="GP22" i="9"/>
  <c r="GQ22" i="9"/>
  <c r="GR22" i="9"/>
  <c r="GS22" i="9"/>
  <c r="GT22" i="9"/>
  <c r="GU22" i="9"/>
  <c r="GV22" i="9"/>
  <c r="GW22" i="9"/>
  <c r="GX22" i="9"/>
  <c r="GY22" i="9"/>
  <c r="GZ22" i="9"/>
  <c r="HA22" i="9"/>
  <c r="HB22" i="9"/>
  <c r="HC22" i="9"/>
  <c r="HD22" i="9"/>
  <c r="HE22" i="9"/>
  <c r="HF22" i="9"/>
  <c r="HG22" i="9"/>
  <c r="HH22" i="9"/>
  <c r="HI22" i="9"/>
  <c r="HJ22" i="9"/>
  <c r="HK22" i="9"/>
  <c r="HL22" i="9"/>
  <c r="HM22" i="9"/>
  <c r="HN22" i="9"/>
  <c r="HO22" i="9"/>
  <c r="HP22" i="9"/>
  <c r="HQ22" i="9"/>
  <c r="HR22" i="9"/>
  <c r="HS22" i="9"/>
  <c r="HT22" i="9"/>
  <c r="HU22" i="9"/>
  <c r="HV22" i="9"/>
  <c r="HW22" i="9"/>
  <c r="HX22" i="9"/>
  <c r="HY22" i="9"/>
  <c r="HZ22" i="9"/>
  <c r="IA22" i="9"/>
  <c r="IB22" i="9"/>
  <c r="IC22" i="9"/>
  <c r="ID22" i="9"/>
  <c r="IE22" i="9"/>
  <c r="IF22" i="9"/>
  <c r="IG22" i="9"/>
  <c r="IH22" i="9"/>
  <c r="II22" i="9"/>
  <c r="IJ22" i="9"/>
  <c r="IK22" i="9"/>
  <c r="IL22" i="9"/>
  <c r="IM22" i="9"/>
  <c r="IN22" i="9"/>
  <c r="IO22" i="9"/>
  <c r="IP22" i="9"/>
  <c r="IQ22" i="9"/>
  <c r="IR22" i="9"/>
  <c r="IS22" i="9"/>
  <c r="IT22" i="9"/>
  <c r="IU22" i="9"/>
  <c r="IV22" i="9"/>
  <c r="A21" i="9"/>
  <c r="B21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AF21" i="9"/>
  <c r="AG21" i="9"/>
  <c r="AH21" i="9"/>
  <c r="AI21" i="9"/>
  <c r="AJ21" i="9"/>
  <c r="AK21" i="9"/>
  <c r="AL21" i="9"/>
  <c r="AM21" i="9"/>
  <c r="AN21" i="9"/>
  <c r="AO21" i="9"/>
  <c r="AP21" i="9"/>
  <c r="AQ21" i="9"/>
  <c r="AR21" i="9"/>
  <c r="AS21" i="9"/>
  <c r="AT21" i="9"/>
  <c r="AU21" i="9"/>
  <c r="AV21" i="9"/>
  <c r="AW21" i="9"/>
  <c r="AX21" i="9"/>
  <c r="AY21" i="9"/>
  <c r="AZ21" i="9"/>
  <c r="BA21" i="9"/>
  <c r="BB21" i="9"/>
  <c r="BC21" i="9"/>
  <c r="BD21" i="9"/>
  <c r="BE21" i="9"/>
  <c r="BF21" i="9"/>
  <c r="BG21" i="9"/>
  <c r="BH21" i="9"/>
  <c r="BI21" i="9"/>
  <c r="BJ21" i="9"/>
  <c r="BK21" i="9"/>
  <c r="BL21" i="9"/>
  <c r="BM21" i="9"/>
  <c r="BN21" i="9"/>
  <c r="BO21" i="9"/>
  <c r="BP21" i="9"/>
  <c r="BQ21" i="9"/>
  <c r="BR21" i="9"/>
  <c r="BS21" i="9"/>
  <c r="BT21" i="9"/>
  <c r="BU21" i="9"/>
  <c r="BV21" i="9"/>
  <c r="BW21" i="9"/>
  <c r="BX21" i="9"/>
  <c r="BY21" i="9"/>
  <c r="BZ21" i="9"/>
  <c r="CA21" i="9"/>
  <c r="CB21" i="9"/>
  <c r="CC21" i="9"/>
  <c r="CD21" i="9"/>
  <c r="CE21" i="9"/>
  <c r="CF21" i="9"/>
  <c r="CG21" i="9"/>
  <c r="CH21" i="9"/>
  <c r="CI21" i="9"/>
  <c r="CJ21" i="9"/>
  <c r="CK21" i="9"/>
  <c r="CL21" i="9"/>
  <c r="CM21" i="9"/>
  <c r="CN21" i="9"/>
  <c r="CO21" i="9"/>
  <c r="CP21" i="9"/>
  <c r="CQ21" i="9"/>
  <c r="CR21" i="9"/>
  <c r="CS21" i="9"/>
  <c r="CT21" i="9"/>
  <c r="CU21" i="9"/>
  <c r="CV21" i="9"/>
  <c r="CW21" i="9"/>
  <c r="CX21" i="9"/>
  <c r="CY21" i="9"/>
  <c r="CZ21" i="9"/>
  <c r="DA21" i="9"/>
  <c r="DB21" i="9"/>
  <c r="DC21" i="9"/>
  <c r="DD21" i="9"/>
  <c r="DE21" i="9"/>
  <c r="DF21" i="9"/>
  <c r="DG21" i="9"/>
  <c r="DH21" i="9"/>
  <c r="DI21" i="9"/>
  <c r="DJ21" i="9"/>
  <c r="DK21" i="9"/>
  <c r="DL21" i="9"/>
  <c r="DM21" i="9"/>
  <c r="DN21" i="9"/>
  <c r="DO21" i="9"/>
  <c r="DP21" i="9"/>
  <c r="DQ21" i="9"/>
  <c r="DR21" i="9"/>
  <c r="DS21" i="9"/>
  <c r="DT21" i="9"/>
  <c r="DU21" i="9"/>
  <c r="DV21" i="9"/>
  <c r="DW21" i="9"/>
  <c r="DX21" i="9"/>
  <c r="DY21" i="9"/>
  <c r="DZ21" i="9"/>
  <c r="EA21" i="9"/>
  <c r="EB21" i="9"/>
  <c r="EC21" i="9"/>
  <c r="ED21" i="9"/>
  <c r="EE21" i="9"/>
  <c r="EF21" i="9"/>
  <c r="EG21" i="9"/>
  <c r="EH21" i="9"/>
  <c r="EI21" i="9"/>
  <c r="EJ21" i="9"/>
  <c r="EK21" i="9"/>
  <c r="EL21" i="9"/>
  <c r="EM21" i="9"/>
  <c r="EN21" i="9"/>
  <c r="EO21" i="9"/>
  <c r="EP21" i="9"/>
  <c r="EQ21" i="9"/>
  <c r="ER21" i="9"/>
  <c r="ES21" i="9"/>
  <c r="ET21" i="9"/>
  <c r="EU21" i="9"/>
  <c r="EV21" i="9"/>
  <c r="EW21" i="9"/>
  <c r="EX21" i="9"/>
  <c r="EY21" i="9"/>
  <c r="EZ21" i="9"/>
  <c r="FA21" i="9"/>
  <c r="FB21" i="9"/>
  <c r="FC21" i="9"/>
  <c r="FD21" i="9"/>
  <c r="FE21" i="9"/>
  <c r="FF21" i="9"/>
  <c r="FG21" i="9"/>
  <c r="FH21" i="9"/>
  <c r="FI21" i="9"/>
  <c r="FJ21" i="9"/>
  <c r="FK21" i="9"/>
  <c r="FL21" i="9"/>
  <c r="FM21" i="9"/>
  <c r="FN21" i="9"/>
  <c r="FO21" i="9"/>
  <c r="FP21" i="9"/>
  <c r="FQ21" i="9"/>
  <c r="FR21" i="9"/>
  <c r="FS21" i="9"/>
  <c r="FT21" i="9"/>
  <c r="FU21" i="9"/>
  <c r="FV21" i="9"/>
  <c r="FW21" i="9"/>
  <c r="FX21" i="9"/>
  <c r="FY21" i="9"/>
  <c r="FZ21" i="9"/>
  <c r="GA21" i="9"/>
  <c r="GB21" i="9"/>
  <c r="GC21" i="9"/>
  <c r="GD21" i="9"/>
  <c r="GE21" i="9"/>
  <c r="GF21" i="9"/>
  <c r="GG21" i="9"/>
  <c r="GH21" i="9"/>
  <c r="GI21" i="9"/>
  <c r="GJ21" i="9"/>
  <c r="GK21" i="9"/>
  <c r="GL21" i="9"/>
  <c r="GM21" i="9"/>
  <c r="GN21" i="9"/>
  <c r="GO21" i="9"/>
  <c r="GP21" i="9"/>
  <c r="GQ21" i="9"/>
  <c r="GR21" i="9"/>
  <c r="GS21" i="9"/>
  <c r="GT21" i="9"/>
  <c r="GU21" i="9"/>
  <c r="GV21" i="9"/>
  <c r="GW21" i="9"/>
  <c r="GX21" i="9"/>
  <c r="GY21" i="9"/>
  <c r="GZ21" i="9"/>
  <c r="HA21" i="9"/>
  <c r="HB21" i="9"/>
  <c r="HC21" i="9"/>
  <c r="HD21" i="9"/>
  <c r="HE21" i="9"/>
  <c r="HF21" i="9"/>
  <c r="HG21" i="9"/>
  <c r="HH21" i="9"/>
  <c r="HI21" i="9"/>
  <c r="HJ21" i="9"/>
  <c r="HK21" i="9"/>
  <c r="HL21" i="9"/>
  <c r="HM21" i="9"/>
  <c r="HN21" i="9"/>
  <c r="HO21" i="9"/>
  <c r="HP21" i="9"/>
  <c r="HQ21" i="9"/>
  <c r="HR21" i="9"/>
  <c r="HS21" i="9"/>
  <c r="HT21" i="9"/>
  <c r="HU21" i="9"/>
  <c r="HV21" i="9"/>
  <c r="HW21" i="9"/>
  <c r="HX21" i="9"/>
  <c r="HY21" i="9"/>
  <c r="HZ21" i="9"/>
  <c r="IA21" i="9"/>
  <c r="IB21" i="9"/>
  <c r="IC21" i="9"/>
  <c r="ID21" i="9"/>
  <c r="IE21" i="9"/>
  <c r="IF21" i="9"/>
  <c r="IG21" i="9"/>
  <c r="IH21" i="9"/>
  <c r="II21" i="9"/>
  <c r="IJ21" i="9"/>
  <c r="IK21" i="9"/>
  <c r="IL21" i="9"/>
  <c r="IM21" i="9"/>
  <c r="IN21" i="9"/>
  <c r="IO21" i="9"/>
  <c r="IP21" i="9"/>
  <c r="IQ21" i="9"/>
  <c r="IR21" i="9"/>
  <c r="IS21" i="9"/>
  <c r="IT21" i="9"/>
  <c r="IU21" i="9"/>
  <c r="IV21" i="9"/>
  <c r="A20" i="9"/>
  <c r="B20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AP20" i="9"/>
  <c r="AQ20" i="9"/>
  <c r="AR20" i="9"/>
  <c r="AS20" i="9"/>
  <c r="AT20" i="9"/>
  <c r="AU20" i="9"/>
  <c r="AV20" i="9"/>
  <c r="AW20" i="9"/>
  <c r="AX20" i="9"/>
  <c r="AY20" i="9"/>
  <c r="AZ20" i="9"/>
  <c r="BA20" i="9"/>
  <c r="BB20" i="9"/>
  <c r="BC20" i="9"/>
  <c r="BD20" i="9"/>
  <c r="BE20" i="9"/>
  <c r="BF20" i="9"/>
  <c r="BG20" i="9"/>
  <c r="BH20" i="9"/>
  <c r="BI20" i="9"/>
  <c r="BJ20" i="9"/>
  <c r="BK20" i="9"/>
  <c r="BL20" i="9"/>
  <c r="BM20" i="9"/>
  <c r="BN20" i="9"/>
  <c r="BO20" i="9"/>
  <c r="BP20" i="9"/>
  <c r="BQ20" i="9"/>
  <c r="BR20" i="9"/>
  <c r="BS20" i="9"/>
  <c r="BT20" i="9"/>
  <c r="BU20" i="9"/>
  <c r="BV20" i="9"/>
  <c r="BW20" i="9"/>
  <c r="BX20" i="9"/>
  <c r="BY20" i="9"/>
  <c r="BZ20" i="9"/>
  <c r="CA20" i="9"/>
  <c r="CB20" i="9"/>
  <c r="CC20" i="9"/>
  <c r="CD20" i="9"/>
  <c r="CE20" i="9"/>
  <c r="CF20" i="9"/>
  <c r="CG20" i="9"/>
  <c r="CH20" i="9"/>
  <c r="CI20" i="9"/>
  <c r="CJ20" i="9"/>
  <c r="CK20" i="9"/>
  <c r="CL20" i="9"/>
  <c r="CM20" i="9"/>
  <c r="CN20" i="9"/>
  <c r="CO20" i="9"/>
  <c r="CP20" i="9"/>
  <c r="CQ20" i="9"/>
  <c r="CR20" i="9"/>
  <c r="CS20" i="9"/>
  <c r="CT20" i="9"/>
  <c r="CU20" i="9"/>
  <c r="CV20" i="9"/>
  <c r="CW20" i="9"/>
  <c r="CX20" i="9"/>
  <c r="CY20" i="9"/>
  <c r="CZ20" i="9"/>
  <c r="DA20" i="9"/>
  <c r="DB20" i="9"/>
  <c r="DC20" i="9"/>
  <c r="DD20" i="9"/>
  <c r="DE20" i="9"/>
  <c r="DF20" i="9"/>
  <c r="DG20" i="9"/>
  <c r="DH20" i="9"/>
  <c r="DI20" i="9"/>
  <c r="DJ20" i="9"/>
  <c r="DK20" i="9"/>
  <c r="DL20" i="9"/>
  <c r="DM20" i="9"/>
  <c r="DN20" i="9"/>
  <c r="DO20" i="9"/>
  <c r="DP20" i="9"/>
  <c r="DQ20" i="9"/>
  <c r="DR20" i="9"/>
  <c r="DS20" i="9"/>
  <c r="DT20" i="9"/>
  <c r="DU20" i="9"/>
  <c r="DV20" i="9"/>
  <c r="DW20" i="9"/>
  <c r="DX20" i="9"/>
  <c r="DY20" i="9"/>
  <c r="DZ20" i="9"/>
  <c r="EA20" i="9"/>
  <c r="EB20" i="9"/>
  <c r="EC20" i="9"/>
  <c r="ED20" i="9"/>
  <c r="EE20" i="9"/>
  <c r="EF20" i="9"/>
  <c r="EG20" i="9"/>
  <c r="EH20" i="9"/>
  <c r="EI20" i="9"/>
  <c r="EJ20" i="9"/>
  <c r="EK20" i="9"/>
  <c r="EL20" i="9"/>
  <c r="EM20" i="9"/>
  <c r="EN20" i="9"/>
  <c r="EO20" i="9"/>
  <c r="EP20" i="9"/>
  <c r="EQ20" i="9"/>
  <c r="ER20" i="9"/>
  <c r="ES20" i="9"/>
  <c r="ET20" i="9"/>
  <c r="EU20" i="9"/>
  <c r="EV20" i="9"/>
  <c r="EW20" i="9"/>
  <c r="EX20" i="9"/>
  <c r="EY20" i="9"/>
  <c r="EZ20" i="9"/>
  <c r="FA20" i="9"/>
  <c r="FB20" i="9"/>
  <c r="FC20" i="9"/>
  <c r="FD20" i="9"/>
  <c r="FE20" i="9"/>
  <c r="FF20" i="9"/>
  <c r="FG20" i="9"/>
  <c r="FH20" i="9"/>
  <c r="FI20" i="9"/>
  <c r="FJ20" i="9"/>
  <c r="FK20" i="9"/>
  <c r="FL20" i="9"/>
  <c r="FM20" i="9"/>
  <c r="FN20" i="9"/>
  <c r="FO20" i="9"/>
  <c r="FP20" i="9"/>
  <c r="FQ20" i="9"/>
  <c r="FR20" i="9"/>
  <c r="FS20" i="9"/>
  <c r="FT20" i="9"/>
  <c r="FU20" i="9"/>
  <c r="FV20" i="9"/>
  <c r="FW20" i="9"/>
  <c r="FX20" i="9"/>
  <c r="FY20" i="9"/>
  <c r="FZ20" i="9"/>
  <c r="GA20" i="9"/>
  <c r="GB20" i="9"/>
  <c r="GC20" i="9"/>
  <c r="GD20" i="9"/>
  <c r="GE20" i="9"/>
  <c r="GF20" i="9"/>
  <c r="GG20" i="9"/>
  <c r="GH20" i="9"/>
  <c r="GI20" i="9"/>
  <c r="GJ20" i="9"/>
  <c r="GK20" i="9"/>
  <c r="GL20" i="9"/>
  <c r="GM20" i="9"/>
  <c r="GN20" i="9"/>
  <c r="GO20" i="9"/>
  <c r="GP20" i="9"/>
  <c r="GQ20" i="9"/>
  <c r="GR20" i="9"/>
  <c r="GS20" i="9"/>
  <c r="GT20" i="9"/>
  <c r="GU20" i="9"/>
  <c r="GV20" i="9"/>
  <c r="GW20" i="9"/>
  <c r="GX20" i="9"/>
  <c r="GY20" i="9"/>
  <c r="GZ20" i="9"/>
  <c r="HA20" i="9"/>
  <c r="HB20" i="9"/>
  <c r="HC20" i="9"/>
  <c r="HD20" i="9"/>
  <c r="HE20" i="9"/>
  <c r="HF20" i="9"/>
  <c r="HG20" i="9"/>
  <c r="HH20" i="9"/>
  <c r="HI20" i="9"/>
  <c r="HJ20" i="9"/>
  <c r="HK20" i="9"/>
  <c r="HL20" i="9"/>
  <c r="HM20" i="9"/>
  <c r="HN20" i="9"/>
  <c r="HO20" i="9"/>
  <c r="HP20" i="9"/>
  <c r="HQ20" i="9"/>
  <c r="HR20" i="9"/>
  <c r="HS20" i="9"/>
  <c r="HT20" i="9"/>
  <c r="HU20" i="9"/>
  <c r="HV20" i="9"/>
  <c r="HW20" i="9"/>
  <c r="HX20" i="9"/>
  <c r="HY20" i="9"/>
  <c r="HZ20" i="9"/>
  <c r="IA20" i="9"/>
  <c r="IB20" i="9"/>
  <c r="IC20" i="9"/>
  <c r="ID20" i="9"/>
  <c r="IE20" i="9"/>
  <c r="IF20" i="9"/>
  <c r="IG20" i="9"/>
  <c r="IH20" i="9"/>
  <c r="II20" i="9"/>
  <c r="IJ20" i="9"/>
  <c r="IK20" i="9"/>
  <c r="IL20" i="9"/>
  <c r="IM20" i="9"/>
  <c r="IN20" i="9"/>
  <c r="IO20" i="9"/>
  <c r="IP20" i="9"/>
  <c r="IQ20" i="9"/>
  <c r="IR20" i="9"/>
  <c r="IS20" i="9"/>
  <c r="IT20" i="9"/>
  <c r="IU20" i="9"/>
  <c r="IV20" i="9"/>
  <c r="A19" i="9"/>
  <c r="B19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AF19" i="9"/>
  <c r="AG19" i="9"/>
  <c r="AH19" i="9"/>
  <c r="AI19" i="9"/>
  <c r="AJ19" i="9"/>
  <c r="AK19" i="9"/>
  <c r="AL19" i="9"/>
  <c r="AM19" i="9"/>
  <c r="AN19" i="9"/>
  <c r="AO19" i="9"/>
  <c r="AP19" i="9"/>
  <c r="AQ19" i="9"/>
  <c r="AR19" i="9"/>
  <c r="AS19" i="9"/>
  <c r="AT19" i="9"/>
  <c r="AU19" i="9"/>
  <c r="AV19" i="9"/>
  <c r="AW19" i="9"/>
  <c r="AX19" i="9"/>
  <c r="AY19" i="9"/>
  <c r="AZ19" i="9"/>
  <c r="BA19" i="9"/>
  <c r="BB19" i="9"/>
  <c r="BC19" i="9"/>
  <c r="BD19" i="9"/>
  <c r="BE19" i="9"/>
  <c r="BF19" i="9"/>
  <c r="BG19" i="9"/>
  <c r="BH19" i="9"/>
  <c r="BI19" i="9"/>
  <c r="BJ19" i="9"/>
  <c r="BK19" i="9"/>
  <c r="BL19" i="9"/>
  <c r="BM19" i="9"/>
  <c r="BN19" i="9"/>
  <c r="BO19" i="9"/>
  <c r="BP19" i="9"/>
  <c r="BQ19" i="9"/>
  <c r="BR19" i="9"/>
  <c r="BS19" i="9"/>
  <c r="BT19" i="9"/>
  <c r="BU19" i="9"/>
  <c r="BV19" i="9"/>
  <c r="BW19" i="9"/>
  <c r="BX19" i="9"/>
  <c r="BY19" i="9"/>
  <c r="BZ19" i="9"/>
  <c r="CA19" i="9"/>
  <c r="CB19" i="9"/>
  <c r="CC19" i="9"/>
  <c r="CD19" i="9"/>
  <c r="CE19" i="9"/>
  <c r="CF19" i="9"/>
  <c r="CG19" i="9"/>
  <c r="CH19" i="9"/>
  <c r="CI19" i="9"/>
  <c r="CJ19" i="9"/>
  <c r="CK19" i="9"/>
  <c r="CL19" i="9"/>
  <c r="CM19" i="9"/>
  <c r="CN19" i="9"/>
  <c r="CO19" i="9"/>
  <c r="CP19" i="9"/>
  <c r="CQ19" i="9"/>
  <c r="CR19" i="9"/>
  <c r="CS19" i="9"/>
  <c r="CT19" i="9"/>
  <c r="CU19" i="9"/>
  <c r="CV19" i="9"/>
  <c r="CW19" i="9"/>
  <c r="CX19" i="9"/>
  <c r="CY19" i="9"/>
  <c r="CZ19" i="9"/>
  <c r="DA19" i="9"/>
  <c r="DB19" i="9"/>
  <c r="DC19" i="9"/>
  <c r="DD19" i="9"/>
  <c r="DE19" i="9"/>
  <c r="DF19" i="9"/>
  <c r="DG19" i="9"/>
  <c r="DH19" i="9"/>
  <c r="DI19" i="9"/>
  <c r="DJ19" i="9"/>
  <c r="DK19" i="9"/>
  <c r="DL19" i="9"/>
  <c r="DM19" i="9"/>
  <c r="DN19" i="9"/>
  <c r="DO19" i="9"/>
  <c r="DP19" i="9"/>
  <c r="DQ19" i="9"/>
  <c r="DR19" i="9"/>
  <c r="DS19" i="9"/>
  <c r="DT19" i="9"/>
  <c r="DU19" i="9"/>
  <c r="DV19" i="9"/>
  <c r="DW19" i="9"/>
  <c r="DX19" i="9"/>
  <c r="DY19" i="9"/>
  <c r="DZ19" i="9"/>
  <c r="EA19" i="9"/>
  <c r="EB19" i="9"/>
  <c r="EC19" i="9"/>
  <c r="ED19" i="9"/>
  <c r="EE19" i="9"/>
  <c r="EF19" i="9"/>
  <c r="EG19" i="9"/>
  <c r="EH19" i="9"/>
  <c r="EI19" i="9"/>
  <c r="EJ19" i="9"/>
  <c r="EK19" i="9"/>
  <c r="EL19" i="9"/>
  <c r="EM19" i="9"/>
  <c r="EN19" i="9"/>
  <c r="EO19" i="9"/>
  <c r="EP19" i="9"/>
  <c r="EQ19" i="9"/>
  <c r="ER19" i="9"/>
  <c r="ES19" i="9"/>
  <c r="ET19" i="9"/>
  <c r="EU19" i="9"/>
  <c r="EV19" i="9"/>
  <c r="EW19" i="9"/>
  <c r="EX19" i="9"/>
  <c r="EY19" i="9"/>
  <c r="EZ19" i="9"/>
  <c r="FA19" i="9"/>
  <c r="FB19" i="9"/>
  <c r="FC19" i="9"/>
  <c r="FD19" i="9"/>
  <c r="FE19" i="9"/>
  <c r="FF19" i="9"/>
  <c r="FG19" i="9"/>
  <c r="FH19" i="9"/>
  <c r="FI19" i="9"/>
  <c r="FJ19" i="9"/>
  <c r="FK19" i="9"/>
  <c r="FL19" i="9"/>
  <c r="FM19" i="9"/>
  <c r="FN19" i="9"/>
  <c r="FO19" i="9"/>
  <c r="FP19" i="9"/>
  <c r="FQ19" i="9"/>
  <c r="FR19" i="9"/>
  <c r="FS19" i="9"/>
  <c r="FT19" i="9"/>
  <c r="FU19" i="9"/>
  <c r="FV19" i="9"/>
  <c r="FW19" i="9"/>
  <c r="FX19" i="9"/>
  <c r="FY19" i="9"/>
  <c r="FZ19" i="9"/>
  <c r="GA19" i="9"/>
  <c r="GB19" i="9"/>
  <c r="GC19" i="9"/>
  <c r="GD19" i="9"/>
  <c r="GE19" i="9"/>
  <c r="GF19" i="9"/>
  <c r="GG19" i="9"/>
  <c r="GH19" i="9"/>
  <c r="GI19" i="9"/>
  <c r="GJ19" i="9"/>
  <c r="GK19" i="9"/>
  <c r="GL19" i="9"/>
  <c r="GM19" i="9"/>
  <c r="GN19" i="9"/>
  <c r="GO19" i="9"/>
  <c r="GP19" i="9"/>
  <c r="GQ19" i="9"/>
  <c r="GR19" i="9"/>
  <c r="GS19" i="9"/>
  <c r="GT19" i="9"/>
  <c r="GU19" i="9"/>
  <c r="GV19" i="9"/>
  <c r="GW19" i="9"/>
  <c r="GX19" i="9"/>
  <c r="GY19" i="9"/>
  <c r="GZ19" i="9"/>
  <c r="HA19" i="9"/>
  <c r="HB19" i="9"/>
  <c r="HC19" i="9"/>
  <c r="HD19" i="9"/>
  <c r="HE19" i="9"/>
  <c r="HF19" i="9"/>
  <c r="HG19" i="9"/>
  <c r="HH19" i="9"/>
  <c r="HI19" i="9"/>
  <c r="HJ19" i="9"/>
  <c r="HK19" i="9"/>
  <c r="HL19" i="9"/>
  <c r="HM19" i="9"/>
  <c r="HN19" i="9"/>
  <c r="HO19" i="9"/>
  <c r="HP19" i="9"/>
  <c r="HQ19" i="9"/>
  <c r="HR19" i="9"/>
  <c r="HS19" i="9"/>
  <c r="HT19" i="9"/>
  <c r="HU19" i="9"/>
  <c r="HV19" i="9"/>
  <c r="HW19" i="9"/>
  <c r="HX19" i="9"/>
  <c r="HY19" i="9"/>
  <c r="HZ19" i="9"/>
  <c r="IA19" i="9"/>
  <c r="IB19" i="9"/>
  <c r="IC19" i="9"/>
  <c r="ID19" i="9"/>
  <c r="IE19" i="9"/>
  <c r="IF19" i="9"/>
  <c r="IG19" i="9"/>
  <c r="IH19" i="9"/>
  <c r="II19" i="9"/>
  <c r="IJ19" i="9"/>
  <c r="IK19" i="9"/>
  <c r="IL19" i="9"/>
  <c r="IM19" i="9"/>
  <c r="IN19" i="9"/>
  <c r="IO19" i="9"/>
  <c r="IP19" i="9"/>
  <c r="IQ19" i="9"/>
  <c r="IR19" i="9"/>
  <c r="IS19" i="9"/>
  <c r="IT19" i="9"/>
  <c r="IU19" i="9"/>
  <c r="IV19" i="9"/>
  <c r="A18" i="9"/>
  <c r="B18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AJ18" i="9"/>
  <c r="AK18" i="9"/>
  <c r="AL18" i="9"/>
  <c r="AM18" i="9"/>
  <c r="AN18" i="9"/>
  <c r="AO18" i="9"/>
  <c r="AP18" i="9"/>
  <c r="AQ18" i="9"/>
  <c r="AR18" i="9"/>
  <c r="AS18" i="9"/>
  <c r="AT18" i="9"/>
  <c r="AU18" i="9"/>
  <c r="AV18" i="9"/>
  <c r="AW18" i="9"/>
  <c r="AX18" i="9"/>
  <c r="AY18" i="9"/>
  <c r="AZ18" i="9"/>
  <c r="BA18" i="9"/>
  <c r="BB18" i="9"/>
  <c r="BC18" i="9"/>
  <c r="BD18" i="9"/>
  <c r="BE18" i="9"/>
  <c r="BF18" i="9"/>
  <c r="BG18" i="9"/>
  <c r="BH18" i="9"/>
  <c r="BI18" i="9"/>
  <c r="BJ18" i="9"/>
  <c r="BK18" i="9"/>
  <c r="BL18" i="9"/>
  <c r="BM18" i="9"/>
  <c r="BN18" i="9"/>
  <c r="BO18" i="9"/>
  <c r="BP18" i="9"/>
  <c r="BQ18" i="9"/>
  <c r="BR18" i="9"/>
  <c r="BS18" i="9"/>
  <c r="BT18" i="9"/>
  <c r="BU18" i="9"/>
  <c r="BV18" i="9"/>
  <c r="BW18" i="9"/>
  <c r="BX18" i="9"/>
  <c r="BY18" i="9"/>
  <c r="BZ18" i="9"/>
  <c r="CA18" i="9"/>
  <c r="CB18" i="9"/>
  <c r="CC18" i="9"/>
  <c r="CD18" i="9"/>
  <c r="CE18" i="9"/>
  <c r="CF18" i="9"/>
  <c r="CG18" i="9"/>
  <c r="CH18" i="9"/>
  <c r="CI18" i="9"/>
  <c r="CJ18" i="9"/>
  <c r="CK18" i="9"/>
  <c r="CL18" i="9"/>
  <c r="CM18" i="9"/>
  <c r="CN18" i="9"/>
  <c r="CO18" i="9"/>
  <c r="CP18" i="9"/>
  <c r="CQ18" i="9"/>
  <c r="CR18" i="9"/>
  <c r="CS18" i="9"/>
  <c r="CT18" i="9"/>
  <c r="CU18" i="9"/>
  <c r="CV18" i="9"/>
  <c r="CW18" i="9"/>
  <c r="CX18" i="9"/>
  <c r="CY18" i="9"/>
  <c r="CZ18" i="9"/>
  <c r="DA18" i="9"/>
  <c r="DB18" i="9"/>
  <c r="DC18" i="9"/>
  <c r="DD18" i="9"/>
  <c r="DE18" i="9"/>
  <c r="DF18" i="9"/>
  <c r="DG18" i="9"/>
  <c r="DH18" i="9"/>
  <c r="DI18" i="9"/>
  <c r="DJ18" i="9"/>
  <c r="DK18" i="9"/>
  <c r="DL18" i="9"/>
  <c r="DM18" i="9"/>
  <c r="DN18" i="9"/>
  <c r="DO18" i="9"/>
  <c r="DP18" i="9"/>
  <c r="DQ18" i="9"/>
  <c r="DR18" i="9"/>
  <c r="DS18" i="9"/>
  <c r="DT18" i="9"/>
  <c r="DU18" i="9"/>
  <c r="DV18" i="9"/>
  <c r="DW18" i="9"/>
  <c r="DX18" i="9"/>
  <c r="DY18" i="9"/>
  <c r="DZ18" i="9"/>
  <c r="EA18" i="9"/>
  <c r="EB18" i="9"/>
  <c r="EC18" i="9"/>
  <c r="ED18" i="9"/>
  <c r="EE18" i="9"/>
  <c r="EF18" i="9"/>
  <c r="EG18" i="9"/>
  <c r="EH18" i="9"/>
  <c r="EI18" i="9"/>
  <c r="EJ18" i="9"/>
  <c r="EK18" i="9"/>
  <c r="EL18" i="9"/>
  <c r="EM18" i="9"/>
  <c r="EN18" i="9"/>
  <c r="EO18" i="9"/>
  <c r="EP18" i="9"/>
  <c r="EQ18" i="9"/>
  <c r="ER18" i="9"/>
  <c r="ES18" i="9"/>
  <c r="ET18" i="9"/>
  <c r="EU18" i="9"/>
  <c r="EV18" i="9"/>
  <c r="EW18" i="9"/>
  <c r="EX18" i="9"/>
  <c r="EY18" i="9"/>
  <c r="EZ18" i="9"/>
  <c r="FA18" i="9"/>
  <c r="FB18" i="9"/>
  <c r="FC18" i="9"/>
  <c r="FD18" i="9"/>
  <c r="FE18" i="9"/>
  <c r="FF18" i="9"/>
  <c r="FG18" i="9"/>
  <c r="FH18" i="9"/>
  <c r="FI18" i="9"/>
  <c r="FJ18" i="9"/>
  <c r="FK18" i="9"/>
  <c r="FL18" i="9"/>
  <c r="FM18" i="9"/>
  <c r="FN18" i="9"/>
  <c r="FO18" i="9"/>
  <c r="FP18" i="9"/>
  <c r="FQ18" i="9"/>
  <c r="FR18" i="9"/>
  <c r="FS18" i="9"/>
  <c r="FT18" i="9"/>
  <c r="FU18" i="9"/>
  <c r="FV18" i="9"/>
  <c r="FW18" i="9"/>
  <c r="FX18" i="9"/>
  <c r="FY18" i="9"/>
  <c r="FZ18" i="9"/>
  <c r="GA18" i="9"/>
  <c r="GB18" i="9"/>
  <c r="GC18" i="9"/>
  <c r="GD18" i="9"/>
  <c r="GE18" i="9"/>
  <c r="GF18" i="9"/>
  <c r="GG18" i="9"/>
  <c r="GH18" i="9"/>
  <c r="GI18" i="9"/>
  <c r="GJ18" i="9"/>
  <c r="GK18" i="9"/>
  <c r="GL18" i="9"/>
  <c r="GM18" i="9"/>
  <c r="GN18" i="9"/>
  <c r="GO18" i="9"/>
  <c r="GP18" i="9"/>
  <c r="GQ18" i="9"/>
  <c r="GR18" i="9"/>
  <c r="GS18" i="9"/>
  <c r="GT18" i="9"/>
  <c r="GU18" i="9"/>
  <c r="GV18" i="9"/>
  <c r="GW18" i="9"/>
  <c r="GX18" i="9"/>
  <c r="GY18" i="9"/>
  <c r="GZ18" i="9"/>
  <c r="HA18" i="9"/>
  <c r="HB18" i="9"/>
  <c r="HC18" i="9"/>
  <c r="HD18" i="9"/>
  <c r="HE18" i="9"/>
  <c r="HF18" i="9"/>
  <c r="HG18" i="9"/>
  <c r="HH18" i="9"/>
  <c r="HI18" i="9"/>
  <c r="HJ18" i="9"/>
  <c r="HK18" i="9"/>
  <c r="HL18" i="9"/>
  <c r="HM18" i="9"/>
  <c r="HN18" i="9"/>
  <c r="HO18" i="9"/>
  <c r="HP18" i="9"/>
  <c r="HQ18" i="9"/>
  <c r="HR18" i="9"/>
  <c r="HS18" i="9"/>
  <c r="HT18" i="9"/>
  <c r="HU18" i="9"/>
  <c r="HV18" i="9"/>
  <c r="HW18" i="9"/>
  <c r="HX18" i="9"/>
  <c r="HY18" i="9"/>
  <c r="HZ18" i="9"/>
  <c r="IA18" i="9"/>
  <c r="IB18" i="9"/>
  <c r="IC18" i="9"/>
  <c r="ID18" i="9"/>
  <c r="IE18" i="9"/>
  <c r="IF18" i="9"/>
  <c r="IG18" i="9"/>
  <c r="IH18" i="9"/>
  <c r="II18" i="9"/>
  <c r="IJ18" i="9"/>
  <c r="IK18" i="9"/>
  <c r="IL18" i="9"/>
  <c r="IM18" i="9"/>
  <c r="IN18" i="9"/>
  <c r="IO18" i="9"/>
  <c r="IP18" i="9"/>
  <c r="IQ18" i="9"/>
  <c r="IR18" i="9"/>
  <c r="IS18" i="9"/>
  <c r="IT18" i="9"/>
  <c r="IU18" i="9"/>
  <c r="IV18" i="9"/>
  <c r="A17" i="9"/>
  <c r="B17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AI17" i="9"/>
  <c r="AJ17" i="9"/>
  <c r="AK17" i="9"/>
  <c r="AL17" i="9"/>
  <c r="AM17" i="9"/>
  <c r="AN17" i="9"/>
  <c r="AO17" i="9"/>
  <c r="AP17" i="9"/>
  <c r="AQ17" i="9"/>
  <c r="AR17" i="9"/>
  <c r="AS17" i="9"/>
  <c r="AT17" i="9"/>
  <c r="AU17" i="9"/>
  <c r="AV17" i="9"/>
  <c r="AW17" i="9"/>
  <c r="AX17" i="9"/>
  <c r="AY17" i="9"/>
  <c r="AZ17" i="9"/>
  <c r="BA17" i="9"/>
  <c r="BB17" i="9"/>
  <c r="BC17" i="9"/>
  <c r="BD17" i="9"/>
  <c r="BE17" i="9"/>
  <c r="BF17" i="9"/>
  <c r="BG17" i="9"/>
  <c r="BH17" i="9"/>
  <c r="BI17" i="9"/>
  <c r="BJ17" i="9"/>
  <c r="BK17" i="9"/>
  <c r="BL17" i="9"/>
  <c r="BM17" i="9"/>
  <c r="BN17" i="9"/>
  <c r="BO17" i="9"/>
  <c r="BP17" i="9"/>
  <c r="BQ17" i="9"/>
  <c r="BR17" i="9"/>
  <c r="BS17" i="9"/>
  <c r="BT17" i="9"/>
  <c r="BU17" i="9"/>
  <c r="BV17" i="9"/>
  <c r="BW17" i="9"/>
  <c r="BX17" i="9"/>
  <c r="BY17" i="9"/>
  <c r="BZ17" i="9"/>
  <c r="CA17" i="9"/>
  <c r="CB17" i="9"/>
  <c r="CC17" i="9"/>
  <c r="CD17" i="9"/>
  <c r="CE17" i="9"/>
  <c r="CF17" i="9"/>
  <c r="CG17" i="9"/>
  <c r="CH17" i="9"/>
  <c r="CI17" i="9"/>
  <c r="CJ17" i="9"/>
  <c r="CK17" i="9"/>
  <c r="CL17" i="9"/>
  <c r="CM17" i="9"/>
  <c r="CN17" i="9"/>
  <c r="CO17" i="9"/>
  <c r="CP17" i="9"/>
  <c r="CQ17" i="9"/>
  <c r="CR17" i="9"/>
  <c r="CS17" i="9"/>
  <c r="CT17" i="9"/>
  <c r="CU17" i="9"/>
  <c r="CV17" i="9"/>
  <c r="CW17" i="9"/>
  <c r="CX17" i="9"/>
  <c r="CY17" i="9"/>
  <c r="CZ17" i="9"/>
  <c r="DA17" i="9"/>
  <c r="DB17" i="9"/>
  <c r="DC17" i="9"/>
  <c r="DD17" i="9"/>
  <c r="DE17" i="9"/>
  <c r="DF17" i="9"/>
  <c r="DG17" i="9"/>
  <c r="DH17" i="9"/>
  <c r="DI17" i="9"/>
  <c r="DJ17" i="9"/>
  <c r="DK17" i="9"/>
  <c r="DL17" i="9"/>
  <c r="DM17" i="9"/>
  <c r="DN17" i="9"/>
  <c r="DO17" i="9"/>
  <c r="DP17" i="9"/>
  <c r="DQ17" i="9"/>
  <c r="DR17" i="9"/>
  <c r="DS17" i="9"/>
  <c r="DT17" i="9"/>
  <c r="DU17" i="9"/>
  <c r="DV17" i="9"/>
  <c r="DW17" i="9"/>
  <c r="DX17" i="9"/>
  <c r="DY17" i="9"/>
  <c r="DZ17" i="9"/>
  <c r="EA17" i="9"/>
  <c r="EB17" i="9"/>
  <c r="EC17" i="9"/>
  <c r="ED17" i="9"/>
  <c r="EE17" i="9"/>
  <c r="EF17" i="9"/>
  <c r="EG17" i="9"/>
  <c r="EH17" i="9"/>
  <c r="EI17" i="9"/>
  <c r="EJ17" i="9"/>
  <c r="EK17" i="9"/>
  <c r="EL17" i="9"/>
  <c r="EM17" i="9"/>
  <c r="EN17" i="9"/>
  <c r="EO17" i="9"/>
  <c r="EP17" i="9"/>
  <c r="EQ17" i="9"/>
  <c r="ER17" i="9"/>
  <c r="ES17" i="9"/>
  <c r="ET17" i="9"/>
  <c r="EU17" i="9"/>
  <c r="EV17" i="9"/>
  <c r="EW17" i="9"/>
  <c r="EX17" i="9"/>
  <c r="EY17" i="9"/>
  <c r="EZ17" i="9"/>
  <c r="FA17" i="9"/>
  <c r="FB17" i="9"/>
  <c r="FC17" i="9"/>
  <c r="FD17" i="9"/>
  <c r="FE17" i="9"/>
  <c r="FF17" i="9"/>
  <c r="FG17" i="9"/>
  <c r="FH17" i="9"/>
  <c r="FI17" i="9"/>
  <c r="FJ17" i="9"/>
  <c r="FK17" i="9"/>
  <c r="FL17" i="9"/>
  <c r="FM17" i="9"/>
  <c r="FN17" i="9"/>
  <c r="FO17" i="9"/>
  <c r="FP17" i="9"/>
  <c r="FQ17" i="9"/>
  <c r="FR17" i="9"/>
  <c r="FS17" i="9"/>
  <c r="FT17" i="9"/>
  <c r="FU17" i="9"/>
  <c r="FV17" i="9"/>
  <c r="FW17" i="9"/>
  <c r="FX17" i="9"/>
  <c r="FY17" i="9"/>
  <c r="FZ17" i="9"/>
  <c r="GA17" i="9"/>
  <c r="GB17" i="9"/>
  <c r="GC17" i="9"/>
  <c r="GD17" i="9"/>
  <c r="GE17" i="9"/>
  <c r="GF17" i="9"/>
  <c r="GG17" i="9"/>
  <c r="GH17" i="9"/>
  <c r="GI17" i="9"/>
  <c r="GJ17" i="9"/>
  <c r="GK17" i="9"/>
  <c r="GL17" i="9"/>
  <c r="GM17" i="9"/>
  <c r="GN17" i="9"/>
  <c r="GO17" i="9"/>
  <c r="GP17" i="9"/>
  <c r="GQ17" i="9"/>
  <c r="GR17" i="9"/>
  <c r="GS17" i="9"/>
  <c r="GT17" i="9"/>
  <c r="GU17" i="9"/>
  <c r="GV17" i="9"/>
  <c r="GW17" i="9"/>
  <c r="GX17" i="9"/>
  <c r="GY17" i="9"/>
  <c r="GZ17" i="9"/>
  <c r="HA17" i="9"/>
  <c r="HB17" i="9"/>
  <c r="HC17" i="9"/>
  <c r="HD17" i="9"/>
  <c r="HE17" i="9"/>
  <c r="HF17" i="9"/>
  <c r="HG17" i="9"/>
  <c r="HH17" i="9"/>
  <c r="HI17" i="9"/>
  <c r="HJ17" i="9"/>
  <c r="HK17" i="9"/>
  <c r="HL17" i="9"/>
  <c r="HM17" i="9"/>
  <c r="HN17" i="9"/>
  <c r="HO17" i="9"/>
  <c r="HP17" i="9"/>
  <c r="HQ17" i="9"/>
  <c r="HR17" i="9"/>
  <c r="HS17" i="9"/>
  <c r="HT17" i="9"/>
  <c r="HU17" i="9"/>
  <c r="HV17" i="9"/>
  <c r="HW17" i="9"/>
  <c r="HX17" i="9"/>
  <c r="HY17" i="9"/>
  <c r="HZ17" i="9"/>
  <c r="IA17" i="9"/>
  <c r="IB17" i="9"/>
  <c r="IC17" i="9"/>
  <c r="ID17" i="9"/>
  <c r="IE17" i="9"/>
  <c r="IF17" i="9"/>
  <c r="IG17" i="9"/>
  <c r="IH17" i="9"/>
  <c r="II17" i="9"/>
  <c r="IJ17" i="9"/>
  <c r="IK17" i="9"/>
  <c r="IL17" i="9"/>
  <c r="IM17" i="9"/>
  <c r="IN17" i="9"/>
  <c r="IO17" i="9"/>
  <c r="IP17" i="9"/>
  <c r="IQ17" i="9"/>
  <c r="IR17" i="9"/>
  <c r="IS17" i="9"/>
  <c r="IT17" i="9"/>
  <c r="IU17" i="9"/>
  <c r="IV17" i="9"/>
  <c r="A16" i="9"/>
  <c r="B16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AI16" i="9"/>
  <c r="AJ16" i="9"/>
  <c r="AK16" i="9"/>
  <c r="AL16" i="9"/>
  <c r="AM16" i="9"/>
  <c r="AN16" i="9"/>
  <c r="AO16" i="9"/>
  <c r="AP16" i="9"/>
  <c r="AQ16" i="9"/>
  <c r="AR16" i="9"/>
  <c r="AS16" i="9"/>
  <c r="AT16" i="9"/>
  <c r="AU16" i="9"/>
  <c r="AV16" i="9"/>
  <c r="AW16" i="9"/>
  <c r="AX16" i="9"/>
  <c r="AY16" i="9"/>
  <c r="AZ16" i="9"/>
  <c r="BA16" i="9"/>
  <c r="BB16" i="9"/>
  <c r="BC16" i="9"/>
  <c r="BD16" i="9"/>
  <c r="BE16" i="9"/>
  <c r="BF16" i="9"/>
  <c r="BG16" i="9"/>
  <c r="BH16" i="9"/>
  <c r="BI16" i="9"/>
  <c r="BJ16" i="9"/>
  <c r="BK16" i="9"/>
  <c r="BL16" i="9"/>
  <c r="BM16" i="9"/>
  <c r="BN16" i="9"/>
  <c r="BO16" i="9"/>
  <c r="BP16" i="9"/>
  <c r="BQ16" i="9"/>
  <c r="BR16" i="9"/>
  <c r="BS16" i="9"/>
  <c r="BT16" i="9"/>
  <c r="BU16" i="9"/>
  <c r="BV16" i="9"/>
  <c r="BW16" i="9"/>
  <c r="BX16" i="9"/>
  <c r="BY16" i="9"/>
  <c r="BZ16" i="9"/>
  <c r="CA16" i="9"/>
  <c r="CB16" i="9"/>
  <c r="CC16" i="9"/>
  <c r="CD16" i="9"/>
  <c r="CE16" i="9"/>
  <c r="CF16" i="9"/>
  <c r="CG16" i="9"/>
  <c r="CH16" i="9"/>
  <c r="CI16" i="9"/>
  <c r="CJ16" i="9"/>
  <c r="CK16" i="9"/>
  <c r="CL16" i="9"/>
  <c r="CM16" i="9"/>
  <c r="CN16" i="9"/>
  <c r="CO16" i="9"/>
  <c r="CP16" i="9"/>
  <c r="CQ16" i="9"/>
  <c r="CR16" i="9"/>
  <c r="CS16" i="9"/>
  <c r="CT16" i="9"/>
  <c r="CU16" i="9"/>
  <c r="CV16" i="9"/>
  <c r="CW16" i="9"/>
  <c r="CX16" i="9"/>
  <c r="CY16" i="9"/>
  <c r="CZ16" i="9"/>
  <c r="DA16" i="9"/>
  <c r="DB16" i="9"/>
  <c r="DC16" i="9"/>
  <c r="DD16" i="9"/>
  <c r="DE16" i="9"/>
  <c r="DF16" i="9"/>
  <c r="DG16" i="9"/>
  <c r="DH16" i="9"/>
  <c r="DI16" i="9"/>
  <c r="DJ16" i="9"/>
  <c r="DK16" i="9"/>
  <c r="DL16" i="9"/>
  <c r="DM16" i="9"/>
  <c r="DN16" i="9"/>
  <c r="DO16" i="9"/>
  <c r="DP16" i="9"/>
  <c r="DQ16" i="9"/>
  <c r="DR16" i="9"/>
  <c r="DS16" i="9"/>
  <c r="DT16" i="9"/>
  <c r="DU16" i="9"/>
  <c r="DV16" i="9"/>
  <c r="DW16" i="9"/>
  <c r="DX16" i="9"/>
  <c r="DY16" i="9"/>
  <c r="DZ16" i="9"/>
  <c r="EA16" i="9"/>
  <c r="EB16" i="9"/>
  <c r="EC16" i="9"/>
  <c r="ED16" i="9"/>
  <c r="EE16" i="9"/>
  <c r="EF16" i="9"/>
  <c r="EG16" i="9"/>
  <c r="EH16" i="9"/>
  <c r="EI16" i="9"/>
  <c r="EJ16" i="9"/>
  <c r="EK16" i="9"/>
  <c r="EL16" i="9"/>
  <c r="EM16" i="9"/>
  <c r="EN16" i="9"/>
  <c r="EO16" i="9"/>
  <c r="EP16" i="9"/>
  <c r="EQ16" i="9"/>
  <c r="ER16" i="9"/>
  <c r="ES16" i="9"/>
  <c r="ET16" i="9"/>
  <c r="EU16" i="9"/>
  <c r="EV16" i="9"/>
  <c r="EW16" i="9"/>
  <c r="EX16" i="9"/>
  <c r="EY16" i="9"/>
  <c r="EZ16" i="9"/>
  <c r="FA16" i="9"/>
  <c r="FB16" i="9"/>
  <c r="FC16" i="9"/>
  <c r="FD16" i="9"/>
  <c r="FE16" i="9"/>
  <c r="FF16" i="9"/>
  <c r="FG16" i="9"/>
  <c r="FH16" i="9"/>
  <c r="FI16" i="9"/>
  <c r="FJ16" i="9"/>
  <c r="FK16" i="9"/>
  <c r="FL16" i="9"/>
  <c r="FM16" i="9"/>
  <c r="FN16" i="9"/>
  <c r="FO16" i="9"/>
  <c r="FP16" i="9"/>
  <c r="FQ16" i="9"/>
  <c r="FR16" i="9"/>
  <c r="FS16" i="9"/>
  <c r="FT16" i="9"/>
  <c r="FU16" i="9"/>
  <c r="FV16" i="9"/>
  <c r="FW16" i="9"/>
  <c r="FX16" i="9"/>
  <c r="FY16" i="9"/>
  <c r="FZ16" i="9"/>
  <c r="GA16" i="9"/>
  <c r="GB16" i="9"/>
  <c r="GC16" i="9"/>
  <c r="GD16" i="9"/>
  <c r="GE16" i="9"/>
  <c r="GF16" i="9"/>
  <c r="GG16" i="9"/>
  <c r="GH16" i="9"/>
  <c r="GI16" i="9"/>
  <c r="GJ16" i="9"/>
  <c r="GK16" i="9"/>
  <c r="GL16" i="9"/>
  <c r="GM16" i="9"/>
  <c r="GN16" i="9"/>
  <c r="GO16" i="9"/>
  <c r="GP16" i="9"/>
  <c r="GQ16" i="9"/>
  <c r="GR16" i="9"/>
  <c r="GS16" i="9"/>
  <c r="GT16" i="9"/>
  <c r="GU16" i="9"/>
  <c r="GV16" i="9"/>
  <c r="GW16" i="9"/>
  <c r="GX16" i="9"/>
  <c r="GY16" i="9"/>
  <c r="GZ16" i="9"/>
  <c r="HA16" i="9"/>
  <c r="HB16" i="9"/>
  <c r="HC16" i="9"/>
  <c r="HD16" i="9"/>
  <c r="HE16" i="9"/>
  <c r="HF16" i="9"/>
  <c r="HG16" i="9"/>
  <c r="HH16" i="9"/>
  <c r="HI16" i="9"/>
  <c r="HJ16" i="9"/>
  <c r="HK16" i="9"/>
  <c r="HL16" i="9"/>
  <c r="HM16" i="9"/>
  <c r="HN16" i="9"/>
  <c r="HO16" i="9"/>
  <c r="HP16" i="9"/>
  <c r="HQ16" i="9"/>
  <c r="HR16" i="9"/>
  <c r="HS16" i="9"/>
  <c r="HT16" i="9"/>
  <c r="HU16" i="9"/>
  <c r="HV16" i="9"/>
  <c r="HW16" i="9"/>
  <c r="HX16" i="9"/>
  <c r="HY16" i="9"/>
  <c r="HZ16" i="9"/>
  <c r="IA16" i="9"/>
  <c r="IB16" i="9"/>
  <c r="IC16" i="9"/>
  <c r="ID16" i="9"/>
  <c r="IE16" i="9"/>
  <c r="IF16" i="9"/>
  <c r="IG16" i="9"/>
  <c r="IH16" i="9"/>
  <c r="II16" i="9"/>
  <c r="IJ16" i="9"/>
  <c r="IK16" i="9"/>
  <c r="IL16" i="9"/>
  <c r="IM16" i="9"/>
  <c r="IN16" i="9"/>
  <c r="IO16" i="9"/>
  <c r="IP16" i="9"/>
  <c r="IQ16" i="9"/>
  <c r="IR16" i="9"/>
  <c r="IS16" i="9"/>
  <c r="IT16" i="9"/>
  <c r="IU16" i="9"/>
  <c r="IV16" i="9"/>
  <c r="A15" i="9"/>
  <c r="B15" i="9"/>
  <c r="C15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AF15" i="9"/>
  <c r="AG15" i="9"/>
  <c r="AH15" i="9"/>
  <c r="AI15" i="9"/>
  <c r="AJ15" i="9"/>
  <c r="AK15" i="9"/>
  <c r="AL15" i="9"/>
  <c r="AM15" i="9"/>
  <c r="AN15" i="9"/>
  <c r="AO15" i="9"/>
  <c r="AP15" i="9"/>
  <c r="AQ15" i="9"/>
  <c r="AR15" i="9"/>
  <c r="AS15" i="9"/>
  <c r="AT15" i="9"/>
  <c r="AU15" i="9"/>
  <c r="AV15" i="9"/>
  <c r="AW15" i="9"/>
  <c r="AX15" i="9"/>
  <c r="AY15" i="9"/>
  <c r="AZ15" i="9"/>
  <c r="BA15" i="9"/>
  <c r="BB15" i="9"/>
  <c r="BC15" i="9"/>
  <c r="BD15" i="9"/>
  <c r="BE15" i="9"/>
  <c r="BF15" i="9"/>
  <c r="BG15" i="9"/>
  <c r="BH15" i="9"/>
  <c r="BI15" i="9"/>
  <c r="BJ15" i="9"/>
  <c r="BK15" i="9"/>
  <c r="BL15" i="9"/>
  <c r="BM15" i="9"/>
  <c r="BN15" i="9"/>
  <c r="BO15" i="9"/>
  <c r="BP15" i="9"/>
  <c r="BQ15" i="9"/>
  <c r="BR15" i="9"/>
  <c r="BS15" i="9"/>
  <c r="BT15" i="9"/>
  <c r="BU15" i="9"/>
  <c r="BV15" i="9"/>
  <c r="BW15" i="9"/>
  <c r="BX15" i="9"/>
  <c r="BY15" i="9"/>
  <c r="BZ15" i="9"/>
  <c r="CA15" i="9"/>
  <c r="CB15" i="9"/>
  <c r="CC15" i="9"/>
  <c r="CD15" i="9"/>
  <c r="CE15" i="9"/>
  <c r="CF15" i="9"/>
  <c r="CG15" i="9"/>
  <c r="CH15" i="9"/>
  <c r="CI15" i="9"/>
  <c r="CJ15" i="9"/>
  <c r="CK15" i="9"/>
  <c r="CL15" i="9"/>
  <c r="CM15" i="9"/>
  <c r="CN15" i="9"/>
  <c r="CO15" i="9"/>
  <c r="CP15" i="9"/>
  <c r="CQ15" i="9"/>
  <c r="CR15" i="9"/>
  <c r="CS15" i="9"/>
  <c r="CT15" i="9"/>
  <c r="CU15" i="9"/>
  <c r="CV15" i="9"/>
  <c r="CW15" i="9"/>
  <c r="CX15" i="9"/>
  <c r="CY15" i="9"/>
  <c r="CZ15" i="9"/>
  <c r="DA15" i="9"/>
  <c r="DB15" i="9"/>
  <c r="DC15" i="9"/>
  <c r="DD15" i="9"/>
  <c r="DE15" i="9"/>
  <c r="DF15" i="9"/>
  <c r="DG15" i="9"/>
  <c r="DH15" i="9"/>
  <c r="DI15" i="9"/>
  <c r="DJ15" i="9"/>
  <c r="DK15" i="9"/>
  <c r="DL15" i="9"/>
  <c r="DM15" i="9"/>
  <c r="DN15" i="9"/>
  <c r="DO15" i="9"/>
  <c r="DP15" i="9"/>
  <c r="DQ15" i="9"/>
  <c r="DR15" i="9"/>
  <c r="DS15" i="9"/>
  <c r="DT15" i="9"/>
  <c r="DU15" i="9"/>
  <c r="DV15" i="9"/>
  <c r="DW15" i="9"/>
  <c r="DX15" i="9"/>
  <c r="DY15" i="9"/>
  <c r="DZ15" i="9"/>
  <c r="EA15" i="9"/>
  <c r="EB15" i="9"/>
  <c r="EC15" i="9"/>
  <c r="ED15" i="9"/>
  <c r="EE15" i="9"/>
  <c r="EF15" i="9"/>
  <c r="EG15" i="9"/>
  <c r="EH15" i="9"/>
  <c r="EI15" i="9"/>
  <c r="EJ15" i="9"/>
  <c r="EK15" i="9"/>
  <c r="EL15" i="9"/>
  <c r="EM15" i="9"/>
  <c r="EN15" i="9"/>
  <c r="EO15" i="9"/>
  <c r="EP15" i="9"/>
  <c r="EQ15" i="9"/>
  <c r="ER15" i="9"/>
  <c r="ES15" i="9"/>
  <c r="ET15" i="9"/>
  <c r="EU15" i="9"/>
  <c r="EV15" i="9"/>
  <c r="EW15" i="9"/>
  <c r="EX15" i="9"/>
  <c r="EY15" i="9"/>
  <c r="EZ15" i="9"/>
  <c r="FA15" i="9"/>
  <c r="FB15" i="9"/>
  <c r="FC15" i="9"/>
  <c r="FD15" i="9"/>
  <c r="FE15" i="9"/>
  <c r="FF15" i="9"/>
  <c r="FG15" i="9"/>
  <c r="FH15" i="9"/>
  <c r="FI15" i="9"/>
  <c r="FJ15" i="9"/>
  <c r="FK15" i="9"/>
  <c r="FL15" i="9"/>
  <c r="FM15" i="9"/>
  <c r="FN15" i="9"/>
  <c r="FO15" i="9"/>
  <c r="FP15" i="9"/>
  <c r="FQ15" i="9"/>
  <c r="FR15" i="9"/>
  <c r="FS15" i="9"/>
  <c r="FT15" i="9"/>
  <c r="FU15" i="9"/>
  <c r="FV15" i="9"/>
  <c r="FW15" i="9"/>
  <c r="FX15" i="9"/>
  <c r="FY15" i="9"/>
  <c r="FZ15" i="9"/>
  <c r="GA15" i="9"/>
  <c r="GB15" i="9"/>
  <c r="GC15" i="9"/>
  <c r="GD15" i="9"/>
  <c r="GE15" i="9"/>
  <c r="GF15" i="9"/>
  <c r="GG15" i="9"/>
  <c r="GH15" i="9"/>
  <c r="GI15" i="9"/>
  <c r="GJ15" i="9"/>
  <c r="GK15" i="9"/>
  <c r="GL15" i="9"/>
  <c r="GM15" i="9"/>
  <c r="GN15" i="9"/>
  <c r="GO15" i="9"/>
  <c r="GP15" i="9"/>
  <c r="GQ15" i="9"/>
  <c r="GR15" i="9"/>
  <c r="GS15" i="9"/>
  <c r="GT15" i="9"/>
  <c r="GU15" i="9"/>
  <c r="GV15" i="9"/>
  <c r="GW15" i="9"/>
  <c r="GX15" i="9"/>
  <c r="GY15" i="9"/>
  <c r="GZ15" i="9"/>
  <c r="HA15" i="9"/>
  <c r="HB15" i="9"/>
  <c r="HC15" i="9"/>
  <c r="HD15" i="9"/>
  <c r="HE15" i="9"/>
  <c r="HF15" i="9"/>
  <c r="HG15" i="9"/>
  <c r="HH15" i="9"/>
  <c r="HI15" i="9"/>
  <c r="HJ15" i="9"/>
  <c r="HK15" i="9"/>
  <c r="HL15" i="9"/>
  <c r="HM15" i="9"/>
  <c r="HN15" i="9"/>
  <c r="HO15" i="9"/>
  <c r="HP15" i="9"/>
  <c r="HQ15" i="9"/>
  <c r="HR15" i="9"/>
  <c r="HS15" i="9"/>
  <c r="HT15" i="9"/>
  <c r="HU15" i="9"/>
  <c r="HV15" i="9"/>
  <c r="HW15" i="9"/>
  <c r="HX15" i="9"/>
  <c r="HY15" i="9"/>
  <c r="HZ15" i="9"/>
  <c r="IA15" i="9"/>
  <c r="IB15" i="9"/>
  <c r="IC15" i="9"/>
  <c r="ID15" i="9"/>
  <c r="IE15" i="9"/>
  <c r="IF15" i="9"/>
  <c r="IG15" i="9"/>
  <c r="IH15" i="9"/>
  <c r="II15" i="9"/>
  <c r="IJ15" i="9"/>
  <c r="IK15" i="9"/>
  <c r="IL15" i="9"/>
  <c r="IM15" i="9"/>
  <c r="IN15" i="9"/>
  <c r="IO15" i="9"/>
  <c r="IP15" i="9"/>
  <c r="IQ15" i="9"/>
  <c r="IR15" i="9"/>
  <c r="IS15" i="9"/>
  <c r="IT15" i="9"/>
  <c r="IU15" i="9"/>
  <c r="IV15" i="9"/>
  <c r="A14" i="9"/>
  <c r="B14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M14" i="9"/>
  <c r="AN14" i="9"/>
  <c r="AO14" i="9"/>
  <c r="AP14" i="9"/>
  <c r="AQ14" i="9"/>
  <c r="AR14" i="9"/>
  <c r="AS14" i="9"/>
  <c r="AT14" i="9"/>
  <c r="AU14" i="9"/>
  <c r="AV14" i="9"/>
  <c r="AW14" i="9"/>
  <c r="AX14" i="9"/>
  <c r="AY14" i="9"/>
  <c r="AZ14" i="9"/>
  <c r="BA14" i="9"/>
  <c r="BB14" i="9"/>
  <c r="BC14" i="9"/>
  <c r="BD14" i="9"/>
  <c r="BE14" i="9"/>
  <c r="BF14" i="9"/>
  <c r="BG14" i="9"/>
  <c r="BH14" i="9"/>
  <c r="BI14" i="9"/>
  <c r="BJ14" i="9"/>
  <c r="BK14" i="9"/>
  <c r="BL14" i="9"/>
  <c r="BM14" i="9"/>
  <c r="BN14" i="9"/>
  <c r="BO14" i="9"/>
  <c r="BP14" i="9"/>
  <c r="BQ14" i="9"/>
  <c r="BR14" i="9"/>
  <c r="BS14" i="9"/>
  <c r="BT14" i="9"/>
  <c r="BU14" i="9"/>
  <c r="BV14" i="9"/>
  <c r="BW14" i="9"/>
  <c r="BX14" i="9"/>
  <c r="BY14" i="9"/>
  <c r="BZ14" i="9"/>
  <c r="CA14" i="9"/>
  <c r="CB14" i="9"/>
  <c r="CC14" i="9"/>
  <c r="CD14" i="9"/>
  <c r="CE14" i="9"/>
  <c r="CF14" i="9"/>
  <c r="CG14" i="9"/>
  <c r="CH14" i="9"/>
  <c r="CI14" i="9"/>
  <c r="CJ14" i="9"/>
  <c r="CK14" i="9"/>
  <c r="CL14" i="9"/>
  <c r="CM14" i="9"/>
  <c r="CN14" i="9"/>
  <c r="CO14" i="9"/>
  <c r="CP14" i="9"/>
  <c r="CQ14" i="9"/>
  <c r="CR14" i="9"/>
  <c r="CS14" i="9"/>
  <c r="CT14" i="9"/>
  <c r="CU14" i="9"/>
  <c r="CV14" i="9"/>
  <c r="CW14" i="9"/>
  <c r="CX14" i="9"/>
  <c r="CY14" i="9"/>
  <c r="CZ14" i="9"/>
  <c r="DA14" i="9"/>
  <c r="DB14" i="9"/>
  <c r="DC14" i="9"/>
  <c r="DD14" i="9"/>
  <c r="DE14" i="9"/>
  <c r="DF14" i="9"/>
  <c r="DG14" i="9"/>
  <c r="DH14" i="9"/>
  <c r="DI14" i="9"/>
  <c r="DJ14" i="9"/>
  <c r="DK14" i="9"/>
  <c r="DL14" i="9"/>
  <c r="DM14" i="9"/>
  <c r="DN14" i="9"/>
  <c r="DO14" i="9"/>
  <c r="DP14" i="9"/>
  <c r="DQ14" i="9"/>
  <c r="DR14" i="9"/>
  <c r="DS14" i="9"/>
  <c r="DT14" i="9"/>
  <c r="DU14" i="9"/>
  <c r="DV14" i="9"/>
  <c r="DW14" i="9"/>
  <c r="DX14" i="9"/>
  <c r="DY14" i="9"/>
  <c r="DZ14" i="9"/>
  <c r="EA14" i="9"/>
  <c r="EB14" i="9"/>
  <c r="EC14" i="9"/>
  <c r="ED14" i="9"/>
  <c r="EE14" i="9"/>
  <c r="EF14" i="9"/>
  <c r="EG14" i="9"/>
  <c r="EH14" i="9"/>
  <c r="EI14" i="9"/>
  <c r="EJ14" i="9"/>
  <c r="EK14" i="9"/>
  <c r="EL14" i="9"/>
  <c r="EM14" i="9"/>
  <c r="EN14" i="9"/>
  <c r="EO14" i="9"/>
  <c r="EP14" i="9"/>
  <c r="EQ14" i="9"/>
  <c r="ER14" i="9"/>
  <c r="ES14" i="9"/>
  <c r="ET14" i="9"/>
  <c r="EU14" i="9"/>
  <c r="EV14" i="9"/>
  <c r="EW14" i="9"/>
  <c r="EX14" i="9"/>
  <c r="EY14" i="9"/>
  <c r="EZ14" i="9"/>
  <c r="FA14" i="9"/>
  <c r="FB14" i="9"/>
  <c r="FC14" i="9"/>
  <c r="FD14" i="9"/>
  <c r="FE14" i="9"/>
  <c r="FF14" i="9"/>
  <c r="FG14" i="9"/>
  <c r="FH14" i="9"/>
  <c r="FI14" i="9"/>
  <c r="FJ14" i="9"/>
  <c r="FK14" i="9"/>
  <c r="FL14" i="9"/>
  <c r="FM14" i="9"/>
  <c r="FN14" i="9"/>
  <c r="FO14" i="9"/>
  <c r="FP14" i="9"/>
  <c r="FQ14" i="9"/>
  <c r="FR14" i="9"/>
  <c r="FS14" i="9"/>
  <c r="FT14" i="9"/>
  <c r="FU14" i="9"/>
  <c r="FV14" i="9"/>
  <c r="FW14" i="9"/>
  <c r="FX14" i="9"/>
  <c r="FY14" i="9"/>
  <c r="FZ14" i="9"/>
  <c r="GA14" i="9"/>
  <c r="GB14" i="9"/>
  <c r="GC14" i="9"/>
  <c r="GD14" i="9"/>
  <c r="GE14" i="9"/>
  <c r="GF14" i="9"/>
  <c r="GG14" i="9"/>
  <c r="GH14" i="9"/>
  <c r="GI14" i="9"/>
  <c r="GJ14" i="9"/>
  <c r="GK14" i="9"/>
  <c r="GL14" i="9"/>
  <c r="GM14" i="9"/>
  <c r="GN14" i="9"/>
  <c r="GO14" i="9"/>
  <c r="GP14" i="9"/>
  <c r="GQ14" i="9"/>
  <c r="GR14" i="9"/>
  <c r="GS14" i="9"/>
  <c r="GT14" i="9"/>
  <c r="GU14" i="9"/>
  <c r="GV14" i="9"/>
  <c r="GW14" i="9"/>
  <c r="GX14" i="9"/>
  <c r="GY14" i="9"/>
  <c r="GZ14" i="9"/>
  <c r="HA14" i="9"/>
  <c r="HB14" i="9"/>
  <c r="HC14" i="9"/>
  <c r="HD14" i="9"/>
  <c r="HE14" i="9"/>
  <c r="HF14" i="9"/>
  <c r="HG14" i="9"/>
  <c r="HH14" i="9"/>
  <c r="HI14" i="9"/>
  <c r="HJ14" i="9"/>
  <c r="HK14" i="9"/>
  <c r="HL14" i="9"/>
  <c r="HM14" i="9"/>
  <c r="HN14" i="9"/>
  <c r="HO14" i="9"/>
  <c r="HP14" i="9"/>
  <c r="HQ14" i="9"/>
  <c r="HR14" i="9"/>
  <c r="HS14" i="9"/>
  <c r="HT14" i="9"/>
  <c r="HU14" i="9"/>
  <c r="HV14" i="9"/>
  <c r="HW14" i="9"/>
  <c r="HX14" i="9"/>
  <c r="HY14" i="9"/>
  <c r="HZ14" i="9"/>
  <c r="IA14" i="9"/>
  <c r="IB14" i="9"/>
  <c r="IC14" i="9"/>
  <c r="ID14" i="9"/>
  <c r="IE14" i="9"/>
  <c r="IF14" i="9"/>
  <c r="IG14" i="9"/>
  <c r="IH14" i="9"/>
  <c r="II14" i="9"/>
  <c r="IJ14" i="9"/>
  <c r="IK14" i="9"/>
  <c r="IL14" i="9"/>
  <c r="IM14" i="9"/>
  <c r="IN14" i="9"/>
  <c r="IO14" i="9"/>
  <c r="IP14" i="9"/>
  <c r="IQ14" i="9"/>
  <c r="IR14" i="9"/>
  <c r="IS14" i="9"/>
  <c r="IT14" i="9"/>
  <c r="IU14" i="9"/>
  <c r="IV14" i="9"/>
  <c r="A13" i="9"/>
  <c r="B13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AI13" i="9"/>
  <c r="AJ13" i="9"/>
  <c r="AK13" i="9"/>
  <c r="AL13" i="9"/>
  <c r="AM13" i="9"/>
  <c r="AN13" i="9"/>
  <c r="AO13" i="9"/>
  <c r="AP13" i="9"/>
  <c r="AQ13" i="9"/>
  <c r="AR13" i="9"/>
  <c r="AS13" i="9"/>
  <c r="AT13" i="9"/>
  <c r="AU13" i="9"/>
  <c r="AV13" i="9"/>
  <c r="AW13" i="9"/>
  <c r="AX13" i="9"/>
  <c r="AY13" i="9"/>
  <c r="AZ13" i="9"/>
  <c r="BA13" i="9"/>
  <c r="BB13" i="9"/>
  <c r="BC13" i="9"/>
  <c r="BD13" i="9"/>
  <c r="BE13" i="9"/>
  <c r="BF13" i="9"/>
  <c r="BG13" i="9"/>
  <c r="BH13" i="9"/>
  <c r="BI13" i="9"/>
  <c r="BJ13" i="9"/>
  <c r="BK13" i="9"/>
  <c r="BL13" i="9"/>
  <c r="BM13" i="9"/>
  <c r="BN13" i="9"/>
  <c r="BO13" i="9"/>
  <c r="BP13" i="9"/>
  <c r="BQ13" i="9"/>
  <c r="BR13" i="9"/>
  <c r="BS13" i="9"/>
  <c r="BT13" i="9"/>
  <c r="BU13" i="9"/>
  <c r="BV13" i="9"/>
  <c r="BW13" i="9"/>
  <c r="BX13" i="9"/>
  <c r="BY13" i="9"/>
  <c r="BZ13" i="9"/>
  <c r="CA13" i="9"/>
  <c r="CB13" i="9"/>
  <c r="CC13" i="9"/>
  <c r="CD13" i="9"/>
  <c r="CE13" i="9"/>
  <c r="CF13" i="9"/>
  <c r="CG13" i="9"/>
  <c r="CH13" i="9"/>
  <c r="CI13" i="9"/>
  <c r="CJ13" i="9"/>
  <c r="CK13" i="9"/>
  <c r="CL13" i="9"/>
  <c r="CM13" i="9"/>
  <c r="CN13" i="9"/>
  <c r="CO13" i="9"/>
  <c r="CP13" i="9"/>
  <c r="CQ13" i="9"/>
  <c r="CR13" i="9"/>
  <c r="CS13" i="9"/>
  <c r="CT13" i="9"/>
  <c r="CU13" i="9"/>
  <c r="CV13" i="9"/>
  <c r="CW13" i="9"/>
  <c r="CX13" i="9"/>
  <c r="CY13" i="9"/>
  <c r="CZ13" i="9"/>
  <c r="DA13" i="9"/>
  <c r="DB13" i="9"/>
  <c r="DC13" i="9"/>
  <c r="DD13" i="9"/>
  <c r="DE13" i="9"/>
  <c r="DF13" i="9"/>
  <c r="DG13" i="9"/>
  <c r="DH13" i="9"/>
  <c r="DI13" i="9"/>
  <c r="DJ13" i="9"/>
  <c r="DK13" i="9"/>
  <c r="DL13" i="9"/>
  <c r="DM13" i="9"/>
  <c r="DN13" i="9"/>
  <c r="DO13" i="9"/>
  <c r="DP13" i="9"/>
  <c r="DQ13" i="9"/>
  <c r="DR13" i="9"/>
  <c r="DS13" i="9"/>
  <c r="DT13" i="9"/>
  <c r="DU13" i="9"/>
  <c r="DV13" i="9"/>
  <c r="DW13" i="9"/>
  <c r="DX13" i="9"/>
  <c r="DY13" i="9"/>
  <c r="DZ13" i="9"/>
  <c r="EA13" i="9"/>
  <c r="EB13" i="9"/>
  <c r="EC13" i="9"/>
  <c r="ED13" i="9"/>
  <c r="EE13" i="9"/>
  <c r="EF13" i="9"/>
  <c r="EG13" i="9"/>
  <c r="EH13" i="9"/>
  <c r="EI13" i="9"/>
  <c r="EJ13" i="9"/>
  <c r="EK13" i="9"/>
  <c r="EL13" i="9"/>
  <c r="EM13" i="9"/>
  <c r="EN13" i="9"/>
  <c r="EO13" i="9"/>
  <c r="EP13" i="9"/>
  <c r="EQ13" i="9"/>
  <c r="ER13" i="9"/>
  <c r="ES13" i="9"/>
  <c r="ET13" i="9"/>
  <c r="EU13" i="9"/>
  <c r="EV13" i="9"/>
  <c r="EW13" i="9"/>
  <c r="EX13" i="9"/>
  <c r="EY13" i="9"/>
  <c r="EZ13" i="9"/>
  <c r="FA13" i="9"/>
  <c r="FB13" i="9"/>
  <c r="FC13" i="9"/>
  <c r="FD13" i="9"/>
  <c r="FE13" i="9"/>
  <c r="FF13" i="9"/>
  <c r="FG13" i="9"/>
  <c r="FH13" i="9"/>
  <c r="FI13" i="9"/>
  <c r="FJ13" i="9"/>
  <c r="FK13" i="9"/>
  <c r="FL13" i="9"/>
  <c r="FM13" i="9"/>
  <c r="FN13" i="9"/>
  <c r="FO13" i="9"/>
  <c r="FP13" i="9"/>
  <c r="FQ13" i="9"/>
  <c r="FR13" i="9"/>
  <c r="FS13" i="9"/>
  <c r="FT13" i="9"/>
  <c r="FU13" i="9"/>
  <c r="FV13" i="9"/>
  <c r="FW13" i="9"/>
  <c r="FX13" i="9"/>
  <c r="FY13" i="9"/>
  <c r="FZ13" i="9"/>
  <c r="GA13" i="9"/>
  <c r="GB13" i="9"/>
  <c r="GC13" i="9"/>
  <c r="GD13" i="9"/>
  <c r="GE13" i="9"/>
  <c r="GF13" i="9"/>
  <c r="GG13" i="9"/>
  <c r="GH13" i="9"/>
  <c r="GI13" i="9"/>
  <c r="GJ13" i="9"/>
  <c r="GK13" i="9"/>
  <c r="GL13" i="9"/>
  <c r="GM13" i="9"/>
  <c r="GN13" i="9"/>
  <c r="GO13" i="9"/>
  <c r="GP13" i="9"/>
  <c r="GQ13" i="9"/>
  <c r="GR13" i="9"/>
  <c r="GS13" i="9"/>
  <c r="GT13" i="9"/>
  <c r="GU13" i="9"/>
  <c r="GV13" i="9"/>
  <c r="GW13" i="9"/>
  <c r="GX13" i="9"/>
  <c r="GY13" i="9"/>
  <c r="GZ13" i="9"/>
  <c r="HA13" i="9"/>
  <c r="HB13" i="9"/>
  <c r="HC13" i="9"/>
  <c r="HD13" i="9"/>
  <c r="HE13" i="9"/>
  <c r="HF13" i="9"/>
  <c r="HG13" i="9"/>
  <c r="HH13" i="9"/>
  <c r="HI13" i="9"/>
  <c r="HJ13" i="9"/>
  <c r="HK13" i="9"/>
  <c r="HL13" i="9"/>
  <c r="HM13" i="9"/>
  <c r="HN13" i="9"/>
  <c r="HO13" i="9"/>
  <c r="HP13" i="9"/>
  <c r="HQ13" i="9"/>
  <c r="HR13" i="9"/>
  <c r="HS13" i="9"/>
  <c r="HT13" i="9"/>
  <c r="HU13" i="9"/>
  <c r="HV13" i="9"/>
  <c r="HW13" i="9"/>
  <c r="HX13" i="9"/>
  <c r="HY13" i="9"/>
  <c r="HZ13" i="9"/>
  <c r="IA13" i="9"/>
  <c r="IB13" i="9"/>
  <c r="IC13" i="9"/>
  <c r="ID13" i="9"/>
  <c r="IE13" i="9"/>
  <c r="IF13" i="9"/>
  <c r="IG13" i="9"/>
  <c r="IH13" i="9"/>
  <c r="II13" i="9"/>
  <c r="IJ13" i="9"/>
  <c r="IK13" i="9"/>
  <c r="IL13" i="9"/>
  <c r="IM13" i="9"/>
  <c r="IN13" i="9"/>
  <c r="IO13" i="9"/>
  <c r="IP13" i="9"/>
  <c r="IQ13" i="9"/>
  <c r="IR13" i="9"/>
  <c r="IS13" i="9"/>
  <c r="IT13" i="9"/>
  <c r="IU13" i="9"/>
  <c r="IV13" i="9"/>
  <c r="A12" i="9"/>
  <c r="B12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AP12" i="9"/>
  <c r="AQ12" i="9"/>
  <c r="AR12" i="9"/>
  <c r="AT12" i="9"/>
  <c r="AU12" i="9"/>
  <c r="AV12" i="9"/>
  <c r="AW12" i="9"/>
  <c r="AX12" i="9"/>
  <c r="AY12" i="9"/>
  <c r="AZ12" i="9"/>
  <c r="BA12" i="9"/>
  <c r="BB12" i="9"/>
  <c r="BC12" i="9"/>
  <c r="BD12" i="9"/>
  <c r="BE12" i="9"/>
  <c r="BF12" i="9"/>
  <c r="BG12" i="9"/>
  <c r="BH12" i="9"/>
  <c r="BI12" i="9"/>
  <c r="BJ12" i="9"/>
  <c r="BK12" i="9"/>
  <c r="BL12" i="9"/>
  <c r="BM12" i="9"/>
  <c r="BN12" i="9"/>
  <c r="BO12" i="9"/>
  <c r="BP12" i="9"/>
  <c r="BQ12" i="9"/>
  <c r="BR12" i="9"/>
  <c r="BS12" i="9"/>
  <c r="BT12" i="9"/>
  <c r="BU12" i="9"/>
  <c r="BV12" i="9"/>
  <c r="BW12" i="9"/>
  <c r="BX12" i="9"/>
  <c r="BY12" i="9"/>
  <c r="BZ12" i="9"/>
  <c r="CA12" i="9"/>
  <c r="CB12" i="9"/>
  <c r="CC12" i="9"/>
  <c r="CD12" i="9"/>
  <c r="CE12" i="9"/>
  <c r="CF12" i="9"/>
  <c r="CG12" i="9"/>
  <c r="CH12" i="9"/>
  <c r="CI12" i="9"/>
  <c r="CJ12" i="9"/>
  <c r="CK12" i="9"/>
  <c r="CL12" i="9"/>
  <c r="CM12" i="9"/>
  <c r="CN12" i="9"/>
  <c r="CO12" i="9"/>
  <c r="CP12" i="9"/>
  <c r="CQ12" i="9"/>
  <c r="CR12" i="9"/>
  <c r="CS12" i="9"/>
  <c r="CT12" i="9"/>
  <c r="CU12" i="9"/>
  <c r="CV12" i="9"/>
  <c r="CW12" i="9"/>
  <c r="CX12" i="9"/>
  <c r="CY12" i="9"/>
  <c r="CZ12" i="9"/>
  <c r="DA12" i="9"/>
  <c r="DB12" i="9"/>
  <c r="DC12" i="9"/>
  <c r="DD12" i="9"/>
  <c r="DE12" i="9"/>
  <c r="DF12" i="9"/>
  <c r="DG12" i="9"/>
  <c r="DH12" i="9"/>
  <c r="DI12" i="9"/>
  <c r="DJ12" i="9"/>
  <c r="DK12" i="9"/>
  <c r="DL12" i="9"/>
  <c r="DM12" i="9"/>
  <c r="DN12" i="9"/>
  <c r="DO12" i="9"/>
  <c r="DP12" i="9"/>
  <c r="DQ12" i="9"/>
  <c r="DR12" i="9"/>
  <c r="DS12" i="9"/>
  <c r="DT12" i="9"/>
  <c r="DU12" i="9"/>
  <c r="DV12" i="9"/>
  <c r="DW12" i="9"/>
  <c r="DX12" i="9"/>
  <c r="DY12" i="9"/>
  <c r="DZ12" i="9"/>
  <c r="EA12" i="9"/>
  <c r="EB12" i="9"/>
  <c r="EC12" i="9"/>
  <c r="ED12" i="9"/>
  <c r="EE12" i="9"/>
  <c r="EF12" i="9"/>
  <c r="EG12" i="9"/>
  <c r="EH12" i="9"/>
  <c r="EI12" i="9"/>
  <c r="EJ12" i="9"/>
  <c r="EK12" i="9"/>
  <c r="EL12" i="9"/>
  <c r="EM12" i="9"/>
  <c r="EN12" i="9"/>
  <c r="EO12" i="9"/>
  <c r="EP12" i="9"/>
  <c r="EQ12" i="9"/>
  <c r="ER12" i="9"/>
  <c r="ES12" i="9"/>
  <c r="ET12" i="9"/>
  <c r="EU12" i="9"/>
  <c r="EV12" i="9"/>
  <c r="EW12" i="9"/>
  <c r="EX12" i="9"/>
  <c r="EY12" i="9"/>
  <c r="EZ12" i="9"/>
  <c r="FA12" i="9"/>
  <c r="FB12" i="9"/>
  <c r="FC12" i="9"/>
  <c r="FD12" i="9"/>
  <c r="FE12" i="9"/>
  <c r="FF12" i="9"/>
  <c r="FG12" i="9"/>
  <c r="FH12" i="9"/>
  <c r="FI12" i="9"/>
  <c r="FJ12" i="9"/>
  <c r="FK12" i="9"/>
  <c r="FL12" i="9"/>
  <c r="FM12" i="9"/>
  <c r="FN12" i="9"/>
  <c r="FO12" i="9"/>
  <c r="FP12" i="9"/>
  <c r="FQ12" i="9"/>
  <c r="FR12" i="9"/>
  <c r="FS12" i="9"/>
  <c r="FT12" i="9"/>
  <c r="FU12" i="9"/>
  <c r="FV12" i="9"/>
  <c r="FW12" i="9"/>
  <c r="FX12" i="9"/>
  <c r="FY12" i="9"/>
  <c r="FZ12" i="9"/>
  <c r="GA12" i="9"/>
  <c r="GB12" i="9"/>
  <c r="GC12" i="9"/>
  <c r="GD12" i="9"/>
  <c r="GE12" i="9"/>
  <c r="GF12" i="9"/>
  <c r="GG12" i="9"/>
  <c r="GH12" i="9"/>
  <c r="GI12" i="9"/>
  <c r="GJ12" i="9"/>
  <c r="GK12" i="9"/>
  <c r="GL12" i="9"/>
  <c r="GM12" i="9"/>
  <c r="GN12" i="9"/>
  <c r="GO12" i="9"/>
  <c r="GP12" i="9"/>
  <c r="GQ12" i="9"/>
  <c r="GR12" i="9"/>
  <c r="GS12" i="9"/>
  <c r="GT12" i="9"/>
  <c r="GU12" i="9"/>
  <c r="GV12" i="9"/>
  <c r="GW12" i="9"/>
  <c r="GX12" i="9"/>
  <c r="GY12" i="9"/>
  <c r="GZ12" i="9"/>
  <c r="HA12" i="9"/>
  <c r="HB12" i="9"/>
  <c r="HC12" i="9"/>
  <c r="HD12" i="9"/>
  <c r="HE12" i="9"/>
  <c r="HF12" i="9"/>
  <c r="HG12" i="9"/>
  <c r="HH12" i="9"/>
  <c r="HI12" i="9"/>
  <c r="HJ12" i="9"/>
  <c r="HK12" i="9"/>
  <c r="HL12" i="9"/>
  <c r="HM12" i="9"/>
  <c r="HN12" i="9"/>
  <c r="HO12" i="9"/>
  <c r="HP12" i="9"/>
  <c r="HQ12" i="9"/>
  <c r="HR12" i="9"/>
  <c r="HS12" i="9"/>
  <c r="HT12" i="9"/>
  <c r="HU12" i="9"/>
  <c r="HV12" i="9"/>
  <c r="HW12" i="9"/>
  <c r="HX12" i="9"/>
  <c r="HY12" i="9"/>
  <c r="HZ12" i="9"/>
  <c r="IA12" i="9"/>
  <c r="IB12" i="9"/>
  <c r="IC12" i="9"/>
  <c r="ID12" i="9"/>
  <c r="IE12" i="9"/>
  <c r="IF12" i="9"/>
  <c r="IG12" i="9"/>
  <c r="IH12" i="9"/>
  <c r="II12" i="9"/>
  <c r="IJ12" i="9"/>
  <c r="IK12" i="9"/>
  <c r="IL12" i="9"/>
  <c r="IM12" i="9"/>
  <c r="IN12" i="9"/>
  <c r="IO12" i="9"/>
  <c r="IP12" i="9"/>
  <c r="IQ12" i="9"/>
  <c r="IR12" i="9"/>
  <c r="IS12" i="9"/>
  <c r="IT12" i="9"/>
  <c r="IU12" i="9"/>
  <c r="IV12" i="9"/>
  <c r="A11" i="9"/>
  <c r="B11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AP11" i="9"/>
  <c r="AQ11" i="9"/>
  <c r="AR11" i="9"/>
  <c r="AS11" i="9"/>
  <c r="AT11" i="9"/>
  <c r="AU11" i="9"/>
  <c r="AV11" i="9"/>
  <c r="AW11" i="9"/>
  <c r="AX11" i="9"/>
  <c r="AY11" i="9"/>
  <c r="AZ11" i="9"/>
  <c r="BA11" i="9"/>
  <c r="BB11" i="9"/>
  <c r="BC11" i="9"/>
  <c r="BD11" i="9"/>
  <c r="BE11" i="9"/>
  <c r="BF11" i="9"/>
  <c r="BG11" i="9"/>
  <c r="BH11" i="9"/>
  <c r="BI11" i="9"/>
  <c r="BJ11" i="9"/>
  <c r="BK11" i="9"/>
  <c r="BL11" i="9"/>
  <c r="BM11" i="9"/>
  <c r="BN11" i="9"/>
  <c r="BO11" i="9"/>
  <c r="BP11" i="9"/>
  <c r="BQ11" i="9"/>
  <c r="BR11" i="9"/>
  <c r="BS11" i="9"/>
  <c r="BT11" i="9"/>
  <c r="BU11" i="9"/>
  <c r="BV11" i="9"/>
  <c r="BW11" i="9"/>
  <c r="BX11" i="9"/>
  <c r="BY11" i="9"/>
  <c r="BZ11" i="9"/>
  <c r="CA11" i="9"/>
  <c r="CB11" i="9"/>
  <c r="CC11" i="9"/>
  <c r="CD11" i="9"/>
  <c r="CE11" i="9"/>
  <c r="CF11" i="9"/>
  <c r="CG11" i="9"/>
  <c r="CH11" i="9"/>
  <c r="CI11" i="9"/>
  <c r="CJ11" i="9"/>
  <c r="CK11" i="9"/>
  <c r="CL11" i="9"/>
  <c r="CM11" i="9"/>
  <c r="CN11" i="9"/>
  <c r="CO11" i="9"/>
  <c r="CP11" i="9"/>
  <c r="CQ11" i="9"/>
  <c r="CR11" i="9"/>
  <c r="CS11" i="9"/>
  <c r="CT11" i="9"/>
  <c r="CU11" i="9"/>
  <c r="CV11" i="9"/>
  <c r="CW11" i="9"/>
  <c r="CX11" i="9"/>
  <c r="CY11" i="9"/>
  <c r="CZ11" i="9"/>
  <c r="DA11" i="9"/>
  <c r="DB11" i="9"/>
  <c r="DC11" i="9"/>
  <c r="DD11" i="9"/>
  <c r="DE11" i="9"/>
  <c r="DF11" i="9"/>
  <c r="DG11" i="9"/>
  <c r="DH11" i="9"/>
  <c r="DI11" i="9"/>
  <c r="DJ11" i="9"/>
  <c r="DK11" i="9"/>
  <c r="DL11" i="9"/>
  <c r="DM11" i="9"/>
  <c r="DN11" i="9"/>
  <c r="DO11" i="9"/>
  <c r="DP11" i="9"/>
  <c r="DQ11" i="9"/>
  <c r="DR11" i="9"/>
  <c r="DS11" i="9"/>
  <c r="DT11" i="9"/>
  <c r="DU11" i="9"/>
  <c r="DV11" i="9"/>
  <c r="DW11" i="9"/>
  <c r="DX11" i="9"/>
  <c r="DY11" i="9"/>
  <c r="DZ11" i="9"/>
  <c r="EA11" i="9"/>
  <c r="EB11" i="9"/>
  <c r="EC11" i="9"/>
  <c r="ED11" i="9"/>
  <c r="EE11" i="9"/>
  <c r="EF11" i="9"/>
  <c r="EG11" i="9"/>
  <c r="EH11" i="9"/>
  <c r="EI11" i="9"/>
  <c r="EJ11" i="9"/>
  <c r="EK11" i="9"/>
  <c r="EL11" i="9"/>
  <c r="EM11" i="9"/>
  <c r="EN11" i="9"/>
  <c r="EO11" i="9"/>
  <c r="EP11" i="9"/>
  <c r="EQ11" i="9"/>
  <c r="ER11" i="9"/>
  <c r="ES11" i="9"/>
  <c r="ET11" i="9"/>
  <c r="EU11" i="9"/>
  <c r="EV11" i="9"/>
  <c r="EW11" i="9"/>
  <c r="EX11" i="9"/>
  <c r="EY11" i="9"/>
  <c r="EZ11" i="9"/>
  <c r="FA11" i="9"/>
  <c r="FB11" i="9"/>
  <c r="FC11" i="9"/>
  <c r="FD11" i="9"/>
  <c r="FE11" i="9"/>
  <c r="FF11" i="9"/>
  <c r="FG11" i="9"/>
  <c r="FH11" i="9"/>
  <c r="FI11" i="9"/>
  <c r="FJ11" i="9"/>
  <c r="FK11" i="9"/>
  <c r="FL11" i="9"/>
  <c r="FM11" i="9"/>
  <c r="FN11" i="9"/>
  <c r="FO11" i="9"/>
  <c r="FP11" i="9"/>
  <c r="FQ11" i="9"/>
  <c r="FR11" i="9"/>
  <c r="FS11" i="9"/>
  <c r="FT11" i="9"/>
  <c r="FU11" i="9"/>
  <c r="FV11" i="9"/>
  <c r="FW11" i="9"/>
  <c r="FX11" i="9"/>
  <c r="FY11" i="9"/>
  <c r="FZ11" i="9"/>
  <c r="GA11" i="9"/>
  <c r="GB11" i="9"/>
  <c r="GC11" i="9"/>
  <c r="GD11" i="9"/>
  <c r="GE11" i="9"/>
  <c r="GF11" i="9"/>
  <c r="GG11" i="9"/>
  <c r="GH11" i="9"/>
  <c r="GI11" i="9"/>
  <c r="GJ11" i="9"/>
  <c r="GK11" i="9"/>
  <c r="GL11" i="9"/>
  <c r="GM11" i="9"/>
  <c r="GN11" i="9"/>
  <c r="GO11" i="9"/>
  <c r="GP11" i="9"/>
  <c r="GQ11" i="9"/>
  <c r="GR11" i="9"/>
  <c r="GS11" i="9"/>
  <c r="GT11" i="9"/>
  <c r="GU11" i="9"/>
  <c r="GV11" i="9"/>
  <c r="GW11" i="9"/>
  <c r="GX11" i="9"/>
  <c r="GY11" i="9"/>
  <c r="GZ11" i="9"/>
  <c r="HA11" i="9"/>
  <c r="HB11" i="9"/>
  <c r="HC11" i="9"/>
  <c r="HD11" i="9"/>
  <c r="HE11" i="9"/>
  <c r="HF11" i="9"/>
  <c r="HG11" i="9"/>
  <c r="HH11" i="9"/>
  <c r="HI11" i="9"/>
  <c r="HJ11" i="9"/>
  <c r="HK11" i="9"/>
  <c r="HL11" i="9"/>
  <c r="HM11" i="9"/>
  <c r="HN11" i="9"/>
  <c r="HO11" i="9"/>
  <c r="HP11" i="9"/>
  <c r="HQ11" i="9"/>
  <c r="HR11" i="9"/>
  <c r="HS11" i="9"/>
  <c r="HT11" i="9"/>
  <c r="HU11" i="9"/>
  <c r="HV11" i="9"/>
  <c r="HW11" i="9"/>
  <c r="HX11" i="9"/>
  <c r="HY11" i="9"/>
  <c r="HZ11" i="9"/>
  <c r="IA11" i="9"/>
  <c r="IB11" i="9"/>
  <c r="IC11" i="9"/>
  <c r="ID11" i="9"/>
  <c r="IE11" i="9"/>
  <c r="IF11" i="9"/>
  <c r="IG11" i="9"/>
  <c r="IH11" i="9"/>
  <c r="II11" i="9"/>
  <c r="IJ11" i="9"/>
  <c r="IK11" i="9"/>
  <c r="IL11" i="9"/>
  <c r="IM11" i="9"/>
  <c r="IN11" i="9"/>
  <c r="IO11" i="9"/>
  <c r="IP11" i="9"/>
  <c r="IQ11" i="9"/>
  <c r="IR11" i="9"/>
  <c r="IS11" i="9"/>
  <c r="IT11" i="9"/>
  <c r="IU11" i="9"/>
  <c r="IV11" i="9"/>
  <c r="A10" i="9"/>
  <c r="B10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AP10" i="9"/>
  <c r="AQ10" i="9"/>
  <c r="AR10" i="9"/>
  <c r="AS10" i="9"/>
  <c r="AT10" i="9"/>
  <c r="AU10" i="9"/>
  <c r="AV10" i="9"/>
  <c r="AW10" i="9"/>
  <c r="AX10" i="9"/>
  <c r="AY10" i="9"/>
  <c r="AZ10" i="9"/>
  <c r="BA10" i="9"/>
  <c r="BB10" i="9"/>
  <c r="BC10" i="9"/>
  <c r="BD10" i="9"/>
  <c r="BE10" i="9"/>
  <c r="BF10" i="9"/>
  <c r="BG10" i="9"/>
  <c r="BH10" i="9"/>
  <c r="BI10" i="9"/>
  <c r="BJ10" i="9"/>
  <c r="BK10" i="9"/>
  <c r="BL10" i="9"/>
  <c r="BM10" i="9"/>
  <c r="BN10" i="9"/>
  <c r="BO10" i="9"/>
  <c r="BP10" i="9"/>
  <c r="BQ10" i="9"/>
  <c r="BR10" i="9"/>
  <c r="BS10" i="9"/>
  <c r="BT10" i="9"/>
  <c r="BU10" i="9"/>
  <c r="BV10" i="9"/>
  <c r="BW10" i="9"/>
  <c r="BX10" i="9"/>
  <c r="BY10" i="9"/>
  <c r="BZ10" i="9"/>
  <c r="CA10" i="9"/>
  <c r="CB10" i="9"/>
  <c r="CC10" i="9"/>
  <c r="CD10" i="9"/>
  <c r="CE10" i="9"/>
  <c r="CF10" i="9"/>
  <c r="CG10" i="9"/>
  <c r="CH10" i="9"/>
  <c r="CI10" i="9"/>
  <c r="CJ10" i="9"/>
  <c r="CK10" i="9"/>
  <c r="CL10" i="9"/>
  <c r="CM10" i="9"/>
  <c r="CN10" i="9"/>
  <c r="CO10" i="9"/>
  <c r="CP10" i="9"/>
  <c r="CQ10" i="9"/>
  <c r="CR10" i="9"/>
  <c r="CS10" i="9"/>
  <c r="CT10" i="9"/>
  <c r="CU10" i="9"/>
  <c r="CV10" i="9"/>
  <c r="CW10" i="9"/>
  <c r="CX10" i="9"/>
  <c r="CY10" i="9"/>
  <c r="CZ10" i="9"/>
  <c r="DA10" i="9"/>
  <c r="DB10" i="9"/>
  <c r="DC10" i="9"/>
  <c r="DD10" i="9"/>
  <c r="DE10" i="9"/>
  <c r="DF10" i="9"/>
  <c r="DG10" i="9"/>
  <c r="DH10" i="9"/>
  <c r="DI10" i="9"/>
  <c r="DJ10" i="9"/>
  <c r="DK10" i="9"/>
  <c r="DL10" i="9"/>
  <c r="DM10" i="9"/>
  <c r="DN10" i="9"/>
  <c r="DO10" i="9"/>
  <c r="DP10" i="9"/>
  <c r="DQ10" i="9"/>
  <c r="DR10" i="9"/>
  <c r="DS10" i="9"/>
  <c r="DT10" i="9"/>
  <c r="DU10" i="9"/>
  <c r="DV10" i="9"/>
  <c r="DW10" i="9"/>
  <c r="DX10" i="9"/>
  <c r="DY10" i="9"/>
  <c r="DZ10" i="9"/>
  <c r="EA10" i="9"/>
  <c r="EB10" i="9"/>
  <c r="EC10" i="9"/>
  <c r="ED10" i="9"/>
  <c r="EE10" i="9"/>
  <c r="EF10" i="9"/>
  <c r="EG10" i="9"/>
  <c r="EH10" i="9"/>
  <c r="EI10" i="9"/>
  <c r="EJ10" i="9"/>
  <c r="EK10" i="9"/>
  <c r="EL10" i="9"/>
  <c r="EM10" i="9"/>
  <c r="EN10" i="9"/>
  <c r="EO10" i="9"/>
  <c r="EP10" i="9"/>
  <c r="EQ10" i="9"/>
  <c r="ER10" i="9"/>
  <c r="ES10" i="9"/>
  <c r="ET10" i="9"/>
  <c r="EU10" i="9"/>
  <c r="EV10" i="9"/>
  <c r="EW10" i="9"/>
  <c r="EX10" i="9"/>
  <c r="EY10" i="9"/>
  <c r="EZ10" i="9"/>
  <c r="FA10" i="9"/>
  <c r="FB10" i="9"/>
  <c r="FC10" i="9"/>
  <c r="FD10" i="9"/>
  <c r="FE10" i="9"/>
  <c r="FF10" i="9"/>
  <c r="FG10" i="9"/>
  <c r="FH10" i="9"/>
  <c r="FI10" i="9"/>
  <c r="FJ10" i="9"/>
  <c r="FK10" i="9"/>
  <c r="FL10" i="9"/>
  <c r="FM10" i="9"/>
  <c r="FN10" i="9"/>
  <c r="FO10" i="9"/>
  <c r="FP10" i="9"/>
  <c r="FQ10" i="9"/>
  <c r="FR10" i="9"/>
  <c r="FS10" i="9"/>
  <c r="FT10" i="9"/>
  <c r="FU10" i="9"/>
  <c r="FV10" i="9"/>
  <c r="FW10" i="9"/>
  <c r="FX10" i="9"/>
  <c r="FY10" i="9"/>
  <c r="FZ10" i="9"/>
  <c r="GA10" i="9"/>
  <c r="GB10" i="9"/>
  <c r="GC10" i="9"/>
  <c r="GD10" i="9"/>
  <c r="GE10" i="9"/>
  <c r="GF10" i="9"/>
  <c r="GG10" i="9"/>
  <c r="GH10" i="9"/>
  <c r="GI10" i="9"/>
  <c r="GJ10" i="9"/>
  <c r="GK10" i="9"/>
  <c r="GL10" i="9"/>
  <c r="GM10" i="9"/>
  <c r="GN10" i="9"/>
  <c r="GO10" i="9"/>
  <c r="GP10" i="9"/>
  <c r="GQ10" i="9"/>
  <c r="GR10" i="9"/>
  <c r="GS10" i="9"/>
  <c r="GT10" i="9"/>
  <c r="GU10" i="9"/>
  <c r="GV10" i="9"/>
  <c r="GW10" i="9"/>
  <c r="GX10" i="9"/>
  <c r="GY10" i="9"/>
  <c r="GZ10" i="9"/>
  <c r="HA10" i="9"/>
  <c r="HB10" i="9"/>
  <c r="HC10" i="9"/>
  <c r="HD10" i="9"/>
  <c r="HE10" i="9"/>
  <c r="HF10" i="9"/>
  <c r="HG10" i="9"/>
  <c r="HH10" i="9"/>
  <c r="HI10" i="9"/>
  <c r="HJ10" i="9"/>
  <c r="HK10" i="9"/>
  <c r="HL10" i="9"/>
  <c r="HM10" i="9"/>
  <c r="HN10" i="9"/>
  <c r="HO10" i="9"/>
  <c r="HP10" i="9"/>
  <c r="HQ10" i="9"/>
  <c r="HR10" i="9"/>
  <c r="HS10" i="9"/>
  <c r="HT10" i="9"/>
  <c r="HU10" i="9"/>
  <c r="HV10" i="9"/>
  <c r="HW10" i="9"/>
  <c r="HX10" i="9"/>
  <c r="HY10" i="9"/>
  <c r="HZ10" i="9"/>
  <c r="IA10" i="9"/>
  <c r="IB10" i="9"/>
  <c r="IC10" i="9"/>
  <c r="ID10" i="9"/>
  <c r="IE10" i="9"/>
  <c r="IF10" i="9"/>
  <c r="IG10" i="9"/>
  <c r="IH10" i="9"/>
  <c r="II10" i="9"/>
  <c r="IJ10" i="9"/>
  <c r="IK10" i="9"/>
  <c r="IL10" i="9"/>
  <c r="IM10" i="9"/>
  <c r="IN10" i="9"/>
  <c r="IO10" i="9"/>
  <c r="IP10" i="9"/>
  <c r="IQ10" i="9"/>
  <c r="IR10" i="9"/>
  <c r="IS10" i="9"/>
  <c r="IT10" i="9"/>
  <c r="IU10" i="9"/>
  <c r="IV10" i="9"/>
  <c r="A9" i="9"/>
  <c r="B9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AH9" i="9"/>
  <c r="AI9" i="9"/>
  <c r="AJ9" i="9"/>
  <c r="AK9" i="9"/>
  <c r="AL9" i="9"/>
  <c r="AM9" i="9"/>
  <c r="AN9" i="9"/>
  <c r="AO9" i="9"/>
  <c r="AP9" i="9"/>
  <c r="AQ9" i="9"/>
  <c r="AR9" i="9"/>
  <c r="AS9" i="9"/>
  <c r="AT9" i="9"/>
  <c r="AU9" i="9"/>
  <c r="AV9" i="9"/>
  <c r="AW9" i="9"/>
  <c r="AX9" i="9"/>
  <c r="AY9" i="9"/>
  <c r="AZ9" i="9"/>
  <c r="BA9" i="9"/>
  <c r="BB9" i="9"/>
  <c r="BC9" i="9"/>
  <c r="BD9" i="9"/>
  <c r="BE9" i="9"/>
  <c r="BF9" i="9"/>
  <c r="BG9" i="9"/>
  <c r="BH9" i="9"/>
  <c r="BI9" i="9"/>
  <c r="BJ9" i="9"/>
  <c r="BK9" i="9"/>
  <c r="BL9" i="9"/>
  <c r="BM9" i="9"/>
  <c r="BN9" i="9"/>
  <c r="BO9" i="9"/>
  <c r="BP9" i="9"/>
  <c r="BQ9" i="9"/>
  <c r="BR9" i="9"/>
  <c r="BS9" i="9"/>
  <c r="BT9" i="9"/>
  <c r="BU9" i="9"/>
  <c r="BV9" i="9"/>
  <c r="BW9" i="9"/>
  <c r="BX9" i="9"/>
  <c r="BY9" i="9"/>
  <c r="BZ9" i="9"/>
  <c r="CA9" i="9"/>
  <c r="CB9" i="9"/>
  <c r="CC9" i="9"/>
  <c r="CD9" i="9"/>
  <c r="CE9" i="9"/>
  <c r="CF9" i="9"/>
  <c r="CG9" i="9"/>
  <c r="CH9" i="9"/>
  <c r="CI9" i="9"/>
  <c r="CJ9" i="9"/>
  <c r="CK9" i="9"/>
  <c r="CL9" i="9"/>
  <c r="CM9" i="9"/>
  <c r="CN9" i="9"/>
  <c r="CO9" i="9"/>
  <c r="CP9" i="9"/>
  <c r="CQ9" i="9"/>
  <c r="CR9" i="9"/>
  <c r="CS9" i="9"/>
  <c r="CT9" i="9"/>
  <c r="CU9" i="9"/>
  <c r="CV9" i="9"/>
  <c r="CW9" i="9"/>
  <c r="CX9" i="9"/>
  <c r="CY9" i="9"/>
  <c r="CZ9" i="9"/>
  <c r="DA9" i="9"/>
  <c r="DB9" i="9"/>
  <c r="DC9" i="9"/>
  <c r="DD9" i="9"/>
  <c r="DE9" i="9"/>
  <c r="DF9" i="9"/>
  <c r="DG9" i="9"/>
  <c r="DH9" i="9"/>
  <c r="DI9" i="9"/>
  <c r="DJ9" i="9"/>
  <c r="DK9" i="9"/>
  <c r="DL9" i="9"/>
  <c r="DM9" i="9"/>
  <c r="DN9" i="9"/>
  <c r="DO9" i="9"/>
  <c r="DP9" i="9"/>
  <c r="DQ9" i="9"/>
  <c r="DR9" i="9"/>
  <c r="DS9" i="9"/>
  <c r="DT9" i="9"/>
  <c r="DU9" i="9"/>
  <c r="DV9" i="9"/>
  <c r="DW9" i="9"/>
  <c r="DX9" i="9"/>
  <c r="DY9" i="9"/>
  <c r="DZ9" i="9"/>
  <c r="EA9" i="9"/>
  <c r="EB9" i="9"/>
  <c r="EC9" i="9"/>
  <c r="ED9" i="9"/>
  <c r="EE9" i="9"/>
  <c r="EF9" i="9"/>
  <c r="EG9" i="9"/>
  <c r="EH9" i="9"/>
  <c r="EI9" i="9"/>
  <c r="EJ9" i="9"/>
  <c r="EK9" i="9"/>
  <c r="EL9" i="9"/>
  <c r="EM9" i="9"/>
  <c r="EN9" i="9"/>
  <c r="EO9" i="9"/>
  <c r="EP9" i="9"/>
  <c r="EQ9" i="9"/>
  <c r="ER9" i="9"/>
  <c r="ES9" i="9"/>
  <c r="ET9" i="9"/>
  <c r="EU9" i="9"/>
  <c r="EV9" i="9"/>
  <c r="EW9" i="9"/>
  <c r="EX9" i="9"/>
  <c r="EY9" i="9"/>
  <c r="EZ9" i="9"/>
  <c r="FA9" i="9"/>
  <c r="FB9" i="9"/>
  <c r="FC9" i="9"/>
  <c r="FD9" i="9"/>
  <c r="FE9" i="9"/>
  <c r="FF9" i="9"/>
  <c r="FG9" i="9"/>
  <c r="FH9" i="9"/>
  <c r="FI9" i="9"/>
  <c r="FJ9" i="9"/>
  <c r="FK9" i="9"/>
  <c r="FL9" i="9"/>
  <c r="FM9" i="9"/>
  <c r="FN9" i="9"/>
  <c r="FO9" i="9"/>
  <c r="FP9" i="9"/>
  <c r="FQ9" i="9"/>
  <c r="FR9" i="9"/>
  <c r="FS9" i="9"/>
  <c r="FT9" i="9"/>
  <c r="FU9" i="9"/>
  <c r="FV9" i="9"/>
  <c r="FW9" i="9"/>
  <c r="FX9" i="9"/>
  <c r="FY9" i="9"/>
  <c r="FZ9" i="9"/>
  <c r="GA9" i="9"/>
  <c r="GB9" i="9"/>
  <c r="GC9" i="9"/>
  <c r="GD9" i="9"/>
  <c r="GE9" i="9"/>
  <c r="GF9" i="9"/>
  <c r="GG9" i="9"/>
  <c r="GH9" i="9"/>
  <c r="GI9" i="9"/>
  <c r="GJ9" i="9"/>
  <c r="GK9" i="9"/>
  <c r="GL9" i="9"/>
  <c r="GM9" i="9"/>
  <c r="GN9" i="9"/>
  <c r="GO9" i="9"/>
  <c r="GP9" i="9"/>
  <c r="GQ9" i="9"/>
  <c r="GR9" i="9"/>
  <c r="GS9" i="9"/>
  <c r="GT9" i="9"/>
  <c r="GU9" i="9"/>
  <c r="GV9" i="9"/>
  <c r="GW9" i="9"/>
  <c r="GX9" i="9"/>
  <c r="GY9" i="9"/>
  <c r="GZ9" i="9"/>
  <c r="HA9" i="9"/>
  <c r="HB9" i="9"/>
  <c r="HC9" i="9"/>
  <c r="HD9" i="9"/>
  <c r="HE9" i="9"/>
  <c r="HF9" i="9"/>
  <c r="HG9" i="9"/>
  <c r="HH9" i="9"/>
  <c r="HI9" i="9"/>
  <c r="HJ9" i="9"/>
  <c r="HK9" i="9"/>
  <c r="HL9" i="9"/>
  <c r="HM9" i="9"/>
  <c r="HN9" i="9"/>
  <c r="HO9" i="9"/>
  <c r="HP9" i="9"/>
  <c r="HQ9" i="9"/>
  <c r="HR9" i="9"/>
  <c r="HS9" i="9"/>
  <c r="HT9" i="9"/>
  <c r="HU9" i="9"/>
  <c r="HV9" i="9"/>
  <c r="HW9" i="9"/>
  <c r="HX9" i="9"/>
  <c r="HY9" i="9"/>
  <c r="HZ9" i="9"/>
  <c r="IA9" i="9"/>
  <c r="IB9" i="9"/>
  <c r="IC9" i="9"/>
  <c r="ID9" i="9"/>
  <c r="IE9" i="9"/>
  <c r="IF9" i="9"/>
  <c r="IG9" i="9"/>
  <c r="IH9" i="9"/>
  <c r="II9" i="9"/>
  <c r="IJ9" i="9"/>
  <c r="IK9" i="9"/>
  <c r="IL9" i="9"/>
  <c r="IM9" i="9"/>
  <c r="IN9" i="9"/>
  <c r="IO9" i="9"/>
  <c r="IP9" i="9"/>
  <c r="IQ9" i="9"/>
  <c r="IR9" i="9"/>
  <c r="IS9" i="9"/>
  <c r="IT9" i="9"/>
  <c r="IU9" i="9"/>
  <c r="IV9" i="9"/>
  <c r="A8" i="9"/>
  <c r="B8" i="9"/>
  <c r="C8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AP8" i="9"/>
  <c r="AQ8" i="9"/>
  <c r="AR8" i="9"/>
  <c r="AS8" i="9"/>
  <c r="AT8" i="9"/>
  <c r="AU8" i="9"/>
  <c r="AV8" i="9"/>
  <c r="AW8" i="9"/>
  <c r="AX8" i="9"/>
  <c r="AY8" i="9"/>
  <c r="AZ8" i="9"/>
  <c r="BA8" i="9"/>
  <c r="BB8" i="9"/>
  <c r="BC8" i="9"/>
  <c r="BD8" i="9"/>
  <c r="BE8" i="9"/>
  <c r="BF8" i="9"/>
  <c r="BG8" i="9"/>
  <c r="BH8" i="9"/>
  <c r="BI8" i="9"/>
  <c r="BJ8" i="9"/>
  <c r="BK8" i="9"/>
  <c r="BL8" i="9"/>
  <c r="BM8" i="9"/>
  <c r="BN8" i="9"/>
  <c r="BO8" i="9"/>
  <c r="BP8" i="9"/>
  <c r="BQ8" i="9"/>
  <c r="BR8" i="9"/>
  <c r="BS8" i="9"/>
  <c r="BT8" i="9"/>
  <c r="BU8" i="9"/>
  <c r="BV8" i="9"/>
  <c r="BW8" i="9"/>
  <c r="BX8" i="9"/>
  <c r="BY8" i="9"/>
  <c r="BZ8" i="9"/>
  <c r="CA8" i="9"/>
  <c r="CB8" i="9"/>
  <c r="CC8" i="9"/>
  <c r="CD8" i="9"/>
  <c r="CE8" i="9"/>
  <c r="CF8" i="9"/>
  <c r="CG8" i="9"/>
  <c r="CH8" i="9"/>
  <c r="CI8" i="9"/>
  <c r="CJ8" i="9"/>
  <c r="CK8" i="9"/>
  <c r="CL8" i="9"/>
  <c r="CM8" i="9"/>
  <c r="CN8" i="9"/>
  <c r="CO8" i="9"/>
  <c r="CP8" i="9"/>
  <c r="CQ8" i="9"/>
  <c r="CR8" i="9"/>
  <c r="CS8" i="9"/>
  <c r="CT8" i="9"/>
  <c r="CU8" i="9"/>
  <c r="CV8" i="9"/>
  <c r="CW8" i="9"/>
  <c r="CX8" i="9"/>
  <c r="CY8" i="9"/>
  <c r="CZ8" i="9"/>
  <c r="DA8" i="9"/>
  <c r="DB8" i="9"/>
  <c r="DC8" i="9"/>
  <c r="DD8" i="9"/>
  <c r="DE8" i="9"/>
  <c r="DF8" i="9"/>
  <c r="DG8" i="9"/>
  <c r="DH8" i="9"/>
  <c r="DI8" i="9"/>
  <c r="DJ8" i="9"/>
  <c r="DK8" i="9"/>
  <c r="DL8" i="9"/>
  <c r="DM8" i="9"/>
  <c r="DN8" i="9"/>
  <c r="DO8" i="9"/>
  <c r="DP8" i="9"/>
  <c r="DQ8" i="9"/>
  <c r="DR8" i="9"/>
  <c r="DS8" i="9"/>
  <c r="DT8" i="9"/>
  <c r="DU8" i="9"/>
  <c r="DV8" i="9"/>
  <c r="DW8" i="9"/>
  <c r="DX8" i="9"/>
  <c r="DY8" i="9"/>
  <c r="DZ8" i="9"/>
  <c r="EA8" i="9"/>
  <c r="EB8" i="9"/>
  <c r="EC8" i="9"/>
  <c r="ED8" i="9"/>
  <c r="EE8" i="9"/>
  <c r="EF8" i="9"/>
  <c r="EG8" i="9"/>
  <c r="EH8" i="9"/>
  <c r="EI8" i="9"/>
  <c r="EJ8" i="9"/>
  <c r="EK8" i="9"/>
  <c r="EL8" i="9"/>
  <c r="EM8" i="9"/>
  <c r="EN8" i="9"/>
  <c r="EO8" i="9"/>
  <c r="EP8" i="9"/>
  <c r="EQ8" i="9"/>
  <c r="ER8" i="9"/>
  <c r="ES8" i="9"/>
  <c r="ET8" i="9"/>
  <c r="EU8" i="9"/>
  <c r="EV8" i="9"/>
  <c r="EW8" i="9"/>
  <c r="EX8" i="9"/>
  <c r="EY8" i="9"/>
  <c r="EZ8" i="9"/>
  <c r="FA8" i="9"/>
  <c r="FB8" i="9"/>
  <c r="FC8" i="9"/>
  <c r="FD8" i="9"/>
  <c r="FE8" i="9"/>
  <c r="FF8" i="9"/>
  <c r="FG8" i="9"/>
  <c r="FH8" i="9"/>
  <c r="FI8" i="9"/>
  <c r="FJ8" i="9"/>
  <c r="FK8" i="9"/>
  <c r="FL8" i="9"/>
  <c r="FM8" i="9"/>
  <c r="FN8" i="9"/>
  <c r="FO8" i="9"/>
  <c r="FP8" i="9"/>
  <c r="FQ8" i="9"/>
  <c r="FR8" i="9"/>
  <c r="FS8" i="9"/>
  <c r="FT8" i="9"/>
  <c r="FU8" i="9"/>
  <c r="FV8" i="9"/>
  <c r="FW8" i="9"/>
  <c r="FX8" i="9"/>
  <c r="FY8" i="9"/>
  <c r="FZ8" i="9"/>
  <c r="GA8" i="9"/>
  <c r="GB8" i="9"/>
  <c r="GC8" i="9"/>
  <c r="GD8" i="9"/>
  <c r="GE8" i="9"/>
  <c r="GF8" i="9"/>
  <c r="GG8" i="9"/>
  <c r="GH8" i="9"/>
  <c r="GI8" i="9"/>
  <c r="GJ8" i="9"/>
  <c r="GK8" i="9"/>
  <c r="GL8" i="9"/>
  <c r="GM8" i="9"/>
  <c r="GN8" i="9"/>
  <c r="GO8" i="9"/>
  <c r="GP8" i="9"/>
  <c r="GQ8" i="9"/>
  <c r="GR8" i="9"/>
  <c r="GS8" i="9"/>
  <c r="GT8" i="9"/>
  <c r="GU8" i="9"/>
  <c r="GV8" i="9"/>
  <c r="GW8" i="9"/>
  <c r="GX8" i="9"/>
  <c r="GY8" i="9"/>
  <c r="GZ8" i="9"/>
  <c r="HA8" i="9"/>
  <c r="HB8" i="9"/>
  <c r="HC8" i="9"/>
  <c r="HD8" i="9"/>
  <c r="HE8" i="9"/>
  <c r="HF8" i="9"/>
  <c r="HG8" i="9"/>
  <c r="HH8" i="9"/>
  <c r="HI8" i="9"/>
  <c r="HJ8" i="9"/>
  <c r="HK8" i="9"/>
  <c r="HL8" i="9"/>
  <c r="HM8" i="9"/>
  <c r="HN8" i="9"/>
  <c r="HO8" i="9"/>
  <c r="HP8" i="9"/>
  <c r="HQ8" i="9"/>
  <c r="HR8" i="9"/>
  <c r="HS8" i="9"/>
  <c r="HT8" i="9"/>
  <c r="HU8" i="9"/>
  <c r="HV8" i="9"/>
  <c r="HW8" i="9"/>
  <c r="HX8" i="9"/>
  <c r="HY8" i="9"/>
  <c r="HZ8" i="9"/>
  <c r="IA8" i="9"/>
  <c r="IB8" i="9"/>
  <c r="IC8" i="9"/>
  <c r="ID8" i="9"/>
  <c r="IE8" i="9"/>
  <c r="IF8" i="9"/>
  <c r="IG8" i="9"/>
  <c r="IH8" i="9"/>
  <c r="II8" i="9"/>
  <c r="IJ8" i="9"/>
  <c r="IK8" i="9"/>
  <c r="IL8" i="9"/>
  <c r="IM8" i="9"/>
  <c r="IN8" i="9"/>
  <c r="IO8" i="9"/>
  <c r="IP8" i="9"/>
  <c r="IQ8" i="9"/>
  <c r="IR8" i="9"/>
  <c r="IS8" i="9"/>
  <c r="IT8" i="9"/>
  <c r="IU8" i="9"/>
  <c r="IV8" i="9"/>
  <c r="A7" i="9"/>
  <c r="B7" i="9"/>
  <c r="C7" i="9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AF7" i="9"/>
  <c r="AG7" i="9"/>
  <c r="AH7" i="9"/>
  <c r="AI7" i="9"/>
  <c r="AJ7" i="9"/>
  <c r="AK7" i="9"/>
  <c r="AL7" i="9"/>
  <c r="AM7" i="9"/>
  <c r="AN7" i="9"/>
  <c r="AO7" i="9"/>
  <c r="AP7" i="9"/>
  <c r="AQ7" i="9"/>
  <c r="AR7" i="9"/>
  <c r="AS7" i="9"/>
  <c r="AT7" i="9"/>
  <c r="AU7" i="9"/>
  <c r="AV7" i="9"/>
  <c r="AW7" i="9"/>
  <c r="AX7" i="9"/>
  <c r="AY7" i="9"/>
  <c r="AZ7" i="9"/>
  <c r="BA7" i="9"/>
  <c r="BB7" i="9"/>
  <c r="BC7" i="9"/>
  <c r="BD7" i="9"/>
  <c r="BE7" i="9"/>
  <c r="BF7" i="9"/>
  <c r="BG7" i="9"/>
  <c r="BH7" i="9"/>
  <c r="BI7" i="9"/>
  <c r="BJ7" i="9"/>
  <c r="BK7" i="9"/>
  <c r="BL7" i="9"/>
  <c r="BM7" i="9"/>
  <c r="BN7" i="9"/>
  <c r="BO7" i="9"/>
  <c r="BP7" i="9"/>
  <c r="BQ7" i="9"/>
  <c r="BR7" i="9"/>
  <c r="BS7" i="9"/>
  <c r="BT7" i="9"/>
  <c r="BU7" i="9"/>
  <c r="BV7" i="9"/>
  <c r="BW7" i="9"/>
  <c r="BX7" i="9"/>
  <c r="BY7" i="9"/>
  <c r="BZ7" i="9"/>
  <c r="CA7" i="9"/>
  <c r="CB7" i="9"/>
  <c r="CC7" i="9"/>
  <c r="CD7" i="9"/>
  <c r="CE7" i="9"/>
  <c r="CF7" i="9"/>
  <c r="CG7" i="9"/>
  <c r="CH7" i="9"/>
  <c r="CI7" i="9"/>
  <c r="CJ7" i="9"/>
  <c r="CK7" i="9"/>
  <c r="CL7" i="9"/>
  <c r="CM7" i="9"/>
  <c r="CN7" i="9"/>
  <c r="CO7" i="9"/>
  <c r="CP7" i="9"/>
  <c r="CQ7" i="9"/>
  <c r="CR7" i="9"/>
  <c r="CS7" i="9"/>
  <c r="CT7" i="9"/>
  <c r="CU7" i="9"/>
  <c r="CV7" i="9"/>
  <c r="CW7" i="9"/>
  <c r="CX7" i="9"/>
  <c r="CY7" i="9"/>
  <c r="CZ7" i="9"/>
  <c r="DA7" i="9"/>
  <c r="DB7" i="9"/>
  <c r="DC7" i="9"/>
  <c r="DD7" i="9"/>
  <c r="DE7" i="9"/>
  <c r="DF7" i="9"/>
  <c r="DG7" i="9"/>
  <c r="DH7" i="9"/>
  <c r="DI7" i="9"/>
  <c r="DJ7" i="9"/>
  <c r="DK7" i="9"/>
  <c r="DL7" i="9"/>
  <c r="DM7" i="9"/>
  <c r="DN7" i="9"/>
  <c r="DO7" i="9"/>
  <c r="DP7" i="9"/>
  <c r="DQ7" i="9"/>
  <c r="DR7" i="9"/>
  <c r="DS7" i="9"/>
  <c r="DT7" i="9"/>
  <c r="DU7" i="9"/>
  <c r="DV7" i="9"/>
  <c r="DW7" i="9"/>
  <c r="DX7" i="9"/>
  <c r="DY7" i="9"/>
  <c r="DZ7" i="9"/>
  <c r="EA7" i="9"/>
  <c r="EB7" i="9"/>
  <c r="EC7" i="9"/>
  <c r="ED7" i="9"/>
  <c r="EE7" i="9"/>
  <c r="EF7" i="9"/>
  <c r="EG7" i="9"/>
  <c r="EH7" i="9"/>
  <c r="EI7" i="9"/>
  <c r="EJ7" i="9"/>
  <c r="EK7" i="9"/>
  <c r="EL7" i="9"/>
  <c r="EM7" i="9"/>
  <c r="EN7" i="9"/>
  <c r="EO7" i="9"/>
  <c r="EP7" i="9"/>
  <c r="EQ7" i="9"/>
  <c r="ER7" i="9"/>
  <c r="ES7" i="9"/>
  <c r="ET7" i="9"/>
  <c r="EU7" i="9"/>
  <c r="EV7" i="9"/>
  <c r="EW7" i="9"/>
  <c r="EX7" i="9"/>
  <c r="EY7" i="9"/>
  <c r="EZ7" i="9"/>
  <c r="FA7" i="9"/>
  <c r="FB7" i="9"/>
  <c r="FC7" i="9"/>
  <c r="FD7" i="9"/>
  <c r="FE7" i="9"/>
  <c r="FF7" i="9"/>
  <c r="FG7" i="9"/>
  <c r="FH7" i="9"/>
  <c r="FI7" i="9"/>
  <c r="FJ7" i="9"/>
  <c r="FK7" i="9"/>
  <c r="FL7" i="9"/>
  <c r="FM7" i="9"/>
  <c r="FN7" i="9"/>
  <c r="FO7" i="9"/>
  <c r="FP7" i="9"/>
  <c r="FQ7" i="9"/>
  <c r="FR7" i="9"/>
  <c r="FS7" i="9"/>
  <c r="FT7" i="9"/>
  <c r="FU7" i="9"/>
  <c r="FV7" i="9"/>
  <c r="FW7" i="9"/>
  <c r="FX7" i="9"/>
  <c r="FY7" i="9"/>
  <c r="FZ7" i="9"/>
  <c r="GA7" i="9"/>
  <c r="GB7" i="9"/>
  <c r="GC7" i="9"/>
  <c r="GD7" i="9"/>
  <c r="GE7" i="9"/>
  <c r="GF7" i="9"/>
  <c r="GG7" i="9"/>
  <c r="GH7" i="9"/>
  <c r="GI7" i="9"/>
  <c r="GJ7" i="9"/>
  <c r="GK7" i="9"/>
  <c r="GL7" i="9"/>
  <c r="GM7" i="9"/>
  <c r="GN7" i="9"/>
  <c r="GO7" i="9"/>
  <c r="GP7" i="9"/>
  <c r="GQ7" i="9"/>
  <c r="GR7" i="9"/>
  <c r="GS7" i="9"/>
  <c r="GT7" i="9"/>
  <c r="GU7" i="9"/>
  <c r="GV7" i="9"/>
  <c r="GW7" i="9"/>
  <c r="GX7" i="9"/>
  <c r="GY7" i="9"/>
  <c r="GZ7" i="9"/>
  <c r="HA7" i="9"/>
  <c r="HB7" i="9"/>
  <c r="HC7" i="9"/>
  <c r="HD7" i="9"/>
  <c r="HE7" i="9"/>
  <c r="HF7" i="9"/>
  <c r="HG7" i="9"/>
  <c r="HH7" i="9"/>
  <c r="HI7" i="9"/>
  <c r="HJ7" i="9"/>
  <c r="HK7" i="9"/>
  <c r="HL7" i="9"/>
  <c r="HM7" i="9"/>
  <c r="HN7" i="9"/>
  <c r="HO7" i="9"/>
  <c r="HP7" i="9"/>
  <c r="HQ7" i="9"/>
  <c r="HR7" i="9"/>
  <c r="HS7" i="9"/>
  <c r="HT7" i="9"/>
  <c r="HU7" i="9"/>
  <c r="HV7" i="9"/>
  <c r="HW7" i="9"/>
  <c r="HX7" i="9"/>
  <c r="HY7" i="9"/>
  <c r="HZ7" i="9"/>
  <c r="IA7" i="9"/>
  <c r="IB7" i="9"/>
  <c r="IC7" i="9"/>
  <c r="ID7" i="9"/>
  <c r="IE7" i="9"/>
  <c r="IF7" i="9"/>
  <c r="IG7" i="9"/>
  <c r="IH7" i="9"/>
  <c r="II7" i="9"/>
  <c r="IJ7" i="9"/>
  <c r="IK7" i="9"/>
  <c r="IL7" i="9"/>
  <c r="IM7" i="9"/>
  <c r="IN7" i="9"/>
  <c r="IO7" i="9"/>
  <c r="IP7" i="9"/>
  <c r="IQ7" i="9"/>
  <c r="IR7" i="9"/>
  <c r="IS7" i="9"/>
  <c r="IT7" i="9"/>
  <c r="IU7" i="9"/>
  <c r="IV7" i="9"/>
  <c r="A6" i="9"/>
  <c r="B6" i="9"/>
  <c r="C6" i="9"/>
  <c r="D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AF6" i="9"/>
  <c r="AG6" i="9"/>
  <c r="AH6" i="9"/>
  <c r="AI6" i="9"/>
  <c r="AJ6" i="9"/>
  <c r="AK6" i="9"/>
  <c r="AL6" i="9"/>
  <c r="AM6" i="9"/>
  <c r="AN6" i="9"/>
  <c r="AO6" i="9"/>
  <c r="AP6" i="9"/>
  <c r="AQ6" i="9"/>
  <c r="AR6" i="9"/>
  <c r="AS6" i="9"/>
  <c r="AT6" i="9"/>
  <c r="AU6" i="9"/>
  <c r="AV6" i="9"/>
  <c r="AW6" i="9"/>
  <c r="AX6" i="9"/>
  <c r="AY6" i="9"/>
  <c r="AZ6" i="9"/>
  <c r="BA6" i="9"/>
  <c r="BB6" i="9"/>
  <c r="BC6" i="9"/>
  <c r="BD6" i="9"/>
  <c r="BE6" i="9"/>
  <c r="BF6" i="9"/>
  <c r="BG6" i="9"/>
  <c r="BH6" i="9"/>
  <c r="BI6" i="9"/>
  <c r="BJ6" i="9"/>
  <c r="BK6" i="9"/>
  <c r="BL6" i="9"/>
  <c r="BM6" i="9"/>
  <c r="BN6" i="9"/>
  <c r="BO6" i="9"/>
  <c r="BP6" i="9"/>
  <c r="BQ6" i="9"/>
  <c r="BR6" i="9"/>
  <c r="BS6" i="9"/>
  <c r="BT6" i="9"/>
  <c r="BU6" i="9"/>
  <c r="BV6" i="9"/>
  <c r="BW6" i="9"/>
  <c r="BX6" i="9"/>
  <c r="BY6" i="9"/>
  <c r="BZ6" i="9"/>
  <c r="CA6" i="9"/>
  <c r="CB6" i="9"/>
  <c r="CC6" i="9"/>
  <c r="CD6" i="9"/>
  <c r="CE6" i="9"/>
  <c r="CF6" i="9"/>
  <c r="CG6" i="9"/>
  <c r="CH6" i="9"/>
  <c r="CI6" i="9"/>
  <c r="CJ6" i="9"/>
  <c r="CK6" i="9"/>
  <c r="CL6" i="9"/>
  <c r="CM6" i="9"/>
  <c r="CN6" i="9"/>
  <c r="CO6" i="9"/>
  <c r="CP6" i="9"/>
  <c r="CQ6" i="9"/>
  <c r="CR6" i="9"/>
  <c r="CS6" i="9"/>
  <c r="CT6" i="9"/>
  <c r="CU6" i="9"/>
  <c r="CV6" i="9"/>
  <c r="CW6" i="9"/>
  <c r="CX6" i="9"/>
  <c r="CY6" i="9"/>
  <c r="CZ6" i="9"/>
  <c r="DA6" i="9"/>
  <c r="DB6" i="9"/>
  <c r="DC6" i="9"/>
  <c r="DD6" i="9"/>
  <c r="DE6" i="9"/>
  <c r="DF6" i="9"/>
  <c r="DG6" i="9"/>
  <c r="DH6" i="9"/>
  <c r="DI6" i="9"/>
  <c r="DJ6" i="9"/>
  <c r="DK6" i="9"/>
  <c r="DL6" i="9"/>
  <c r="DM6" i="9"/>
  <c r="DN6" i="9"/>
  <c r="DO6" i="9"/>
  <c r="DP6" i="9"/>
  <c r="DQ6" i="9"/>
  <c r="DR6" i="9"/>
  <c r="DS6" i="9"/>
  <c r="DT6" i="9"/>
  <c r="DU6" i="9"/>
  <c r="DV6" i="9"/>
  <c r="DW6" i="9"/>
  <c r="DX6" i="9"/>
  <c r="DY6" i="9"/>
  <c r="DZ6" i="9"/>
  <c r="EA6" i="9"/>
  <c r="EB6" i="9"/>
  <c r="EC6" i="9"/>
  <c r="ED6" i="9"/>
  <c r="EE6" i="9"/>
  <c r="EF6" i="9"/>
  <c r="EG6" i="9"/>
  <c r="EH6" i="9"/>
  <c r="EI6" i="9"/>
  <c r="EJ6" i="9"/>
  <c r="EK6" i="9"/>
  <c r="EL6" i="9"/>
  <c r="EM6" i="9"/>
  <c r="EN6" i="9"/>
  <c r="EO6" i="9"/>
  <c r="EP6" i="9"/>
  <c r="EQ6" i="9"/>
  <c r="ER6" i="9"/>
  <c r="ES6" i="9"/>
  <c r="ET6" i="9"/>
  <c r="EU6" i="9"/>
  <c r="EV6" i="9"/>
  <c r="EW6" i="9"/>
  <c r="EX6" i="9"/>
  <c r="EY6" i="9"/>
  <c r="EZ6" i="9"/>
  <c r="FA6" i="9"/>
  <c r="FB6" i="9"/>
  <c r="FC6" i="9"/>
  <c r="FD6" i="9"/>
  <c r="FE6" i="9"/>
  <c r="FF6" i="9"/>
  <c r="FG6" i="9"/>
  <c r="FH6" i="9"/>
  <c r="FI6" i="9"/>
  <c r="FJ6" i="9"/>
  <c r="FK6" i="9"/>
  <c r="FL6" i="9"/>
  <c r="FM6" i="9"/>
  <c r="FN6" i="9"/>
  <c r="FO6" i="9"/>
  <c r="FP6" i="9"/>
  <c r="FQ6" i="9"/>
  <c r="FR6" i="9"/>
  <c r="FS6" i="9"/>
  <c r="FT6" i="9"/>
  <c r="FU6" i="9"/>
  <c r="FV6" i="9"/>
  <c r="FW6" i="9"/>
  <c r="FX6" i="9"/>
  <c r="FY6" i="9"/>
  <c r="FZ6" i="9"/>
  <c r="GA6" i="9"/>
  <c r="GB6" i="9"/>
  <c r="GC6" i="9"/>
  <c r="GD6" i="9"/>
  <c r="GE6" i="9"/>
  <c r="GF6" i="9"/>
  <c r="GG6" i="9"/>
  <c r="GH6" i="9"/>
  <c r="GI6" i="9"/>
  <c r="GJ6" i="9"/>
  <c r="GK6" i="9"/>
  <c r="GL6" i="9"/>
  <c r="GM6" i="9"/>
  <c r="GN6" i="9"/>
  <c r="GO6" i="9"/>
  <c r="GP6" i="9"/>
  <c r="GQ6" i="9"/>
  <c r="GR6" i="9"/>
  <c r="GS6" i="9"/>
  <c r="GT6" i="9"/>
  <c r="GU6" i="9"/>
  <c r="GV6" i="9"/>
  <c r="GW6" i="9"/>
  <c r="GX6" i="9"/>
  <c r="GY6" i="9"/>
  <c r="GZ6" i="9"/>
  <c r="HA6" i="9"/>
  <c r="HB6" i="9"/>
  <c r="HC6" i="9"/>
  <c r="HD6" i="9"/>
  <c r="HE6" i="9"/>
  <c r="HF6" i="9"/>
  <c r="HG6" i="9"/>
  <c r="HH6" i="9"/>
  <c r="HI6" i="9"/>
  <c r="HJ6" i="9"/>
  <c r="HK6" i="9"/>
  <c r="HL6" i="9"/>
  <c r="HM6" i="9"/>
  <c r="HN6" i="9"/>
  <c r="HO6" i="9"/>
  <c r="HP6" i="9"/>
  <c r="HQ6" i="9"/>
  <c r="HR6" i="9"/>
  <c r="HS6" i="9"/>
  <c r="HT6" i="9"/>
  <c r="HU6" i="9"/>
  <c r="HV6" i="9"/>
  <c r="HW6" i="9"/>
  <c r="HX6" i="9"/>
  <c r="HY6" i="9"/>
  <c r="HZ6" i="9"/>
  <c r="IA6" i="9"/>
  <c r="IB6" i="9"/>
  <c r="IC6" i="9"/>
  <c r="ID6" i="9"/>
  <c r="IE6" i="9"/>
  <c r="IF6" i="9"/>
  <c r="IG6" i="9"/>
  <c r="IH6" i="9"/>
  <c r="II6" i="9"/>
  <c r="IJ6" i="9"/>
  <c r="IK6" i="9"/>
  <c r="IL6" i="9"/>
  <c r="IM6" i="9"/>
  <c r="IN6" i="9"/>
  <c r="IO6" i="9"/>
  <c r="IP6" i="9"/>
  <c r="IQ6" i="9"/>
  <c r="IR6" i="9"/>
  <c r="IS6" i="9"/>
  <c r="IT6" i="9"/>
  <c r="IU6" i="9"/>
  <c r="IV6" i="9"/>
  <c r="A5" i="9"/>
  <c r="B5" i="9"/>
  <c r="C5" i="9"/>
  <c r="D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Y5" i="9"/>
  <c r="Z5" i="9"/>
  <c r="AA5" i="9"/>
  <c r="AB5" i="9"/>
  <c r="AC5" i="9"/>
  <c r="AD5" i="9"/>
  <c r="AE5" i="9"/>
  <c r="AF5" i="9"/>
  <c r="AG5" i="9"/>
  <c r="AH5" i="9"/>
  <c r="AI5" i="9"/>
  <c r="AJ5" i="9"/>
  <c r="AK5" i="9"/>
  <c r="AL5" i="9"/>
  <c r="AM5" i="9"/>
  <c r="AN5" i="9"/>
  <c r="AO5" i="9"/>
  <c r="AP5" i="9"/>
  <c r="AQ5" i="9"/>
  <c r="AR5" i="9"/>
  <c r="AS5" i="9"/>
  <c r="AT5" i="9"/>
  <c r="AU5" i="9"/>
  <c r="AV5" i="9"/>
  <c r="AW5" i="9"/>
  <c r="AX5" i="9"/>
  <c r="AY5" i="9"/>
  <c r="AZ5" i="9"/>
  <c r="BA5" i="9"/>
  <c r="BB5" i="9"/>
  <c r="BC5" i="9"/>
  <c r="BD5" i="9"/>
  <c r="BE5" i="9"/>
  <c r="BF5" i="9"/>
  <c r="BG5" i="9"/>
  <c r="BH5" i="9"/>
  <c r="BI5" i="9"/>
  <c r="BJ5" i="9"/>
  <c r="BK5" i="9"/>
  <c r="BL5" i="9"/>
  <c r="BM5" i="9"/>
  <c r="BN5" i="9"/>
  <c r="BO5" i="9"/>
  <c r="BP5" i="9"/>
  <c r="BQ5" i="9"/>
  <c r="BR5" i="9"/>
  <c r="BS5" i="9"/>
  <c r="BT5" i="9"/>
  <c r="BU5" i="9"/>
  <c r="BV5" i="9"/>
  <c r="BW5" i="9"/>
  <c r="BX5" i="9"/>
  <c r="BY5" i="9"/>
  <c r="BZ5" i="9"/>
  <c r="CA5" i="9"/>
  <c r="CB5" i="9"/>
  <c r="CC5" i="9"/>
  <c r="CD5" i="9"/>
  <c r="CE5" i="9"/>
  <c r="CF5" i="9"/>
  <c r="CG5" i="9"/>
  <c r="CH5" i="9"/>
  <c r="CI5" i="9"/>
  <c r="CJ5" i="9"/>
  <c r="CK5" i="9"/>
  <c r="CL5" i="9"/>
  <c r="CM5" i="9"/>
  <c r="CN5" i="9"/>
  <c r="CO5" i="9"/>
  <c r="CP5" i="9"/>
  <c r="CQ5" i="9"/>
  <c r="CR5" i="9"/>
  <c r="CS5" i="9"/>
  <c r="CT5" i="9"/>
  <c r="CU5" i="9"/>
  <c r="CV5" i="9"/>
  <c r="CW5" i="9"/>
  <c r="CX5" i="9"/>
  <c r="CY5" i="9"/>
  <c r="CZ5" i="9"/>
  <c r="DA5" i="9"/>
  <c r="DB5" i="9"/>
  <c r="DC5" i="9"/>
  <c r="DD5" i="9"/>
  <c r="DE5" i="9"/>
  <c r="DF5" i="9"/>
  <c r="DG5" i="9"/>
  <c r="DH5" i="9"/>
  <c r="DI5" i="9"/>
  <c r="DJ5" i="9"/>
  <c r="DK5" i="9"/>
  <c r="DL5" i="9"/>
  <c r="DM5" i="9"/>
  <c r="DN5" i="9"/>
  <c r="DO5" i="9"/>
  <c r="DP5" i="9"/>
  <c r="DQ5" i="9"/>
  <c r="DR5" i="9"/>
  <c r="DS5" i="9"/>
  <c r="DT5" i="9"/>
  <c r="DU5" i="9"/>
  <c r="DV5" i="9"/>
  <c r="DW5" i="9"/>
  <c r="DX5" i="9"/>
  <c r="DY5" i="9"/>
  <c r="DZ5" i="9"/>
  <c r="EA5" i="9"/>
  <c r="EB5" i="9"/>
  <c r="EC5" i="9"/>
  <c r="ED5" i="9"/>
  <c r="EE5" i="9"/>
  <c r="EF5" i="9"/>
  <c r="EG5" i="9"/>
  <c r="EH5" i="9"/>
  <c r="EI5" i="9"/>
  <c r="EJ5" i="9"/>
  <c r="EK5" i="9"/>
  <c r="EL5" i="9"/>
  <c r="EM5" i="9"/>
  <c r="EN5" i="9"/>
  <c r="EO5" i="9"/>
  <c r="EP5" i="9"/>
  <c r="EQ5" i="9"/>
  <c r="ER5" i="9"/>
  <c r="ES5" i="9"/>
  <c r="ET5" i="9"/>
  <c r="EU5" i="9"/>
  <c r="EV5" i="9"/>
  <c r="EW5" i="9"/>
  <c r="EX5" i="9"/>
  <c r="EY5" i="9"/>
  <c r="EZ5" i="9"/>
  <c r="FA5" i="9"/>
  <c r="FB5" i="9"/>
  <c r="FC5" i="9"/>
  <c r="FD5" i="9"/>
  <c r="FE5" i="9"/>
  <c r="FF5" i="9"/>
  <c r="FG5" i="9"/>
  <c r="FH5" i="9"/>
  <c r="FI5" i="9"/>
  <c r="FJ5" i="9"/>
  <c r="FK5" i="9"/>
  <c r="FL5" i="9"/>
  <c r="FM5" i="9"/>
  <c r="FN5" i="9"/>
  <c r="FO5" i="9"/>
  <c r="FP5" i="9"/>
  <c r="FQ5" i="9"/>
  <c r="FR5" i="9"/>
  <c r="FS5" i="9"/>
  <c r="FT5" i="9"/>
  <c r="FU5" i="9"/>
  <c r="FV5" i="9"/>
  <c r="FW5" i="9"/>
  <c r="FX5" i="9"/>
  <c r="FY5" i="9"/>
  <c r="FZ5" i="9"/>
  <c r="GA5" i="9"/>
  <c r="GB5" i="9"/>
  <c r="GC5" i="9"/>
  <c r="GD5" i="9"/>
  <c r="GE5" i="9"/>
  <c r="GF5" i="9"/>
  <c r="GG5" i="9"/>
  <c r="GH5" i="9"/>
  <c r="GI5" i="9"/>
  <c r="GJ5" i="9"/>
  <c r="GK5" i="9"/>
  <c r="GL5" i="9"/>
  <c r="GM5" i="9"/>
  <c r="GN5" i="9"/>
  <c r="GO5" i="9"/>
  <c r="GP5" i="9"/>
  <c r="GQ5" i="9"/>
  <c r="GR5" i="9"/>
  <c r="GS5" i="9"/>
  <c r="GT5" i="9"/>
  <c r="GU5" i="9"/>
  <c r="GV5" i="9"/>
  <c r="GW5" i="9"/>
  <c r="GX5" i="9"/>
  <c r="GY5" i="9"/>
  <c r="GZ5" i="9"/>
  <c r="HA5" i="9"/>
  <c r="HB5" i="9"/>
  <c r="HC5" i="9"/>
  <c r="HD5" i="9"/>
  <c r="HE5" i="9"/>
  <c r="HF5" i="9"/>
  <c r="HG5" i="9"/>
  <c r="HH5" i="9"/>
  <c r="HI5" i="9"/>
  <c r="HJ5" i="9"/>
  <c r="HK5" i="9"/>
  <c r="HL5" i="9"/>
  <c r="HM5" i="9"/>
  <c r="HN5" i="9"/>
  <c r="HO5" i="9"/>
  <c r="HP5" i="9"/>
  <c r="HQ5" i="9"/>
  <c r="HR5" i="9"/>
  <c r="HS5" i="9"/>
  <c r="HT5" i="9"/>
  <c r="HU5" i="9"/>
  <c r="HV5" i="9"/>
  <c r="HW5" i="9"/>
  <c r="HX5" i="9"/>
  <c r="HY5" i="9"/>
  <c r="HZ5" i="9"/>
  <c r="IA5" i="9"/>
  <c r="IB5" i="9"/>
  <c r="IC5" i="9"/>
  <c r="ID5" i="9"/>
  <c r="IE5" i="9"/>
  <c r="IF5" i="9"/>
  <c r="IG5" i="9"/>
  <c r="IH5" i="9"/>
  <c r="II5" i="9"/>
  <c r="IJ5" i="9"/>
  <c r="IK5" i="9"/>
  <c r="IL5" i="9"/>
  <c r="IM5" i="9"/>
  <c r="IN5" i="9"/>
  <c r="IO5" i="9"/>
  <c r="IP5" i="9"/>
  <c r="IQ5" i="9"/>
  <c r="IR5" i="9"/>
  <c r="IS5" i="9"/>
  <c r="IT5" i="9"/>
  <c r="IU5" i="9"/>
  <c r="IV5" i="9"/>
  <c r="A4" i="9"/>
  <c r="B4" i="9"/>
  <c r="C4" i="9"/>
  <c r="D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AB4" i="9"/>
  <c r="AC4" i="9"/>
  <c r="AD4" i="9"/>
  <c r="AE4" i="9"/>
  <c r="AF4" i="9"/>
  <c r="AG4" i="9"/>
  <c r="AH4" i="9"/>
  <c r="AI4" i="9"/>
  <c r="AJ4" i="9"/>
  <c r="AK4" i="9"/>
  <c r="AL4" i="9"/>
  <c r="AM4" i="9"/>
  <c r="AN4" i="9"/>
  <c r="AO4" i="9"/>
  <c r="AP4" i="9"/>
  <c r="AQ4" i="9"/>
  <c r="AR4" i="9"/>
  <c r="AS4" i="9"/>
  <c r="AT4" i="9"/>
  <c r="AU4" i="9"/>
  <c r="AV4" i="9"/>
  <c r="AW4" i="9"/>
  <c r="AX4" i="9"/>
  <c r="AY4" i="9"/>
  <c r="AZ4" i="9"/>
  <c r="BA4" i="9"/>
  <c r="BB4" i="9"/>
  <c r="BC4" i="9"/>
  <c r="BD4" i="9"/>
  <c r="BE4" i="9"/>
  <c r="BF4" i="9"/>
  <c r="BG4" i="9"/>
  <c r="BH4" i="9"/>
  <c r="BI4" i="9"/>
  <c r="BJ4" i="9"/>
  <c r="BK4" i="9"/>
  <c r="BL4" i="9"/>
  <c r="BM4" i="9"/>
  <c r="BN4" i="9"/>
  <c r="BO4" i="9"/>
  <c r="BP4" i="9"/>
  <c r="BQ4" i="9"/>
  <c r="BR4" i="9"/>
  <c r="BS4" i="9"/>
  <c r="BT4" i="9"/>
  <c r="BU4" i="9"/>
  <c r="BV4" i="9"/>
  <c r="BW4" i="9"/>
  <c r="BX4" i="9"/>
  <c r="BY4" i="9"/>
  <c r="BZ4" i="9"/>
  <c r="CA4" i="9"/>
  <c r="CB4" i="9"/>
  <c r="CC4" i="9"/>
  <c r="CD4" i="9"/>
  <c r="CE4" i="9"/>
  <c r="CF4" i="9"/>
  <c r="CG4" i="9"/>
  <c r="CH4" i="9"/>
  <c r="CI4" i="9"/>
  <c r="CJ4" i="9"/>
  <c r="CK4" i="9"/>
  <c r="CL4" i="9"/>
  <c r="CM4" i="9"/>
  <c r="CN4" i="9"/>
  <c r="CO4" i="9"/>
  <c r="CP4" i="9"/>
  <c r="CQ4" i="9"/>
  <c r="CR4" i="9"/>
  <c r="CS4" i="9"/>
  <c r="CT4" i="9"/>
  <c r="CU4" i="9"/>
  <c r="CV4" i="9"/>
  <c r="CW4" i="9"/>
  <c r="CX4" i="9"/>
  <c r="CY4" i="9"/>
  <c r="CZ4" i="9"/>
  <c r="DA4" i="9"/>
  <c r="DB4" i="9"/>
  <c r="DC4" i="9"/>
  <c r="DD4" i="9"/>
  <c r="DE4" i="9"/>
  <c r="DF4" i="9"/>
  <c r="DG4" i="9"/>
  <c r="DH4" i="9"/>
  <c r="DI4" i="9"/>
  <c r="DJ4" i="9"/>
  <c r="DK4" i="9"/>
  <c r="DL4" i="9"/>
  <c r="DM4" i="9"/>
  <c r="DN4" i="9"/>
  <c r="DO4" i="9"/>
  <c r="DP4" i="9"/>
  <c r="DQ4" i="9"/>
  <c r="DR4" i="9"/>
  <c r="DS4" i="9"/>
  <c r="DT4" i="9"/>
  <c r="DU4" i="9"/>
  <c r="DV4" i="9"/>
  <c r="DW4" i="9"/>
  <c r="DX4" i="9"/>
  <c r="DY4" i="9"/>
  <c r="DZ4" i="9"/>
  <c r="EA4" i="9"/>
  <c r="EB4" i="9"/>
  <c r="EC4" i="9"/>
  <c r="ED4" i="9"/>
  <c r="EE4" i="9"/>
  <c r="EF4" i="9"/>
  <c r="EG4" i="9"/>
  <c r="EH4" i="9"/>
  <c r="EI4" i="9"/>
  <c r="EJ4" i="9"/>
  <c r="EK4" i="9"/>
  <c r="EL4" i="9"/>
  <c r="EM4" i="9"/>
  <c r="EN4" i="9"/>
  <c r="EO4" i="9"/>
  <c r="EP4" i="9"/>
  <c r="EQ4" i="9"/>
  <c r="ER4" i="9"/>
  <c r="ES4" i="9"/>
  <c r="ET4" i="9"/>
  <c r="EU4" i="9"/>
  <c r="EV4" i="9"/>
  <c r="EW4" i="9"/>
  <c r="EX4" i="9"/>
  <c r="EY4" i="9"/>
  <c r="EZ4" i="9"/>
  <c r="FA4" i="9"/>
  <c r="FB4" i="9"/>
  <c r="FC4" i="9"/>
  <c r="FD4" i="9"/>
  <c r="FE4" i="9"/>
  <c r="FF4" i="9"/>
  <c r="FG4" i="9"/>
  <c r="FH4" i="9"/>
  <c r="FI4" i="9"/>
  <c r="FJ4" i="9"/>
  <c r="FK4" i="9"/>
  <c r="FL4" i="9"/>
  <c r="FM4" i="9"/>
  <c r="FN4" i="9"/>
  <c r="FO4" i="9"/>
  <c r="FP4" i="9"/>
  <c r="FQ4" i="9"/>
  <c r="FR4" i="9"/>
  <c r="FS4" i="9"/>
  <c r="FT4" i="9"/>
  <c r="FU4" i="9"/>
  <c r="FV4" i="9"/>
  <c r="FW4" i="9"/>
  <c r="FX4" i="9"/>
  <c r="FY4" i="9"/>
  <c r="FZ4" i="9"/>
  <c r="GA4" i="9"/>
  <c r="GB4" i="9"/>
  <c r="GC4" i="9"/>
  <c r="GD4" i="9"/>
  <c r="GE4" i="9"/>
  <c r="GF4" i="9"/>
  <c r="GG4" i="9"/>
  <c r="GH4" i="9"/>
  <c r="GI4" i="9"/>
  <c r="GJ4" i="9"/>
  <c r="GK4" i="9"/>
  <c r="GL4" i="9"/>
  <c r="GM4" i="9"/>
  <c r="GN4" i="9"/>
  <c r="GO4" i="9"/>
  <c r="GP4" i="9"/>
  <c r="GQ4" i="9"/>
  <c r="GR4" i="9"/>
  <c r="GS4" i="9"/>
  <c r="GT4" i="9"/>
  <c r="GU4" i="9"/>
  <c r="GV4" i="9"/>
  <c r="GW4" i="9"/>
  <c r="GX4" i="9"/>
  <c r="GY4" i="9"/>
  <c r="GZ4" i="9"/>
  <c r="HA4" i="9"/>
  <c r="HB4" i="9"/>
  <c r="HC4" i="9"/>
  <c r="HD4" i="9"/>
  <c r="HE4" i="9"/>
  <c r="HF4" i="9"/>
  <c r="HG4" i="9"/>
  <c r="HH4" i="9"/>
  <c r="HI4" i="9"/>
  <c r="HJ4" i="9"/>
  <c r="HK4" i="9"/>
  <c r="HL4" i="9"/>
  <c r="HM4" i="9"/>
  <c r="HN4" i="9"/>
  <c r="HO4" i="9"/>
  <c r="HP4" i="9"/>
  <c r="HQ4" i="9"/>
  <c r="HR4" i="9"/>
  <c r="HS4" i="9"/>
  <c r="HT4" i="9"/>
  <c r="HU4" i="9"/>
  <c r="HV4" i="9"/>
  <c r="HW4" i="9"/>
  <c r="HX4" i="9"/>
  <c r="HY4" i="9"/>
  <c r="HZ4" i="9"/>
  <c r="IA4" i="9"/>
  <c r="IB4" i="9"/>
  <c r="IC4" i="9"/>
  <c r="ID4" i="9"/>
  <c r="IE4" i="9"/>
  <c r="IF4" i="9"/>
  <c r="IG4" i="9"/>
  <c r="IH4" i="9"/>
  <c r="II4" i="9"/>
  <c r="IJ4" i="9"/>
  <c r="IK4" i="9"/>
  <c r="IL4" i="9"/>
  <c r="IM4" i="9"/>
  <c r="IN4" i="9"/>
  <c r="IO4" i="9"/>
  <c r="IP4" i="9"/>
  <c r="IQ4" i="9"/>
  <c r="IR4" i="9"/>
  <c r="IS4" i="9"/>
  <c r="IT4" i="9"/>
  <c r="IU4" i="9"/>
  <c r="IV4" i="9"/>
  <c r="A3" i="9"/>
  <c r="B3" i="9"/>
  <c r="C3" i="9"/>
  <c r="D3" i="9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AF3" i="9"/>
  <c r="AG3" i="9"/>
  <c r="AH3" i="9"/>
  <c r="AI3" i="9"/>
  <c r="AJ3" i="9"/>
  <c r="AK3" i="9"/>
  <c r="AL3" i="9"/>
  <c r="AM3" i="9"/>
  <c r="AN3" i="9"/>
  <c r="AO3" i="9"/>
  <c r="AP3" i="9"/>
  <c r="AQ3" i="9"/>
  <c r="AR3" i="9"/>
  <c r="AS3" i="9"/>
  <c r="AT3" i="9"/>
  <c r="AU3" i="9"/>
  <c r="AV3" i="9"/>
  <c r="AW3" i="9"/>
  <c r="AX3" i="9"/>
  <c r="AY3" i="9"/>
  <c r="AZ3" i="9"/>
  <c r="BA3" i="9"/>
  <c r="BB3" i="9"/>
  <c r="BC3" i="9"/>
  <c r="BD3" i="9"/>
  <c r="BE3" i="9"/>
  <c r="BF3" i="9"/>
  <c r="BG3" i="9"/>
  <c r="BH3" i="9"/>
  <c r="BI3" i="9"/>
  <c r="BJ3" i="9"/>
  <c r="BK3" i="9"/>
  <c r="BL3" i="9"/>
  <c r="BM3" i="9"/>
  <c r="BN3" i="9"/>
  <c r="BO3" i="9"/>
  <c r="BP3" i="9"/>
  <c r="BQ3" i="9"/>
  <c r="BR3" i="9"/>
  <c r="BS3" i="9"/>
  <c r="BT3" i="9"/>
  <c r="BU3" i="9"/>
  <c r="BV3" i="9"/>
  <c r="BW3" i="9"/>
  <c r="BX3" i="9"/>
  <c r="BY3" i="9"/>
  <c r="BZ3" i="9"/>
  <c r="CA3" i="9"/>
  <c r="CB3" i="9"/>
  <c r="CC3" i="9"/>
  <c r="CD3" i="9"/>
  <c r="CE3" i="9"/>
  <c r="CF3" i="9"/>
  <c r="CG3" i="9"/>
  <c r="CH3" i="9"/>
  <c r="CI3" i="9"/>
  <c r="CJ3" i="9"/>
  <c r="CK3" i="9"/>
  <c r="CL3" i="9"/>
  <c r="CM3" i="9"/>
  <c r="CN3" i="9"/>
  <c r="CO3" i="9"/>
  <c r="CP3" i="9"/>
  <c r="CQ3" i="9"/>
  <c r="CR3" i="9"/>
  <c r="CS3" i="9"/>
  <c r="CT3" i="9"/>
  <c r="CU3" i="9"/>
  <c r="CV3" i="9"/>
  <c r="CW3" i="9"/>
  <c r="CX3" i="9"/>
  <c r="CY3" i="9"/>
  <c r="CZ3" i="9"/>
  <c r="DA3" i="9"/>
  <c r="DB3" i="9"/>
  <c r="DC3" i="9"/>
  <c r="DD3" i="9"/>
  <c r="DE3" i="9"/>
  <c r="DF3" i="9"/>
  <c r="DG3" i="9"/>
  <c r="DH3" i="9"/>
  <c r="DI3" i="9"/>
  <c r="DJ3" i="9"/>
  <c r="DK3" i="9"/>
  <c r="DL3" i="9"/>
  <c r="DM3" i="9"/>
  <c r="DN3" i="9"/>
  <c r="DO3" i="9"/>
  <c r="DP3" i="9"/>
  <c r="DQ3" i="9"/>
  <c r="DR3" i="9"/>
  <c r="DS3" i="9"/>
  <c r="DT3" i="9"/>
  <c r="DU3" i="9"/>
  <c r="DV3" i="9"/>
  <c r="DW3" i="9"/>
  <c r="DX3" i="9"/>
  <c r="DY3" i="9"/>
  <c r="DZ3" i="9"/>
  <c r="EA3" i="9"/>
  <c r="EB3" i="9"/>
  <c r="EC3" i="9"/>
  <c r="ED3" i="9"/>
  <c r="EE3" i="9"/>
  <c r="EF3" i="9"/>
  <c r="EG3" i="9"/>
  <c r="EH3" i="9"/>
  <c r="EI3" i="9"/>
  <c r="EJ3" i="9"/>
  <c r="EK3" i="9"/>
  <c r="EL3" i="9"/>
  <c r="EM3" i="9"/>
  <c r="EN3" i="9"/>
  <c r="EO3" i="9"/>
  <c r="EP3" i="9"/>
  <c r="EQ3" i="9"/>
  <c r="ER3" i="9"/>
  <c r="ES3" i="9"/>
  <c r="ET3" i="9"/>
  <c r="EU3" i="9"/>
  <c r="EV3" i="9"/>
  <c r="EW3" i="9"/>
  <c r="EX3" i="9"/>
  <c r="EY3" i="9"/>
  <c r="EZ3" i="9"/>
  <c r="FA3" i="9"/>
  <c r="FB3" i="9"/>
  <c r="FC3" i="9"/>
  <c r="FD3" i="9"/>
  <c r="FE3" i="9"/>
  <c r="FF3" i="9"/>
  <c r="FG3" i="9"/>
  <c r="FH3" i="9"/>
  <c r="FI3" i="9"/>
  <c r="FJ3" i="9"/>
  <c r="FK3" i="9"/>
  <c r="FL3" i="9"/>
  <c r="FM3" i="9"/>
  <c r="FN3" i="9"/>
  <c r="FO3" i="9"/>
  <c r="FP3" i="9"/>
  <c r="FQ3" i="9"/>
  <c r="FR3" i="9"/>
  <c r="FS3" i="9"/>
  <c r="FT3" i="9"/>
  <c r="FU3" i="9"/>
  <c r="FV3" i="9"/>
  <c r="FW3" i="9"/>
  <c r="FX3" i="9"/>
  <c r="FY3" i="9"/>
  <c r="FZ3" i="9"/>
  <c r="GA3" i="9"/>
  <c r="GB3" i="9"/>
  <c r="GC3" i="9"/>
  <c r="GD3" i="9"/>
  <c r="GE3" i="9"/>
  <c r="GF3" i="9"/>
  <c r="GG3" i="9"/>
  <c r="GH3" i="9"/>
  <c r="GI3" i="9"/>
  <c r="GJ3" i="9"/>
  <c r="GK3" i="9"/>
  <c r="GL3" i="9"/>
  <c r="GM3" i="9"/>
  <c r="GN3" i="9"/>
  <c r="GO3" i="9"/>
  <c r="GP3" i="9"/>
  <c r="GQ3" i="9"/>
  <c r="GR3" i="9"/>
  <c r="GS3" i="9"/>
  <c r="GT3" i="9"/>
  <c r="GU3" i="9"/>
  <c r="GV3" i="9"/>
  <c r="GW3" i="9"/>
  <c r="GX3" i="9"/>
  <c r="GY3" i="9"/>
  <c r="GZ3" i="9"/>
  <c r="HA3" i="9"/>
  <c r="HB3" i="9"/>
  <c r="HC3" i="9"/>
  <c r="HD3" i="9"/>
  <c r="HE3" i="9"/>
  <c r="HF3" i="9"/>
  <c r="HG3" i="9"/>
  <c r="HH3" i="9"/>
  <c r="HI3" i="9"/>
  <c r="HJ3" i="9"/>
  <c r="HK3" i="9"/>
  <c r="HL3" i="9"/>
  <c r="HM3" i="9"/>
  <c r="HN3" i="9"/>
  <c r="HO3" i="9"/>
  <c r="HP3" i="9"/>
  <c r="HQ3" i="9"/>
  <c r="HR3" i="9"/>
  <c r="HS3" i="9"/>
  <c r="HT3" i="9"/>
  <c r="HU3" i="9"/>
  <c r="HV3" i="9"/>
  <c r="HW3" i="9"/>
  <c r="HX3" i="9"/>
  <c r="HY3" i="9"/>
  <c r="HZ3" i="9"/>
  <c r="IA3" i="9"/>
  <c r="IB3" i="9"/>
  <c r="IC3" i="9"/>
  <c r="ID3" i="9"/>
  <c r="IE3" i="9"/>
  <c r="IF3" i="9"/>
  <c r="IG3" i="9"/>
  <c r="IH3" i="9"/>
  <c r="II3" i="9"/>
  <c r="IJ3" i="9"/>
  <c r="IK3" i="9"/>
  <c r="IL3" i="9"/>
  <c r="IM3" i="9"/>
  <c r="IN3" i="9"/>
  <c r="IO3" i="9"/>
  <c r="IP3" i="9"/>
  <c r="IQ3" i="9"/>
  <c r="IR3" i="9"/>
  <c r="IS3" i="9"/>
  <c r="IT3" i="9"/>
  <c r="IU3" i="9"/>
  <c r="IV3" i="9"/>
  <c r="A2" i="9"/>
  <c r="B2" i="9"/>
  <c r="C2" i="9"/>
  <c r="D2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AF2" i="9"/>
  <c r="AG2" i="9"/>
  <c r="AH2" i="9"/>
  <c r="AI2" i="9"/>
  <c r="AJ2" i="9"/>
  <c r="AK2" i="9"/>
  <c r="AL2" i="9"/>
  <c r="AM2" i="9"/>
  <c r="AN2" i="9"/>
  <c r="AO2" i="9"/>
  <c r="AP2" i="9"/>
  <c r="AQ2" i="9"/>
  <c r="AR2" i="9"/>
  <c r="AS2" i="9"/>
  <c r="AT2" i="9"/>
  <c r="AU2" i="9"/>
  <c r="AV2" i="9"/>
  <c r="AW2" i="9"/>
  <c r="AX2" i="9"/>
  <c r="AY2" i="9"/>
  <c r="AZ2" i="9"/>
  <c r="BA2" i="9"/>
  <c r="BB2" i="9"/>
  <c r="BC2" i="9"/>
  <c r="BD2" i="9"/>
  <c r="BE2" i="9"/>
  <c r="BF2" i="9"/>
  <c r="BG2" i="9"/>
  <c r="BH2" i="9"/>
  <c r="BI2" i="9"/>
  <c r="BJ2" i="9"/>
  <c r="BK2" i="9"/>
  <c r="BL2" i="9"/>
  <c r="BM2" i="9"/>
  <c r="BN2" i="9"/>
  <c r="BO2" i="9"/>
  <c r="BP2" i="9"/>
  <c r="BQ2" i="9"/>
  <c r="BR2" i="9"/>
  <c r="BS2" i="9"/>
  <c r="BT2" i="9"/>
  <c r="BU2" i="9"/>
  <c r="BV2" i="9"/>
  <c r="BW2" i="9"/>
  <c r="BX2" i="9"/>
  <c r="BY2" i="9"/>
  <c r="BZ2" i="9"/>
  <c r="CA2" i="9"/>
  <c r="CB2" i="9"/>
  <c r="CC2" i="9"/>
  <c r="CD2" i="9"/>
  <c r="CE2" i="9"/>
  <c r="CF2" i="9"/>
  <c r="CG2" i="9"/>
  <c r="CH2" i="9"/>
  <c r="CI2" i="9"/>
  <c r="CJ2" i="9"/>
  <c r="CK2" i="9"/>
  <c r="CL2" i="9"/>
  <c r="CM2" i="9"/>
  <c r="CN2" i="9"/>
  <c r="CO2" i="9"/>
  <c r="CP2" i="9"/>
  <c r="CQ2" i="9"/>
  <c r="CR2" i="9"/>
  <c r="CS2" i="9"/>
  <c r="CT2" i="9"/>
  <c r="CU2" i="9"/>
  <c r="CV2" i="9"/>
  <c r="CW2" i="9"/>
  <c r="CX2" i="9"/>
  <c r="CY2" i="9"/>
  <c r="CZ2" i="9"/>
  <c r="DA2" i="9"/>
  <c r="DB2" i="9"/>
  <c r="DC2" i="9"/>
  <c r="DD2" i="9"/>
  <c r="DE2" i="9"/>
  <c r="DF2" i="9"/>
  <c r="DG2" i="9"/>
  <c r="DH2" i="9"/>
  <c r="DI2" i="9"/>
  <c r="DJ2" i="9"/>
  <c r="DK2" i="9"/>
  <c r="DL2" i="9"/>
  <c r="DM2" i="9"/>
  <c r="DN2" i="9"/>
  <c r="DO2" i="9"/>
  <c r="DP2" i="9"/>
  <c r="DQ2" i="9"/>
  <c r="DR2" i="9"/>
  <c r="DS2" i="9"/>
  <c r="DT2" i="9"/>
  <c r="DU2" i="9"/>
  <c r="DV2" i="9"/>
  <c r="DW2" i="9"/>
  <c r="DX2" i="9"/>
  <c r="DY2" i="9"/>
  <c r="DZ2" i="9"/>
  <c r="EA2" i="9"/>
  <c r="EB2" i="9"/>
  <c r="EC2" i="9"/>
  <c r="ED2" i="9"/>
  <c r="EE2" i="9"/>
  <c r="EF2" i="9"/>
  <c r="EG2" i="9"/>
  <c r="EH2" i="9"/>
  <c r="EI2" i="9"/>
  <c r="EJ2" i="9"/>
  <c r="EK2" i="9"/>
  <c r="EL2" i="9"/>
  <c r="EM2" i="9"/>
  <c r="EN2" i="9"/>
  <c r="EO2" i="9"/>
  <c r="EP2" i="9"/>
  <c r="EQ2" i="9"/>
  <c r="ER2" i="9"/>
  <c r="ES2" i="9"/>
  <c r="ET2" i="9"/>
  <c r="EU2" i="9"/>
  <c r="EV2" i="9"/>
  <c r="EW2" i="9"/>
  <c r="EX2" i="9"/>
  <c r="EY2" i="9"/>
  <c r="EZ2" i="9"/>
  <c r="FA2" i="9"/>
  <c r="FB2" i="9"/>
  <c r="FC2" i="9"/>
  <c r="FD2" i="9"/>
  <c r="FE2" i="9"/>
  <c r="FF2" i="9"/>
  <c r="FG2" i="9"/>
  <c r="FH2" i="9"/>
  <c r="FI2" i="9"/>
  <c r="FJ2" i="9"/>
  <c r="FK2" i="9"/>
  <c r="FL2" i="9"/>
  <c r="FM2" i="9"/>
  <c r="FN2" i="9"/>
  <c r="FO2" i="9"/>
  <c r="FP2" i="9"/>
  <c r="FQ2" i="9"/>
  <c r="FR2" i="9"/>
  <c r="FS2" i="9"/>
  <c r="FT2" i="9"/>
  <c r="FU2" i="9"/>
  <c r="FV2" i="9"/>
  <c r="FW2" i="9"/>
  <c r="FX2" i="9"/>
  <c r="FY2" i="9"/>
  <c r="FZ2" i="9"/>
  <c r="GA2" i="9"/>
  <c r="GB2" i="9"/>
  <c r="GC2" i="9"/>
  <c r="GD2" i="9"/>
  <c r="GE2" i="9"/>
  <c r="GF2" i="9"/>
  <c r="GG2" i="9"/>
  <c r="GH2" i="9"/>
  <c r="GI2" i="9"/>
  <c r="GJ2" i="9"/>
  <c r="GK2" i="9"/>
  <c r="GL2" i="9"/>
  <c r="GM2" i="9"/>
  <c r="GN2" i="9"/>
  <c r="GO2" i="9"/>
  <c r="GP2" i="9"/>
  <c r="GQ2" i="9"/>
  <c r="GR2" i="9"/>
  <c r="GS2" i="9"/>
  <c r="GT2" i="9"/>
  <c r="GU2" i="9"/>
  <c r="GV2" i="9"/>
  <c r="GW2" i="9"/>
  <c r="GX2" i="9"/>
  <c r="GY2" i="9"/>
  <c r="GZ2" i="9"/>
  <c r="HA2" i="9"/>
  <c r="HB2" i="9"/>
  <c r="HC2" i="9"/>
  <c r="HD2" i="9"/>
  <c r="HE2" i="9"/>
  <c r="HF2" i="9"/>
  <c r="HG2" i="9"/>
  <c r="HH2" i="9"/>
  <c r="HI2" i="9"/>
  <c r="HJ2" i="9"/>
  <c r="HK2" i="9"/>
  <c r="HL2" i="9"/>
  <c r="HM2" i="9"/>
  <c r="HN2" i="9"/>
  <c r="HO2" i="9"/>
  <c r="HP2" i="9"/>
  <c r="HQ2" i="9"/>
  <c r="HR2" i="9"/>
  <c r="HS2" i="9"/>
  <c r="HT2" i="9"/>
  <c r="HU2" i="9"/>
  <c r="HV2" i="9"/>
  <c r="HW2" i="9"/>
  <c r="HX2" i="9"/>
  <c r="HY2" i="9"/>
  <c r="HZ2" i="9"/>
  <c r="IA2" i="9"/>
  <c r="IB2" i="9"/>
  <c r="IC2" i="9"/>
  <c r="ID2" i="9"/>
  <c r="IE2" i="9"/>
  <c r="IF2" i="9"/>
  <c r="IG2" i="9"/>
  <c r="IH2" i="9"/>
  <c r="II2" i="9"/>
  <c r="IJ2" i="9"/>
  <c r="IK2" i="9"/>
  <c r="IL2" i="9"/>
  <c r="IM2" i="9"/>
  <c r="IN2" i="9"/>
  <c r="IO2" i="9"/>
  <c r="IP2" i="9"/>
  <c r="IQ2" i="9"/>
  <c r="IR2" i="9"/>
  <c r="IS2" i="9"/>
  <c r="IT2" i="9"/>
  <c r="IU2" i="9"/>
  <c r="IV2" i="9"/>
  <c r="A1" i="9"/>
  <c r="B1" i="9"/>
  <c r="C1" i="9"/>
  <c r="D1" i="9"/>
  <c r="E1" i="9"/>
  <c r="F1" i="9"/>
  <c r="G1" i="9"/>
  <c r="H1" i="9"/>
  <c r="I1" i="9"/>
  <c r="J1" i="9"/>
  <c r="K1" i="9"/>
  <c r="L1" i="9"/>
  <c r="M1" i="9"/>
  <c r="N1" i="9"/>
  <c r="O1" i="9"/>
  <c r="P1" i="9"/>
  <c r="Q1" i="9"/>
  <c r="R1" i="9"/>
  <c r="S1" i="9"/>
  <c r="T1" i="9"/>
  <c r="U1" i="9"/>
  <c r="V1" i="9"/>
  <c r="W1" i="9"/>
  <c r="X1" i="9"/>
  <c r="Y1" i="9"/>
  <c r="Z1" i="9"/>
  <c r="AA1" i="9"/>
  <c r="AB1" i="9"/>
  <c r="AC1" i="9"/>
  <c r="AD1" i="9"/>
  <c r="AE1" i="9"/>
  <c r="AF1" i="9"/>
  <c r="AG1" i="9"/>
  <c r="AH1" i="9"/>
  <c r="AI1" i="9"/>
  <c r="AJ1" i="9"/>
  <c r="AK1" i="9"/>
  <c r="AL1" i="9"/>
  <c r="AM1" i="9"/>
  <c r="AN1" i="9"/>
  <c r="AO1" i="9"/>
  <c r="AP1" i="9"/>
  <c r="AQ1" i="9"/>
  <c r="AR1" i="9"/>
  <c r="AT1" i="9"/>
  <c r="AU1" i="9"/>
  <c r="AV1" i="9"/>
  <c r="AW1" i="9"/>
  <c r="AX1" i="9"/>
  <c r="AY1" i="9"/>
  <c r="AZ1" i="9"/>
  <c r="BA1" i="9"/>
  <c r="BB1" i="9"/>
  <c r="BC1" i="9"/>
  <c r="BD1" i="9"/>
  <c r="BE1" i="9"/>
  <c r="BF1" i="9"/>
  <c r="BG1" i="9"/>
  <c r="BH1" i="9"/>
  <c r="BI1" i="9"/>
  <c r="BJ1" i="9"/>
  <c r="BK1" i="9"/>
  <c r="BL1" i="9"/>
  <c r="BM1" i="9"/>
  <c r="BN1" i="9"/>
  <c r="BO1" i="9"/>
  <c r="BP1" i="9"/>
  <c r="BQ1" i="9"/>
  <c r="BR1" i="9"/>
  <c r="BS1" i="9"/>
  <c r="BT1" i="9"/>
  <c r="BU1" i="9"/>
  <c r="BV1" i="9"/>
  <c r="BW1" i="9"/>
  <c r="BX1" i="9"/>
  <c r="BY1" i="9"/>
  <c r="BZ1" i="9"/>
  <c r="CA1" i="9"/>
  <c r="CB1" i="9"/>
  <c r="CC1" i="9"/>
  <c r="CD1" i="9"/>
  <c r="CE1" i="9"/>
  <c r="CF1" i="9"/>
  <c r="CG1" i="9"/>
  <c r="CH1" i="9"/>
  <c r="CI1" i="9"/>
  <c r="CJ1" i="9"/>
  <c r="CK1" i="9"/>
  <c r="CL1" i="9"/>
  <c r="CM1" i="9"/>
  <c r="CN1" i="9"/>
  <c r="CO1" i="9"/>
  <c r="CP1" i="9"/>
  <c r="CQ1" i="9"/>
  <c r="CR1" i="9"/>
  <c r="CS1" i="9"/>
  <c r="CT1" i="9"/>
  <c r="CU1" i="9"/>
  <c r="CV1" i="9"/>
  <c r="CW1" i="9"/>
  <c r="CX1" i="9"/>
  <c r="CY1" i="9"/>
  <c r="CZ1" i="9"/>
  <c r="DA1" i="9"/>
  <c r="DB1" i="9"/>
  <c r="DC1" i="9"/>
  <c r="DD1" i="9"/>
  <c r="DE1" i="9"/>
  <c r="DF1" i="9"/>
  <c r="DG1" i="9"/>
  <c r="DH1" i="9"/>
  <c r="DI1" i="9"/>
  <c r="DJ1" i="9"/>
  <c r="DK1" i="9"/>
  <c r="DL1" i="9"/>
  <c r="DM1" i="9"/>
  <c r="DN1" i="9"/>
  <c r="DO1" i="9"/>
  <c r="DP1" i="9"/>
  <c r="DQ1" i="9"/>
  <c r="DR1" i="9"/>
  <c r="DS1" i="9"/>
  <c r="DT1" i="9"/>
  <c r="DU1" i="9"/>
  <c r="DV1" i="9"/>
  <c r="DW1" i="9"/>
  <c r="DX1" i="9"/>
  <c r="DY1" i="9"/>
  <c r="DZ1" i="9"/>
  <c r="EA1" i="9"/>
  <c r="EB1" i="9"/>
  <c r="EC1" i="9"/>
  <c r="ED1" i="9"/>
  <c r="EE1" i="9"/>
  <c r="EF1" i="9"/>
  <c r="EG1" i="9"/>
  <c r="EH1" i="9"/>
  <c r="EI1" i="9"/>
  <c r="EJ1" i="9"/>
  <c r="EK1" i="9"/>
  <c r="EL1" i="9"/>
  <c r="EM1" i="9"/>
  <c r="EN1" i="9"/>
  <c r="EO1" i="9"/>
  <c r="EP1" i="9"/>
  <c r="EQ1" i="9"/>
  <c r="ER1" i="9"/>
  <c r="ES1" i="9"/>
  <c r="ET1" i="9"/>
  <c r="EU1" i="9"/>
  <c r="EV1" i="9"/>
  <c r="EW1" i="9"/>
  <c r="EX1" i="9"/>
  <c r="EY1" i="9"/>
  <c r="EZ1" i="9"/>
  <c r="FA1" i="9"/>
  <c r="FB1" i="9"/>
  <c r="FC1" i="9"/>
  <c r="FD1" i="9"/>
  <c r="FE1" i="9"/>
  <c r="FF1" i="9"/>
  <c r="FG1" i="9"/>
  <c r="FH1" i="9"/>
  <c r="FI1" i="9"/>
  <c r="FJ1" i="9"/>
  <c r="FK1" i="9"/>
  <c r="FL1" i="9"/>
  <c r="FM1" i="9"/>
  <c r="FN1" i="9"/>
  <c r="FO1" i="9"/>
  <c r="FP1" i="9"/>
  <c r="FQ1" i="9"/>
  <c r="FR1" i="9"/>
  <c r="FS1" i="9"/>
  <c r="FT1" i="9"/>
  <c r="FU1" i="9"/>
  <c r="FV1" i="9"/>
  <c r="FW1" i="9"/>
  <c r="FX1" i="9"/>
  <c r="FY1" i="9"/>
  <c r="FZ1" i="9"/>
  <c r="GA1" i="9"/>
  <c r="GB1" i="9"/>
  <c r="GC1" i="9"/>
  <c r="GD1" i="9"/>
  <c r="GE1" i="9"/>
  <c r="GF1" i="9"/>
  <c r="GG1" i="9"/>
  <c r="GH1" i="9"/>
  <c r="GI1" i="9"/>
  <c r="GJ1" i="9"/>
  <c r="GK1" i="9"/>
  <c r="GL1" i="9"/>
  <c r="GM1" i="9"/>
  <c r="GN1" i="9"/>
  <c r="GO1" i="9"/>
  <c r="GP1" i="9"/>
  <c r="GQ1" i="9"/>
  <c r="GR1" i="9"/>
  <c r="GS1" i="9"/>
  <c r="GT1" i="9"/>
  <c r="GU1" i="9"/>
  <c r="GV1" i="9"/>
  <c r="GW1" i="9"/>
  <c r="GX1" i="9"/>
  <c r="GY1" i="9"/>
  <c r="GZ1" i="9"/>
  <c r="HA1" i="9"/>
  <c r="HB1" i="9"/>
  <c r="HC1" i="9"/>
  <c r="HD1" i="9"/>
  <c r="HE1" i="9"/>
  <c r="HF1" i="9"/>
  <c r="HG1" i="9"/>
  <c r="HH1" i="9"/>
  <c r="HI1" i="9"/>
  <c r="HJ1" i="9"/>
  <c r="HK1" i="9"/>
  <c r="HL1" i="9"/>
  <c r="HM1" i="9"/>
  <c r="HN1" i="9"/>
  <c r="HO1" i="9"/>
  <c r="HP1" i="9"/>
  <c r="HQ1" i="9"/>
  <c r="HR1" i="9"/>
  <c r="HS1" i="9"/>
  <c r="HT1" i="9"/>
  <c r="HU1" i="9"/>
  <c r="HV1" i="9"/>
  <c r="HW1" i="9"/>
  <c r="HX1" i="9"/>
  <c r="HY1" i="9"/>
  <c r="HZ1" i="9"/>
  <c r="IA1" i="9"/>
  <c r="IB1" i="9"/>
  <c r="IC1" i="9"/>
  <c r="ID1" i="9"/>
  <c r="IE1" i="9"/>
  <c r="IF1" i="9"/>
  <c r="IG1" i="9"/>
  <c r="IH1" i="9"/>
  <c r="II1" i="9"/>
  <c r="IJ1" i="9"/>
  <c r="IK1" i="9"/>
  <c r="IL1" i="9"/>
  <c r="IM1" i="9"/>
  <c r="IN1" i="9"/>
  <c r="IO1" i="9"/>
  <c r="IP1" i="9"/>
  <c r="IQ1" i="9"/>
  <c r="IR1" i="9"/>
  <c r="IS1" i="9"/>
  <c r="IT1" i="9"/>
  <c r="IU1" i="9"/>
  <c r="IV1" i="9"/>
  <c r="GN68" i="9"/>
  <c r="GM68" i="9"/>
  <c r="AS1" i="9"/>
  <c r="AS67" i="9"/>
  <c r="IB68" i="9"/>
  <c r="AS12" i="9"/>
  <c r="AS23" i="9"/>
  <c r="AS34" i="9"/>
  <c r="AS45" i="9"/>
  <c r="AS56" i="9"/>
  <c r="A28" i="18" l="1"/>
  <c r="B106" i="9" s="1"/>
  <c r="A31" i="18"/>
  <c r="A29" i="18"/>
  <c r="A30" i="18"/>
  <c r="A27" i="18"/>
  <c r="HX105" i="9" s="1"/>
  <c r="A26" i="18"/>
  <c r="A26" i="72"/>
  <c r="B26" i="72" s="1"/>
  <c r="A27" i="72"/>
  <c r="B27" i="72" s="1"/>
  <c r="A28" i="68"/>
  <c r="B28" i="68" s="1"/>
  <c r="A27" i="68"/>
  <c r="B27" i="68" s="1"/>
  <c r="B29" i="18" l="1"/>
  <c r="AC106" i="9" s="1"/>
  <c r="AB106" i="9"/>
  <c r="B30" i="18"/>
  <c r="BC106" i="9" s="1"/>
  <c r="BB106" i="9"/>
  <c r="B26" i="18"/>
  <c r="GY105" i="9" s="1"/>
  <c r="GX105" i="9"/>
  <c r="B31" i="18"/>
  <c r="CC106" i="9" s="1"/>
  <c r="CB106" i="9"/>
  <c r="A106" i="9"/>
  <c r="B28" i="18"/>
  <c r="C106" i="9" s="1"/>
</calcChain>
</file>

<file path=xl/sharedStrings.xml><?xml version="1.0" encoding="utf-8"?>
<sst xmlns="http://schemas.openxmlformats.org/spreadsheetml/2006/main" count="1403" uniqueCount="320">
  <si>
    <t>Sveučilište J. J. Strossmayera u Osijeku</t>
  </si>
  <si>
    <t>Zavod za zajedničke predmete</t>
  </si>
  <si>
    <t>PREDDIPLOMSKI STUDIJ - ELEKTROTEHNIKE</t>
  </si>
  <si>
    <t>LABORATORIJSKE VJEŽBE</t>
  </si>
  <si>
    <t>Datum:</t>
  </si>
  <si>
    <t>R.B.</t>
  </si>
  <si>
    <t>Prezime i ime</t>
  </si>
  <si>
    <t>1. ULAZAK</t>
  </si>
  <si>
    <t>2. ULAZAK</t>
  </si>
  <si>
    <t>3. ULAZAK</t>
  </si>
  <si>
    <t>4. ULAZAK</t>
  </si>
  <si>
    <t>5. ULAZAK</t>
  </si>
  <si>
    <t>Vježba</t>
  </si>
  <si>
    <t>Priprema</t>
  </si>
  <si>
    <t>Izvješće</t>
  </si>
  <si>
    <t>Datum odrade</t>
  </si>
  <si>
    <t>AAAAAHTS84U=</t>
  </si>
  <si>
    <t>AAAAAHTS84Y=</t>
  </si>
  <si>
    <t>FERIT</t>
  </si>
  <si>
    <t>PREDDIPLOMSKI STUDIJ - ELEKTROTEHNIKA</t>
  </si>
  <si>
    <t xml:space="preserve">ak. god. </t>
  </si>
  <si>
    <t>ak. god.</t>
  </si>
  <si>
    <t xml:space="preserve">        </t>
  </si>
  <si>
    <t>FIZIKA 2</t>
  </si>
  <si>
    <t>6. ULAZAK</t>
  </si>
  <si>
    <t>Uvod</t>
  </si>
  <si>
    <t>2019./20.</t>
  </si>
  <si>
    <t>2019./2020.</t>
  </si>
  <si>
    <t>PE5-01</t>
  </si>
  <si>
    <t>PE5-02</t>
  </si>
  <si>
    <t>PE5-03</t>
  </si>
  <si>
    <t>PE5-04</t>
  </si>
  <si>
    <t>PE5-05</t>
  </si>
  <si>
    <t>PE5-06</t>
  </si>
  <si>
    <t>PE5-07</t>
  </si>
  <si>
    <t>PE5-08</t>
  </si>
  <si>
    <t>PE5-09</t>
  </si>
  <si>
    <t>PE5-10</t>
  </si>
  <si>
    <t>PE5-11</t>
  </si>
  <si>
    <t>PE5-12</t>
  </si>
  <si>
    <t>PE5-13</t>
  </si>
  <si>
    <t>PE5-14</t>
  </si>
  <si>
    <t>Kordić, Edi</t>
  </si>
  <si>
    <t>Kosić, Leon</t>
  </si>
  <si>
    <t>Kovačević, David</t>
  </si>
  <si>
    <t>Krizmanić, Matija</t>
  </si>
  <si>
    <t>Kurkutović, Hrvoje</t>
  </si>
  <si>
    <t>Leko, Ivan</t>
  </si>
  <si>
    <t>Leko - Banja, Andrej</t>
  </si>
  <si>
    <t>Lončar, Nikola</t>
  </si>
  <si>
    <t>Lončarević, Karlo</t>
  </si>
  <si>
    <t>Lukač, Pavo</t>
  </si>
  <si>
    <t>Marek, Martin</t>
  </si>
  <si>
    <t>Marić, Ivan</t>
  </si>
  <si>
    <t>Marić-Blekić, Mateo</t>
  </si>
  <si>
    <t>Marinović, Jakov</t>
  </si>
  <si>
    <t>Markotić, Tomislav</t>
  </si>
  <si>
    <t>Marković, Rebeca</t>
  </si>
  <si>
    <t>PE5-15</t>
  </si>
  <si>
    <t>PE5-16</t>
  </si>
  <si>
    <t>Marojević, Zvonimir</t>
  </si>
  <si>
    <t>Marović, Matej</t>
  </si>
  <si>
    <t>Martinov, Matej</t>
  </si>
  <si>
    <t>Mendeš, Nikola</t>
  </si>
  <si>
    <t>Mešić, Eldin</t>
  </si>
  <si>
    <t>Mihaljević, Domagoj</t>
  </si>
  <si>
    <t>Mihić, Ivan</t>
  </si>
  <si>
    <t>Mikola, Doris</t>
  </si>
  <si>
    <t>Milanović, Dominik</t>
  </si>
  <si>
    <t>Miličević, Davorin</t>
  </si>
  <si>
    <t>Miškulin, Patrik</t>
  </si>
  <si>
    <t>Momić, Ines</t>
  </si>
  <si>
    <t>Mršo, Nikolina</t>
  </si>
  <si>
    <t>Omazić, Antonio</t>
  </si>
  <si>
    <t>Osmakčić, Dorijan</t>
  </si>
  <si>
    <t>PE6-01</t>
  </si>
  <si>
    <t>PE6-02</t>
  </si>
  <si>
    <t>PE6-03</t>
  </si>
  <si>
    <t>PE6-04</t>
  </si>
  <si>
    <t>PE6-05</t>
  </si>
  <si>
    <t>PE6-06</t>
  </si>
  <si>
    <t>PE6-07</t>
  </si>
  <si>
    <t>PE6-08</t>
  </si>
  <si>
    <t>PE6-09</t>
  </si>
  <si>
    <t>PE6-10</t>
  </si>
  <si>
    <t>PE6-11</t>
  </si>
  <si>
    <t>PE6-12</t>
  </si>
  <si>
    <t>PE6-13</t>
  </si>
  <si>
    <t>PE6-14</t>
  </si>
  <si>
    <t>PE6-15</t>
  </si>
  <si>
    <t>Đordić, Melita</t>
  </si>
  <si>
    <t>Đurinac, Marina</t>
  </si>
  <si>
    <t>Đuzel, Zlatko</t>
  </si>
  <si>
    <t>Edelinski, Karlo</t>
  </si>
  <si>
    <t>Erić, Mateo</t>
  </si>
  <si>
    <t>Evetić, Tin</t>
  </si>
  <si>
    <t>Fučkar, Marcel</t>
  </si>
  <si>
    <t>Gajčević, Ivan</t>
  </si>
  <si>
    <t>Gelemanović, Marko</t>
  </si>
  <si>
    <t>Glogoški, Rene</t>
  </si>
  <si>
    <t>Grbić, Matej</t>
  </si>
  <si>
    <t>Guberac, Ivan</t>
  </si>
  <si>
    <t>Gujić, Lucija</t>
  </si>
  <si>
    <t>Habuda, Benjamin</t>
  </si>
  <si>
    <t>Hajduk, Ivan</t>
  </si>
  <si>
    <t>Hofer, Filip</t>
  </si>
  <si>
    <t>PE3-01</t>
  </si>
  <si>
    <t>PE3-02</t>
  </si>
  <si>
    <t>PE3-03</t>
  </si>
  <si>
    <t>PE3-04</t>
  </si>
  <si>
    <t>PE3-05</t>
  </si>
  <si>
    <t>PE3-06</t>
  </si>
  <si>
    <t>PE3-07</t>
  </si>
  <si>
    <t>PE3-08</t>
  </si>
  <si>
    <t>PE3-09</t>
  </si>
  <si>
    <t>PE3-10</t>
  </si>
  <si>
    <t>PE3-11</t>
  </si>
  <si>
    <t>PE3-12</t>
  </si>
  <si>
    <t>PE3-13</t>
  </si>
  <si>
    <t>PE3-14</t>
  </si>
  <si>
    <t>PE3-15</t>
  </si>
  <si>
    <t>PE3-16</t>
  </si>
  <si>
    <t>Ćaleta, Dunja</t>
  </si>
  <si>
    <t>Ćosić, Josip</t>
  </si>
  <si>
    <t>Ćutuković, Nikola</t>
  </si>
  <si>
    <t>Dabčević, Bruno</t>
  </si>
  <si>
    <t>Delaš, Mihovil</t>
  </si>
  <si>
    <t>Dežić, Filip</t>
  </si>
  <si>
    <t>Didović, Iva</t>
  </si>
  <si>
    <t>Dominković, Ivica</t>
  </si>
  <si>
    <t>Dragičević, Ante</t>
  </si>
  <si>
    <t>Dragun, Duje</t>
  </si>
  <si>
    <t>Dujmović, Toni</t>
  </si>
  <si>
    <t>Dukić, Matej</t>
  </si>
  <si>
    <t>Dumančić, Petar Josip</t>
  </si>
  <si>
    <t>Dunđer, Marko</t>
  </si>
  <si>
    <t>Đambo, Lea</t>
  </si>
  <si>
    <t>Đogaš, Martin</t>
  </si>
  <si>
    <t>PE2-01</t>
  </si>
  <si>
    <t>PE2-02</t>
  </si>
  <si>
    <t>PE2-03</t>
  </si>
  <si>
    <t>PE2-04</t>
  </si>
  <si>
    <t>PE2-05</t>
  </si>
  <si>
    <t>PE2-06</t>
  </si>
  <si>
    <t>PE2-07</t>
  </si>
  <si>
    <t>PE2-08</t>
  </si>
  <si>
    <t>PE2-09</t>
  </si>
  <si>
    <t>PE2-10</t>
  </si>
  <si>
    <t>PE2-11</t>
  </si>
  <si>
    <t>PE2-12</t>
  </si>
  <si>
    <t>PE2-13</t>
  </si>
  <si>
    <t>PE2-14</t>
  </si>
  <si>
    <t>PE2-15</t>
  </si>
  <si>
    <t>PE2-16</t>
  </si>
  <si>
    <t>PE8-01</t>
  </si>
  <si>
    <t>PE8-02</t>
  </si>
  <si>
    <t>PE8-03</t>
  </si>
  <si>
    <t>PE8-04</t>
  </si>
  <si>
    <t>PE8-05</t>
  </si>
  <si>
    <t>PE8-06</t>
  </si>
  <si>
    <t>PE8-07</t>
  </si>
  <si>
    <t>PE8-08</t>
  </si>
  <si>
    <t>PE8-09</t>
  </si>
  <si>
    <t>PE8-10</t>
  </si>
  <si>
    <t>PE8-11</t>
  </si>
  <si>
    <t>PE8-12</t>
  </si>
  <si>
    <t>PE8-13</t>
  </si>
  <si>
    <t>PE8-14</t>
  </si>
  <si>
    <t>PE8-15</t>
  </si>
  <si>
    <t>Sučić, Mislav</t>
  </si>
  <si>
    <t>Šafar, Jan</t>
  </si>
  <si>
    <t>Šarić, Bruno</t>
  </si>
  <si>
    <t>Šašlić, Đorđe</t>
  </si>
  <si>
    <t>Šestak, Vedran</t>
  </si>
  <si>
    <t>Šimić, Robert</t>
  </si>
  <si>
    <t>Šimunović, Josip</t>
  </si>
  <si>
    <t>Šplajt, Luka</t>
  </si>
  <si>
    <t>Tadić, Ingo</t>
  </si>
  <si>
    <t>Thür, Ivan</t>
  </si>
  <si>
    <t>Tokić, Mateo</t>
  </si>
  <si>
    <t>Tomašković, Martin</t>
  </si>
  <si>
    <t>Tominović, Mario</t>
  </si>
  <si>
    <t>Trbara, Jakov</t>
  </si>
  <si>
    <t>Tuček, Josip</t>
  </si>
  <si>
    <t>PE9-01</t>
  </si>
  <si>
    <t>PE9-02</t>
  </si>
  <si>
    <t>PE9-03</t>
  </si>
  <si>
    <t>PE9-04</t>
  </si>
  <si>
    <t>PE9-05</t>
  </si>
  <si>
    <t>PE9-06</t>
  </si>
  <si>
    <t>PE9-07</t>
  </si>
  <si>
    <t>PE9-08</t>
  </si>
  <si>
    <t>PE9-09</t>
  </si>
  <si>
    <t>PE9-10</t>
  </si>
  <si>
    <t>PE9-11</t>
  </si>
  <si>
    <t>PE9-12</t>
  </si>
  <si>
    <t>PE9-13</t>
  </si>
  <si>
    <t>PE9-14</t>
  </si>
  <si>
    <t>PE7-01</t>
  </si>
  <si>
    <t>PE7-02</t>
  </si>
  <si>
    <t>PE7-03</t>
  </si>
  <si>
    <t>PE7-04</t>
  </si>
  <si>
    <t>PE7-05</t>
  </si>
  <si>
    <t>PE7-06</t>
  </si>
  <si>
    <t>PE7-07</t>
  </si>
  <si>
    <t>PE7-08</t>
  </si>
  <si>
    <t>PE7-09</t>
  </si>
  <si>
    <t>PE7-10</t>
  </si>
  <si>
    <t>PE7-11</t>
  </si>
  <si>
    <t>PE7-12</t>
  </si>
  <si>
    <t>PE7-13</t>
  </si>
  <si>
    <t>PE7-14</t>
  </si>
  <si>
    <t>PE7-15</t>
  </si>
  <si>
    <t>PE4-01</t>
  </si>
  <si>
    <t>PE4-02</t>
  </si>
  <si>
    <t>PE4-03</t>
  </si>
  <si>
    <t>PE4-04</t>
  </si>
  <si>
    <t>PE4-05</t>
  </si>
  <si>
    <t>PE4-06</t>
  </si>
  <si>
    <t>PE4-07</t>
  </si>
  <si>
    <t>PE4-08</t>
  </si>
  <si>
    <t>PE4-09</t>
  </si>
  <si>
    <t>PE4-10</t>
  </si>
  <si>
    <t>PE4-12</t>
  </si>
  <si>
    <t>PE4-13</t>
  </si>
  <si>
    <t>PE4-14</t>
  </si>
  <si>
    <t>PE4-15</t>
  </si>
  <si>
    <t>PE1-01</t>
  </si>
  <si>
    <t>PE1-02</t>
  </si>
  <si>
    <t>PE1-03</t>
  </si>
  <si>
    <t>PE1-04</t>
  </si>
  <si>
    <t>PE1-05</t>
  </si>
  <si>
    <t>PE1-06</t>
  </si>
  <si>
    <t>PE1-07</t>
  </si>
  <si>
    <t>PE1-08</t>
  </si>
  <si>
    <t>PE1-09</t>
  </si>
  <si>
    <t>PE1-10</t>
  </si>
  <si>
    <t>PE1-11</t>
  </si>
  <si>
    <t>PE1-13</t>
  </si>
  <si>
    <t>PE1-14</t>
  </si>
  <si>
    <t>PE1-15</t>
  </si>
  <si>
    <t>PE1-16</t>
  </si>
  <si>
    <t>+</t>
  </si>
  <si>
    <t>-</t>
  </si>
  <si>
    <t>Tutić, Bruno</t>
  </si>
  <si>
    <t>Valentić, Lovro</t>
  </si>
  <si>
    <t>Varga, Fran</t>
  </si>
  <si>
    <t>Varvodić, Benjamin</t>
  </si>
  <si>
    <t>Vican, Angelo</t>
  </si>
  <si>
    <t>Vinković, Andrija</t>
  </si>
  <si>
    <t>Vlahović, Ante</t>
  </si>
  <si>
    <t>Vučina, Ivan</t>
  </si>
  <si>
    <t>Vulić, Josip</t>
  </si>
  <si>
    <t>Zebec, Filip</t>
  </si>
  <si>
    <t>Zorić, Kristian</t>
  </si>
  <si>
    <t>Žbura, Krešimir</t>
  </si>
  <si>
    <t>Živković, Antonio</t>
  </si>
  <si>
    <t>Živković, Luka</t>
  </si>
  <si>
    <t>Županić, Antun</t>
  </si>
  <si>
    <t>Osrečki, Hrvoje</t>
  </si>
  <si>
    <t>Ostović, Fran</t>
  </si>
  <si>
    <t>Pavić, Martina</t>
  </si>
  <si>
    <t>Pavić, Robert</t>
  </si>
  <si>
    <t>Pavlović, Renata</t>
  </si>
  <si>
    <t>Pitinac, Leonardo</t>
  </si>
  <si>
    <t>Pracny, Patrik</t>
  </si>
  <si>
    <t>Rajs, Kristijan</t>
  </si>
  <si>
    <t>Rastija, Jakov</t>
  </si>
  <si>
    <t>Relković, Gabrijel</t>
  </si>
  <si>
    <t>Relotić, Filip</t>
  </si>
  <si>
    <t>Saboci, Luka</t>
  </si>
  <si>
    <t>Semeš, Mario</t>
  </si>
  <si>
    <t>Stanić, Ružica</t>
  </si>
  <si>
    <t>Stojanović, Sara</t>
  </si>
  <si>
    <t>Ivanković, Tomislav</t>
  </si>
  <si>
    <t>Janković, Ante</t>
  </si>
  <si>
    <t>Jelošek, Filip</t>
  </si>
  <si>
    <t>Jović, Aleksandar</t>
  </si>
  <si>
    <t>Jozić, Matej</t>
  </si>
  <si>
    <t>Juginović, Filip</t>
  </si>
  <si>
    <t>Jurić, Krešimir</t>
  </si>
  <si>
    <t>Jurišić, David</t>
  </si>
  <si>
    <t>Jurkić, Josip</t>
  </si>
  <si>
    <t>Karšaj, Sven</t>
  </si>
  <si>
    <t>Katarina, Denis</t>
  </si>
  <si>
    <t>Katić, Matko</t>
  </si>
  <si>
    <t>Kelemen, Sanja</t>
  </si>
  <si>
    <t>Knežević, Tomislav</t>
  </si>
  <si>
    <t>Kočevar, Stjepan</t>
  </si>
  <si>
    <t>Koprivnjak, Luka</t>
  </si>
  <si>
    <t>PE4-16</t>
  </si>
  <si>
    <t>PE4-17</t>
  </si>
  <si>
    <t>Akrap, Vinko</t>
  </si>
  <si>
    <t>Alilović, Ante</t>
  </si>
  <si>
    <t>Andrišić, Filip</t>
  </si>
  <si>
    <t>Anić, Luka</t>
  </si>
  <si>
    <t>Antunović, Dražen</t>
  </si>
  <si>
    <t>Babić, Mislav</t>
  </si>
  <si>
    <t>Bedeković, Robert</t>
  </si>
  <si>
    <t>Benić, Ivica</t>
  </si>
  <si>
    <t>Bertić, Dražen</t>
  </si>
  <si>
    <t>Božić, Davor</t>
  </si>
  <si>
    <t>Bradarić, Nikolina</t>
  </si>
  <si>
    <t>Cica, Filip</t>
  </si>
  <si>
    <t>Cirimotić, Abel</t>
  </si>
  <si>
    <t>Cvitić, Ana</t>
  </si>
  <si>
    <t>Cvrtila, Jana</t>
  </si>
  <si>
    <t>Čović, Goran</t>
  </si>
  <si>
    <t>PE1-17</t>
  </si>
  <si>
    <t>PE8-16</t>
  </si>
  <si>
    <t>Zavišić, Ivan</t>
  </si>
  <si>
    <t>Zvuk</t>
  </si>
  <si>
    <t>Matematičko njihalo</t>
  </si>
  <si>
    <t>Nedić, Fran</t>
  </si>
  <si>
    <t>PE6-16</t>
  </si>
  <si>
    <t>Lom i refleksija</t>
  </si>
  <si>
    <t>Koški, Jurica</t>
  </si>
  <si>
    <t>Seidievski, Leo</t>
  </si>
  <si>
    <t>Udari</t>
  </si>
  <si>
    <t>UKUPNO (max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</si>
</sst>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36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0" xfId="1" applyAlignment="1">
      <alignment horizontal="center"/>
    </xf>
    <xf numFmtId="0" fontId="1" fillId="0" borderId="0" xfId="2"/>
    <xf numFmtId="49" fontId="1" fillId="0" borderId="0" xfId="1" applyNumberFormat="1"/>
    <xf numFmtId="0" fontId="4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6" fillId="0" borderId="16" xfId="1" applyFont="1" applyBorder="1" applyAlignment="1">
      <alignment horizontal="center" vertical="center" textRotation="90" wrapText="1"/>
    </xf>
    <xf numFmtId="0" fontId="6" fillId="0" borderId="17" xfId="1" applyFont="1" applyBorder="1" applyAlignment="1">
      <alignment horizontal="center" vertical="center" textRotation="90" wrapText="1"/>
    </xf>
    <xf numFmtId="0" fontId="6" fillId="0" borderId="18" xfId="1" applyFont="1" applyBorder="1" applyAlignment="1">
      <alignment horizontal="center" vertical="center" textRotation="90" wrapText="1"/>
    </xf>
    <xf numFmtId="0" fontId="6" fillId="0" borderId="19" xfId="1" applyFont="1" applyBorder="1" applyAlignment="1">
      <alignment horizontal="center" vertical="center" textRotation="90" wrapText="1"/>
    </xf>
    <xf numFmtId="0" fontId="1" fillId="0" borderId="1" xfId="1" applyBorder="1" applyAlignment="1">
      <alignment vertical="center"/>
    </xf>
    <xf numFmtId="0" fontId="1" fillId="0" borderId="7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49" fontId="1" fillId="0" borderId="0" xfId="1" applyNumberFormat="1" applyProtection="1">
      <protection locked="0"/>
    </xf>
    <xf numFmtId="49" fontId="1" fillId="0" borderId="0" xfId="1" applyNumberFormat="1" applyBorder="1" applyProtection="1">
      <protection locked="0"/>
    </xf>
    <xf numFmtId="0" fontId="1" fillId="0" borderId="0" xfId="1" applyBorder="1"/>
    <xf numFmtId="49" fontId="1" fillId="0" borderId="0" xfId="1" applyNumberFormat="1" applyBorder="1"/>
    <xf numFmtId="0" fontId="1" fillId="0" borderId="0" xfId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0" borderId="17" xfId="1" applyBorder="1" applyAlignment="1">
      <alignment horizontal="center" vertical="center"/>
    </xf>
    <xf numFmtId="0" fontId="1" fillId="0" borderId="17" xfId="1" applyBorder="1" applyAlignment="1">
      <alignment vertical="center"/>
    </xf>
    <xf numFmtId="0" fontId="1" fillId="0" borderId="1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16" fontId="1" fillId="0" borderId="8" xfId="1" applyNumberForma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4" xfId="1" quotePrefix="1" applyFont="1" applyFill="1" applyBorder="1" applyAlignment="1">
      <alignment horizontal="center" vertical="center"/>
    </xf>
    <xf numFmtId="0" fontId="1" fillId="0" borderId="0" xfId="1" applyNumberFormat="1"/>
    <xf numFmtId="0" fontId="6" fillId="0" borderId="18" xfId="1" applyNumberFormat="1" applyFont="1" applyBorder="1" applyAlignment="1">
      <alignment horizontal="center" vertical="center" textRotation="90" wrapText="1"/>
    </xf>
    <xf numFmtId="0" fontId="1" fillId="0" borderId="0" xfId="1" applyNumberFormat="1" applyBorder="1" applyAlignment="1">
      <alignment horizontal="center" vertical="center"/>
    </xf>
    <xf numFmtId="0" fontId="1" fillId="0" borderId="0" xfId="1" applyNumberFormat="1" applyBorder="1"/>
    <xf numFmtId="0" fontId="1" fillId="2" borderId="0" xfId="1" applyFill="1"/>
    <xf numFmtId="0" fontId="1" fillId="2" borderId="0" xfId="1" applyFill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16" fontId="1" fillId="0" borderId="8" xfId="1" applyNumberFormat="1" applyFont="1" applyFill="1" applyBorder="1" applyAlignment="1">
      <alignment horizontal="center" vertical="center"/>
    </xf>
    <xf numFmtId="0" fontId="0" fillId="0" borderId="9" xfId="0" applyFill="1" applyBorder="1"/>
    <xf numFmtId="0" fontId="0" fillId="0" borderId="27" xfId="0" applyFill="1" applyBorder="1"/>
    <xf numFmtId="0" fontId="1" fillId="0" borderId="25" xfId="1" applyFill="1" applyBorder="1" applyAlignment="1">
      <alignment horizontal="center" vertical="center"/>
    </xf>
    <xf numFmtId="0" fontId="1" fillId="0" borderId="10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11" xfId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0" fillId="0" borderId="1" xfId="0" applyFill="1" applyBorder="1"/>
    <xf numFmtId="0" fontId="0" fillId="0" borderId="26" xfId="0" applyFill="1" applyBorder="1"/>
    <xf numFmtId="0" fontId="1" fillId="0" borderId="26" xfId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1" xfId="1" applyNumberFormat="1" applyFill="1" applyBorder="1" applyAlignment="1">
      <alignment horizontal="center" vertical="center"/>
    </xf>
    <xf numFmtId="0" fontId="10" fillId="0" borderId="1" xfId="1" applyFont="1" applyFill="1" applyBorder="1" applyAlignment="1">
      <alignment vertical="center"/>
    </xf>
    <xf numFmtId="0" fontId="1" fillId="0" borderId="17" xfId="1" applyFill="1" applyBorder="1" applyAlignment="1">
      <alignment horizontal="center" vertical="center"/>
    </xf>
    <xf numFmtId="0" fontId="1" fillId="0" borderId="17" xfId="1" applyFill="1" applyBorder="1" applyAlignment="1">
      <alignment vertical="center"/>
    </xf>
    <xf numFmtId="0" fontId="1" fillId="0" borderId="16" xfId="1" applyFill="1" applyBorder="1" applyAlignment="1">
      <alignment horizontal="center" vertical="center"/>
    </xf>
    <xf numFmtId="0" fontId="1" fillId="0" borderId="18" xfId="1" applyFill="1" applyBorder="1" applyAlignment="1">
      <alignment horizontal="center" vertical="center"/>
    </xf>
    <xf numFmtId="0" fontId="1" fillId="0" borderId="19" xfId="1" applyFill="1" applyBorder="1" applyAlignment="1">
      <alignment horizontal="center" vertical="center"/>
    </xf>
    <xf numFmtId="0" fontId="10" fillId="0" borderId="1" xfId="0" applyFont="1" applyFill="1" applyBorder="1"/>
    <xf numFmtId="0" fontId="10" fillId="0" borderId="26" xfId="0" applyFont="1" applyFill="1" applyBorder="1"/>
    <xf numFmtId="0" fontId="1" fillId="0" borderId="9" xfId="1" applyFill="1" applyBorder="1" applyAlignment="1">
      <alignment horizontal="center" vertical="center"/>
    </xf>
    <xf numFmtId="0" fontId="10" fillId="0" borderId="27" xfId="0" applyFont="1" applyFill="1" applyBorder="1"/>
    <xf numFmtId="0" fontId="1" fillId="0" borderId="0" xfId="1" applyFill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vertical="center"/>
    </xf>
    <xf numFmtId="0" fontId="0" fillId="0" borderId="1" xfId="0" applyFont="1" applyFill="1" applyBorder="1"/>
    <xf numFmtId="0" fontId="8" fillId="0" borderId="8" xfId="1" applyFont="1" applyFill="1" applyBorder="1" applyAlignment="1">
      <alignment horizontal="center" vertical="center" wrapText="1"/>
    </xf>
    <xf numFmtId="0" fontId="1" fillId="0" borderId="4" xfId="1" applyNumberForma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5" xfId="1" applyNumberFormat="1" applyFill="1" applyBorder="1" applyAlignment="1">
      <alignment horizontal="center" vertical="center"/>
    </xf>
    <xf numFmtId="49" fontId="1" fillId="0" borderId="1" xfId="1" applyNumberFormat="1" applyFill="1" applyBorder="1" applyAlignment="1" applyProtection="1">
      <alignment horizontal="center"/>
      <protection locked="0"/>
    </xf>
    <xf numFmtId="0" fontId="1" fillId="0" borderId="1" xfId="1" applyFill="1" applyBorder="1"/>
    <xf numFmtId="0" fontId="11" fillId="0" borderId="1" xfId="0" applyFont="1" applyFill="1" applyBorder="1"/>
    <xf numFmtId="0" fontId="11" fillId="0" borderId="26" xfId="0" applyFont="1" applyFill="1" applyBorder="1"/>
    <xf numFmtId="0" fontId="12" fillId="0" borderId="9" xfId="1" applyFont="1" applyFill="1" applyBorder="1" applyAlignment="1">
      <alignment vertical="center"/>
    </xf>
    <xf numFmtId="0" fontId="12" fillId="0" borderId="1" xfId="1" applyFont="1" applyBorder="1" applyAlignment="1">
      <alignment vertical="center"/>
    </xf>
    <xf numFmtId="0" fontId="12" fillId="0" borderId="1" xfId="1" applyFont="1" applyFill="1" applyBorder="1" applyAlignment="1">
      <alignment vertical="center"/>
    </xf>
    <xf numFmtId="0" fontId="12" fillId="0" borderId="9" xfId="1" applyFont="1" applyFill="1" applyBorder="1" applyAlignment="1">
      <alignment horizontal="left" vertical="center"/>
    </xf>
    <xf numFmtId="0" fontId="12" fillId="0" borderId="26" xfId="0" applyFont="1" applyFill="1" applyBorder="1"/>
    <xf numFmtId="0" fontId="12" fillId="0" borderId="17" xfId="1" applyFont="1" applyBorder="1" applyAlignment="1">
      <alignment vertical="center"/>
    </xf>
    <xf numFmtId="0" fontId="1" fillId="3" borderId="7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" fillId="4" borderId="7" xfId="1" applyFill="1" applyBorder="1" applyAlignment="1">
      <alignment horizontal="center" vertical="center"/>
    </xf>
    <xf numFmtId="0" fontId="1" fillId="4" borderId="1" xfId="1" applyFill="1" applyBorder="1" applyAlignment="1">
      <alignment horizontal="center" vertical="center"/>
    </xf>
    <xf numFmtId="0" fontId="1" fillId="4" borderId="16" xfId="1" applyFill="1" applyBorder="1" applyAlignment="1">
      <alignment horizontal="center" vertical="center"/>
    </xf>
    <xf numFmtId="0" fontId="1" fillId="4" borderId="17" xfId="1" applyFill="1" applyBorder="1" applyAlignment="1">
      <alignment horizontal="center" vertical="center"/>
    </xf>
    <xf numFmtId="0" fontId="1" fillId="4" borderId="10" xfId="1" applyFont="1" applyFill="1" applyBorder="1" applyAlignment="1">
      <alignment horizontal="center" vertical="center"/>
    </xf>
    <xf numFmtId="0" fontId="1" fillId="4" borderId="6" xfId="1" applyFont="1" applyFill="1" applyBorder="1" applyAlignment="1">
      <alignment horizontal="center" vertical="center"/>
    </xf>
    <xf numFmtId="0" fontId="1" fillId="4" borderId="7" xfId="1" applyFont="1" applyFill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/>
    </xf>
    <xf numFmtId="0" fontId="0" fillId="4" borderId="9" xfId="0" applyFill="1" applyBorder="1"/>
    <xf numFmtId="0" fontId="0" fillId="4" borderId="26" xfId="0" applyFill="1" applyBorder="1"/>
    <xf numFmtId="0" fontId="1" fillId="4" borderId="26" xfId="1" applyFill="1" applyBorder="1" applyAlignment="1">
      <alignment horizontal="center" vertical="center"/>
    </xf>
    <xf numFmtId="0" fontId="1" fillId="4" borderId="8" xfId="1" applyFill="1" applyBorder="1" applyAlignment="1">
      <alignment horizontal="center" vertical="center"/>
    </xf>
    <xf numFmtId="0" fontId="1" fillId="4" borderId="5" xfId="1" applyFill="1" applyBorder="1" applyAlignment="1">
      <alignment horizontal="center" vertical="center"/>
    </xf>
    <xf numFmtId="0" fontId="0" fillId="4" borderId="1" xfId="0" applyFill="1" applyBorder="1"/>
    <xf numFmtId="0" fontId="1" fillId="4" borderId="5" xfId="1" applyFont="1" applyFill="1" applyBorder="1" applyAlignment="1">
      <alignment horizontal="center" vertical="center"/>
    </xf>
    <xf numFmtId="0" fontId="12" fillId="4" borderId="17" xfId="1" applyFont="1" applyFill="1" applyBorder="1" applyAlignment="1">
      <alignment vertical="center"/>
    </xf>
    <xf numFmtId="0" fontId="1" fillId="4" borderId="28" xfId="1" applyFill="1" applyBorder="1" applyAlignment="1">
      <alignment vertical="center"/>
    </xf>
    <xf numFmtId="0" fontId="1" fillId="4" borderId="18" xfId="1" applyFill="1" applyBorder="1" applyAlignment="1">
      <alignment horizontal="center" vertical="center"/>
    </xf>
    <xf numFmtId="0" fontId="1" fillId="4" borderId="19" xfId="1" applyFill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2" fontId="1" fillId="0" borderId="1" xfId="1" applyNumberForma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16" fontId="1" fillId="4" borderId="8" xfId="1" applyNumberFormat="1" applyFill="1" applyBorder="1" applyAlignment="1">
      <alignment horizontal="center" vertical="center"/>
    </xf>
    <xf numFmtId="0" fontId="1" fillId="4" borderId="9" xfId="1" applyFill="1" applyBorder="1" applyAlignment="1">
      <alignment horizontal="center" vertical="center"/>
    </xf>
    <xf numFmtId="0" fontId="11" fillId="4" borderId="1" xfId="0" applyFont="1" applyFill="1" applyBorder="1"/>
    <xf numFmtId="0" fontId="10" fillId="4" borderId="1" xfId="0" applyFont="1" applyFill="1" applyBorder="1"/>
    <xf numFmtId="0" fontId="10" fillId="4" borderId="26" xfId="0" applyFont="1" applyFill="1" applyBorder="1"/>
    <xf numFmtId="0" fontId="1" fillId="4" borderId="4" xfId="1" applyFont="1" applyFill="1" applyBorder="1" applyAlignment="1">
      <alignment horizontal="center" vertical="center"/>
    </xf>
    <xf numFmtId="0" fontId="1" fillId="4" borderId="11" xfId="1" applyFont="1" applyFill="1" applyBorder="1" applyAlignment="1">
      <alignment horizontal="center" vertical="center"/>
    </xf>
    <xf numFmtId="16" fontId="1" fillId="4" borderId="11" xfId="1" applyNumberFormat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0" fillId="4" borderId="1" xfId="0" applyFont="1" applyFill="1" applyBorder="1"/>
    <xf numFmtId="0" fontId="10" fillId="4" borderId="9" xfId="1" applyFont="1" applyFill="1" applyBorder="1" applyAlignment="1">
      <alignment vertical="center"/>
    </xf>
    <xf numFmtId="0" fontId="1" fillId="4" borderId="8" xfId="1" applyFont="1" applyFill="1" applyBorder="1" applyAlignment="1">
      <alignment horizontal="center" vertical="center"/>
    </xf>
    <xf numFmtId="0" fontId="1" fillId="4" borderId="5" xfId="1" applyNumberFormat="1" applyFont="1" applyFill="1" applyBorder="1" applyAlignment="1">
      <alignment horizontal="center" vertical="center"/>
    </xf>
    <xf numFmtId="0" fontId="1" fillId="0" borderId="13" xfId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49" fontId="1" fillId="0" borderId="0" xfId="1" applyNumberFormat="1" applyFill="1" applyBorder="1" applyProtection="1">
      <protection locked="0"/>
    </xf>
    <xf numFmtId="0" fontId="1" fillId="0" borderId="0" xfId="1" applyFill="1" applyBorder="1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29" xfId="1" applyFont="1" applyBorder="1" applyAlignment="1">
      <alignment horizontal="right"/>
    </xf>
    <xf numFmtId="0" fontId="5" fillId="0" borderId="3" xfId="1" applyFont="1" applyBorder="1" applyAlignment="1">
      <alignment horizontal="right"/>
    </xf>
    <xf numFmtId="164" fontId="5" fillId="0" borderId="10" xfId="1" applyNumberFormat="1" applyFont="1" applyBorder="1" applyAlignment="1">
      <alignment horizontal="center" vertical="center"/>
    </xf>
    <xf numFmtId="164" fontId="5" fillId="0" borderId="6" xfId="1" applyNumberFormat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5" fillId="0" borderId="1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textRotation="90" wrapText="1"/>
    </xf>
    <xf numFmtId="0" fontId="5" fillId="0" borderId="13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 textRotation="90"/>
    </xf>
    <xf numFmtId="0" fontId="5" fillId="0" borderId="21" xfId="1" applyFont="1" applyBorder="1" applyAlignment="1">
      <alignment horizontal="center" vertical="center" textRotation="90"/>
    </xf>
    <xf numFmtId="0" fontId="5" fillId="0" borderId="23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textRotation="90" wrapText="1"/>
    </xf>
    <xf numFmtId="0" fontId="5" fillId="0" borderId="14" xfId="1" applyFont="1" applyBorder="1" applyAlignment="1">
      <alignment horizontal="center" vertical="center" textRotation="90" wrapText="1"/>
    </xf>
    <xf numFmtId="0" fontId="6" fillId="0" borderId="21" xfId="1" applyFont="1" applyBorder="1" applyAlignment="1">
      <alignment horizontal="center" vertical="center" textRotation="90"/>
    </xf>
    <xf numFmtId="0" fontId="5" fillId="0" borderId="2" xfId="1" applyFont="1" applyBorder="1" applyAlignment="1">
      <alignment horizontal="right"/>
    </xf>
    <xf numFmtId="0" fontId="1" fillId="2" borderId="7" xfId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0" borderId="1" xfId="1" applyBorder="1"/>
    <xf numFmtId="0" fontId="1" fillId="4" borderId="1" xfId="1" applyFill="1" applyBorder="1"/>
    <xf numFmtId="0" fontId="1" fillId="4" borderId="1" xfId="1" applyFill="1" applyBorder="1" applyAlignment="1">
      <alignment horizontal="right"/>
    </xf>
    <xf numFmtId="0" fontId="1" fillId="0" borderId="1" xfId="1" applyBorder="1" applyAlignment="1">
      <alignment horizontal="right" vertical="center"/>
    </xf>
    <xf numFmtId="0" fontId="1" fillId="4" borderId="1" xfId="1" applyFill="1" applyBorder="1" applyAlignment="1">
      <alignment horizontal="right" vertical="center"/>
    </xf>
    <xf numFmtId="0" fontId="1" fillId="0" borderId="1" xfId="1" applyBorder="1" applyAlignment="1">
      <alignment horizontal="right"/>
    </xf>
    <xf numFmtId="0" fontId="1" fillId="4" borderId="5" xfId="1" applyNumberFormat="1" applyFill="1" applyBorder="1" applyAlignment="1">
      <alignment horizontal="center" vertical="center"/>
    </xf>
  </cellXfs>
  <cellStyles count="6">
    <cellStyle name="Normal" xfId="0" builtinId="0"/>
    <cellStyle name="Normalno 2" xfId="1" xr:uid="{00000000-0005-0000-0000-000001000000}"/>
    <cellStyle name="Obično 2" xfId="2" xr:uid="{00000000-0005-0000-0000-000002000000}"/>
    <cellStyle name="Obično 3" xfId="3" xr:uid="{00000000-0005-0000-0000-000003000000}"/>
    <cellStyle name="Obično 4" xfId="4" xr:uid="{00000000-0005-0000-0000-000004000000}"/>
    <cellStyle name="Postotak 2" xfId="5" xr:uid="{00000000-0005-0000-0000-000005000000}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8"/>
  <dimension ref="A1:AC37"/>
  <sheetViews>
    <sheetView view="pageBreakPreview" topLeftCell="A4" zoomScale="110" zoomScaleNormal="100" zoomScaleSheetLayoutView="110" workbookViewId="0">
      <selection activeCell="C24" sqref="C24"/>
    </sheetView>
  </sheetViews>
  <sheetFormatPr defaultRowHeight="12.75" x14ac:dyDescent="0.2"/>
  <cols>
    <col min="1" max="1" width="6.75" style="1" customWidth="1"/>
    <col min="2" max="2" width="18.875" style="1" customWidth="1"/>
    <col min="3" max="3" width="3.375" style="1" customWidth="1"/>
    <col min="4" max="4" width="5" style="1" customWidth="1"/>
    <col min="5" max="5" width="3.875" style="1" customWidth="1"/>
    <col min="6" max="6" width="5.5" style="1" bestFit="1" customWidth="1"/>
    <col min="7" max="7" width="5.375" style="1" customWidth="1"/>
    <col min="8" max="8" width="5" style="7" customWidth="1"/>
    <col min="9" max="9" width="3.875" style="1" customWidth="1"/>
    <col min="10" max="10" width="4.5" style="1" customWidth="1"/>
    <col min="11" max="11" width="4.875" style="1" customWidth="1"/>
    <col min="12" max="12" width="5" style="7" customWidth="1"/>
    <col min="13" max="13" width="3.875" style="1" customWidth="1"/>
    <col min="14" max="14" width="4.5" style="1" customWidth="1"/>
    <col min="15" max="15" width="5.125" style="1" customWidth="1"/>
    <col min="16" max="16" width="5" style="1" customWidth="1"/>
    <col min="17" max="18" width="3.875" style="1" customWidth="1"/>
    <col min="19" max="19" width="4.625" style="1" customWidth="1"/>
    <col min="20" max="20" width="5" style="7" customWidth="1"/>
    <col min="21" max="22" width="3.875" style="1" customWidth="1"/>
    <col min="23" max="23" width="5.25" style="1" customWidth="1"/>
    <col min="24" max="24" width="4.25" style="1" customWidth="1"/>
    <col min="25" max="25" width="4.5" style="1" customWidth="1"/>
    <col min="26" max="27" width="4.625" style="1" customWidth="1"/>
    <col min="28" max="28" width="4" style="1" customWidth="1"/>
    <col min="29" max="255" width="9" style="1"/>
    <col min="256" max="256" width="5" style="1" customWidth="1"/>
    <col min="257" max="257" width="20.5" style="1" customWidth="1"/>
    <col min="258" max="258" width="2.375" style="1" customWidth="1"/>
    <col min="259" max="259" width="3.75" style="1" customWidth="1"/>
    <col min="260" max="261" width="5" style="1" customWidth="1"/>
    <col min="262" max="263" width="3.75" style="1" customWidth="1"/>
    <col min="264" max="265" width="5" style="1" customWidth="1"/>
    <col min="266" max="267" width="3.75" style="1" customWidth="1"/>
    <col min="268" max="269" width="5" style="1" customWidth="1"/>
    <col min="270" max="271" width="3.75" style="1" customWidth="1"/>
    <col min="272" max="273" width="5" style="1" customWidth="1"/>
    <col min="274" max="275" width="3.75" style="1" customWidth="1"/>
    <col min="276" max="277" width="5" style="1" customWidth="1"/>
    <col min="278" max="279" width="3.75" style="1" customWidth="1"/>
    <col min="280" max="280" width="3.5" style="1" customWidth="1"/>
    <col min="281" max="511" width="9" style="1"/>
    <col min="512" max="512" width="5" style="1" customWidth="1"/>
    <col min="513" max="513" width="20.5" style="1" customWidth="1"/>
    <col min="514" max="514" width="2.375" style="1" customWidth="1"/>
    <col min="515" max="515" width="3.75" style="1" customWidth="1"/>
    <col min="516" max="517" width="5" style="1" customWidth="1"/>
    <col min="518" max="519" width="3.75" style="1" customWidth="1"/>
    <col min="520" max="521" width="5" style="1" customWidth="1"/>
    <col min="522" max="523" width="3.75" style="1" customWidth="1"/>
    <col min="524" max="525" width="5" style="1" customWidth="1"/>
    <col min="526" max="527" width="3.75" style="1" customWidth="1"/>
    <col min="528" max="529" width="5" style="1" customWidth="1"/>
    <col min="530" max="531" width="3.75" style="1" customWidth="1"/>
    <col min="532" max="533" width="5" style="1" customWidth="1"/>
    <col min="534" max="535" width="3.75" style="1" customWidth="1"/>
    <col min="536" max="536" width="3.5" style="1" customWidth="1"/>
    <col min="537" max="767" width="9" style="1"/>
    <col min="768" max="768" width="5" style="1" customWidth="1"/>
    <col min="769" max="769" width="20.5" style="1" customWidth="1"/>
    <col min="770" max="770" width="2.375" style="1" customWidth="1"/>
    <col min="771" max="771" width="3.75" style="1" customWidth="1"/>
    <col min="772" max="773" width="5" style="1" customWidth="1"/>
    <col min="774" max="775" width="3.75" style="1" customWidth="1"/>
    <col min="776" max="777" width="5" style="1" customWidth="1"/>
    <col min="778" max="779" width="3.75" style="1" customWidth="1"/>
    <col min="780" max="781" width="5" style="1" customWidth="1"/>
    <col min="782" max="783" width="3.75" style="1" customWidth="1"/>
    <col min="784" max="785" width="5" style="1" customWidth="1"/>
    <col min="786" max="787" width="3.75" style="1" customWidth="1"/>
    <col min="788" max="789" width="5" style="1" customWidth="1"/>
    <col min="790" max="791" width="3.75" style="1" customWidth="1"/>
    <col min="792" max="792" width="3.5" style="1" customWidth="1"/>
    <col min="793" max="1023" width="9" style="1"/>
    <col min="1024" max="1024" width="5" style="1" customWidth="1"/>
    <col min="1025" max="1025" width="20.5" style="1" customWidth="1"/>
    <col min="1026" max="1026" width="2.375" style="1" customWidth="1"/>
    <col min="1027" max="1027" width="3.75" style="1" customWidth="1"/>
    <col min="1028" max="1029" width="5" style="1" customWidth="1"/>
    <col min="1030" max="1031" width="3.75" style="1" customWidth="1"/>
    <col min="1032" max="1033" width="5" style="1" customWidth="1"/>
    <col min="1034" max="1035" width="3.75" style="1" customWidth="1"/>
    <col min="1036" max="1037" width="5" style="1" customWidth="1"/>
    <col min="1038" max="1039" width="3.75" style="1" customWidth="1"/>
    <col min="1040" max="1041" width="5" style="1" customWidth="1"/>
    <col min="1042" max="1043" width="3.75" style="1" customWidth="1"/>
    <col min="1044" max="1045" width="5" style="1" customWidth="1"/>
    <col min="1046" max="1047" width="3.75" style="1" customWidth="1"/>
    <col min="1048" max="1048" width="3.5" style="1" customWidth="1"/>
    <col min="1049" max="1279" width="9" style="1"/>
    <col min="1280" max="1280" width="5" style="1" customWidth="1"/>
    <col min="1281" max="1281" width="20.5" style="1" customWidth="1"/>
    <col min="1282" max="1282" width="2.375" style="1" customWidth="1"/>
    <col min="1283" max="1283" width="3.75" style="1" customWidth="1"/>
    <col min="1284" max="1285" width="5" style="1" customWidth="1"/>
    <col min="1286" max="1287" width="3.75" style="1" customWidth="1"/>
    <col min="1288" max="1289" width="5" style="1" customWidth="1"/>
    <col min="1290" max="1291" width="3.75" style="1" customWidth="1"/>
    <col min="1292" max="1293" width="5" style="1" customWidth="1"/>
    <col min="1294" max="1295" width="3.75" style="1" customWidth="1"/>
    <col min="1296" max="1297" width="5" style="1" customWidth="1"/>
    <col min="1298" max="1299" width="3.75" style="1" customWidth="1"/>
    <col min="1300" max="1301" width="5" style="1" customWidth="1"/>
    <col min="1302" max="1303" width="3.75" style="1" customWidth="1"/>
    <col min="1304" max="1304" width="3.5" style="1" customWidth="1"/>
    <col min="1305" max="1535" width="9" style="1"/>
    <col min="1536" max="1536" width="5" style="1" customWidth="1"/>
    <col min="1537" max="1537" width="20.5" style="1" customWidth="1"/>
    <col min="1538" max="1538" width="2.375" style="1" customWidth="1"/>
    <col min="1539" max="1539" width="3.75" style="1" customWidth="1"/>
    <col min="1540" max="1541" width="5" style="1" customWidth="1"/>
    <col min="1542" max="1543" width="3.75" style="1" customWidth="1"/>
    <col min="1544" max="1545" width="5" style="1" customWidth="1"/>
    <col min="1546" max="1547" width="3.75" style="1" customWidth="1"/>
    <col min="1548" max="1549" width="5" style="1" customWidth="1"/>
    <col min="1550" max="1551" width="3.75" style="1" customWidth="1"/>
    <col min="1552" max="1553" width="5" style="1" customWidth="1"/>
    <col min="1554" max="1555" width="3.75" style="1" customWidth="1"/>
    <col min="1556" max="1557" width="5" style="1" customWidth="1"/>
    <col min="1558" max="1559" width="3.75" style="1" customWidth="1"/>
    <col min="1560" max="1560" width="3.5" style="1" customWidth="1"/>
    <col min="1561" max="1791" width="9" style="1"/>
    <col min="1792" max="1792" width="5" style="1" customWidth="1"/>
    <col min="1793" max="1793" width="20.5" style="1" customWidth="1"/>
    <col min="1794" max="1794" width="2.375" style="1" customWidth="1"/>
    <col min="1795" max="1795" width="3.75" style="1" customWidth="1"/>
    <col min="1796" max="1797" width="5" style="1" customWidth="1"/>
    <col min="1798" max="1799" width="3.75" style="1" customWidth="1"/>
    <col min="1800" max="1801" width="5" style="1" customWidth="1"/>
    <col min="1802" max="1803" width="3.75" style="1" customWidth="1"/>
    <col min="1804" max="1805" width="5" style="1" customWidth="1"/>
    <col min="1806" max="1807" width="3.75" style="1" customWidth="1"/>
    <col min="1808" max="1809" width="5" style="1" customWidth="1"/>
    <col min="1810" max="1811" width="3.75" style="1" customWidth="1"/>
    <col min="1812" max="1813" width="5" style="1" customWidth="1"/>
    <col min="1814" max="1815" width="3.75" style="1" customWidth="1"/>
    <col min="1816" max="1816" width="3.5" style="1" customWidth="1"/>
    <col min="1817" max="2047" width="9" style="1"/>
    <col min="2048" max="2048" width="5" style="1" customWidth="1"/>
    <col min="2049" max="2049" width="20.5" style="1" customWidth="1"/>
    <col min="2050" max="2050" width="2.375" style="1" customWidth="1"/>
    <col min="2051" max="2051" width="3.75" style="1" customWidth="1"/>
    <col min="2052" max="2053" width="5" style="1" customWidth="1"/>
    <col min="2054" max="2055" width="3.75" style="1" customWidth="1"/>
    <col min="2056" max="2057" width="5" style="1" customWidth="1"/>
    <col min="2058" max="2059" width="3.75" style="1" customWidth="1"/>
    <col min="2060" max="2061" width="5" style="1" customWidth="1"/>
    <col min="2062" max="2063" width="3.75" style="1" customWidth="1"/>
    <col min="2064" max="2065" width="5" style="1" customWidth="1"/>
    <col min="2066" max="2067" width="3.75" style="1" customWidth="1"/>
    <col min="2068" max="2069" width="5" style="1" customWidth="1"/>
    <col min="2070" max="2071" width="3.75" style="1" customWidth="1"/>
    <col min="2072" max="2072" width="3.5" style="1" customWidth="1"/>
    <col min="2073" max="2303" width="9" style="1"/>
    <col min="2304" max="2304" width="5" style="1" customWidth="1"/>
    <col min="2305" max="2305" width="20.5" style="1" customWidth="1"/>
    <col min="2306" max="2306" width="2.375" style="1" customWidth="1"/>
    <col min="2307" max="2307" width="3.75" style="1" customWidth="1"/>
    <col min="2308" max="2309" width="5" style="1" customWidth="1"/>
    <col min="2310" max="2311" width="3.75" style="1" customWidth="1"/>
    <col min="2312" max="2313" width="5" style="1" customWidth="1"/>
    <col min="2314" max="2315" width="3.75" style="1" customWidth="1"/>
    <col min="2316" max="2317" width="5" style="1" customWidth="1"/>
    <col min="2318" max="2319" width="3.75" style="1" customWidth="1"/>
    <col min="2320" max="2321" width="5" style="1" customWidth="1"/>
    <col min="2322" max="2323" width="3.75" style="1" customWidth="1"/>
    <col min="2324" max="2325" width="5" style="1" customWidth="1"/>
    <col min="2326" max="2327" width="3.75" style="1" customWidth="1"/>
    <col min="2328" max="2328" width="3.5" style="1" customWidth="1"/>
    <col min="2329" max="2559" width="9" style="1"/>
    <col min="2560" max="2560" width="5" style="1" customWidth="1"/>
    <col min="2561" max="2561" width="20.5" style="1" customWidth="1"/>
    <col min="2562" max="2562" width="2.375" style="1" customWidth="1"/>
    <col min="2563" max="2563" width="3.75" style="1" customWidth="1"/>
    <col min="2564" max="2565" width="5" style="1" customWidth="1"/>
    <col min="2566" max="2567" width="3.75" style="1" customWidth="1"/>
    <col min="2568" max="2569" width="5" style="1" customWidth="1"/>
    <col min="2570" max="2571" width="3.75" style="1" customWidth="1"/>
    <col min="2572" max="2573" width="5" style="1" customWidth="1"/>
    <col min="2574" max="2575" width="3.75" style="1" customWidth="1"/>
    <col min="2576" max="2577" width="5" style="1" customWidth="1"/>
    <col min="2578" max="2579" width="3.75" style="1" customWidth="1"/>
    <col min="2580" max="2581" width="5" style="1" customWidth="1"/>
    <col min="2582" max="2583" width="3.75" style="1" customWidth="1"/>
    <col min="2584" max="2584" width="3.5" style="1" customWidth="1"/>
    <col min="2585" max="2815" width="9" style="1"/>
    <col min="2816" max="2816" width="5" style="1" customWidth="1"/>
    <col min="2817" max="2817" width="20.5" style="1" customWidth="1"/>
    <col min="2818" max="2818" width="2.375" style="1" customWidth="1"/>
    <col min="2819" max="2819" width="3.75" style="1" customWidth="1"/>
    <col min="2820" max="2821" width="5" style="1" customWidth="1"/>
    <col min="2822" max="2823" width="3.75" style="1" customWidth="1"/>
    <col min="2824" max="2825" width="5" style="1" customWidth="1"/>
    <col min="2826" max="2827" width="3.75" style="1" customWidth="1"/>
    <col min="2828" max="2829" width="5" style="1" customWidth="1"/>
    <col min="2830" max="2831" width="3.75" style="1" customWidth="1"/>
    <col min="2832" max="2833" width="5" style="1" customWidth="1"/>
    <col min="2834" max="2835" width="3.75" style="1" customWidth="1"/>
    <col min="2836" max="2837" width="5" style="1" customWidth="1"/>
    <col min="2838" max="2839" width="3.75" style="1" customWidth="1"/>
    <col min="2840" max="2840" width="3.5" style="1" customWidth="1"/>
    <col min="2841" max="3071" width="9" style="1"/>
    <col min="3072" max="3072" width="5" style="1" customWidth="1"/>
    <col min="3073" max="3073" width="20.5" style="1" customWidth="1"/>
    <col min="3074" max="3074" width="2.375" style="1" customWidth="1"/>
    <col min="3075" max="3075" width="3.75" style="1" customWidth="1"/>
    <col min="3076" max="3077" width="5" style="1" customWidth="1"/>
    <col min="3078" max="3079" width="3.75" style="1" customWidth="1"/>
    <col min="3080" max="3081" width="5" style="1" customWidth="1"/>
    <col min="3082" max="3083" width="3.75" style="1" customWidth="1"/>
    <col min="3084" max="3085" width="5" style="1" customWidth="1"/>
    <col min="3086" max="3087" width="3.75" style="1" customWidth="1"/>
    <col min="3088" max="3089" width="5" style="1" customWidth="1"/>
    <col min="3090" max="3091" width="3.75" style="1" customWidth="1"/>
    <col min="3092" max="3093" width="5" style="1" customWidth="1"/>
    <col min="3094" max="3095" width="3.75" style="1" customWidth="1"/>
    <col min="3096" max="3096" width="3.5" style="1" customWidth="1"/>
    <col min="3097" max="3327" width="9" style="1"/>
    <col min="3328" max="3328" width="5" style="1" customWidth="1"/>
    <col min="3329" max="3329" width="20.5" style="1" customWidth="1"/>
    <col min="3330" max="3330" width="2.375" style="1" customWidth="1"/>
    <col min="3331" max="3331" width="3.75" style="1" customWidth="1"/>
    <col min="3332" max="3333" width="5" style="1" customWidth="1"/>
    <col min="3334" max="3335" width="3.75" style="1" customWidth="1"/>
    <col min="3336" max="3337" width="5" style="1" customWidth="1"/>
    <col min="3338" max="3339" width="3.75" style="1" customWidth="1"/>
    <col min="3340" max="3341" width="5" style="1" customWidth="1"/>
    <col min="3342" max="3343" width="3.75" style="1" customWidth="1"/>
    <col min="3344" max="3345" width="5" style="1" customWidth="1"/>
    <col min="3346" max="3347" width="3.75" style="1" customWidth="1"/>
    <col min="3348" max="3349" width="5" style="1" customWidth="1"/>
    <col min="3350" max="3351" width="3.75" style="1" customWidth="1"/>
    <col min="3352" max="3352" width="3.5" style="1" customWidth="1"/>
    <col min="3353" max="3583" width="9" style="1"/>
    <col min="3584" max="3584" width="5" style="1" customWidth="1"/>
    <col min="3585" max="3585" width="20.5" style="1" customWidth="1"/>
    <col min="3586" max="3586" width="2.375" style="1" customWidth="1"/>
    <col min="3587" max="3587" width="3.75" style="1" customWidth="1"/>
    <col min="3588" max="3589" width="5" style="1" customWidth="1"/>
    <col min="3590" max="3591" width="3.75" style="1" customWidth="1"/>
    <col min="3592" max="3593" width="5" style="1" customWidth="1"/>
    <col min="3594" max="3595" width="3.75" style="1" customWidth="1"/>
    <col min="3596" max="3597" width="5" style="1" customWidth="1"/>
    <col min="3598" max="3599" width="3.75" style="1" customWidth="1"/>
    <col min="3600" max="3601" width="5" style="1" customWidth="1"/>
    <col min="3602" max="3603" width="3.75" style="1" customWidth="1"/>
    <col min="3604" max="3605" width="5" style="1" customWidth="1"/>
    <col min="3606" max="3607" width="3.75" style="1" customWidth="1"/>
    <col min="3608" max="3608" width="3.5" style="1" customWidth="1"/>
    <col min="3609" max="3839" width="9" style="1"/>
    <col min="3840" max="3840" width="5" style="1" customWidth="1"/>
    <col min="3841" max="3841" width="20.5" style="1" customWidth="1"/>
    <col min="3842" max="3842" width="2.375" style="1" customWidth="1"/>
    <col min="3843" max="3843" width="3.75" style="1" customWidth="1"/>
    <col min="3844" max="3845" width="5" style="1" customWidth="1"/>
    <col min="3846" max="3847" width="3.75" style="1" customWidth="1"/>
    <col min="3848" max="3849" width="5" style="1" customWidth="1"/>
    <col min="3850" max="3851" width="3.75" style="1" customWidth="1"/>
    <col min="3852" max="3853" width="5" style="1" customWidth="1"/>
    <col min="3854" max="3855" width="3.75" style="1" customWidth="1"/>
    <col min="3856" max="3857" width="5" style="1" customWidth="1"/>
    <col min="3858" max="3859" width="3.75" style="1" customWidth="1"/>
    <col min="3860" max="3861" width="5" style="1" customWidth="1"/>
    <col min="3862" max="3863" width="3.75" style="1" customWidth="1"/>
    <col min="3864" max="3864" width="3.5" style="1" customWidth="1"/>
    <col min="3865" max="4095" width="9" style="1"/>
    <col min="4096" max="4096" width="5" style="1" customWidth="1"/>
    <col min="4097" max="4097" width="20.5" style="1" customWidth="1"/>
    <col min="4098" max="4098" width="2.375" style="1" customWidth="1"/>
    <col min="4099" max="4099" width="3.75" style="1" customWidth="1"/>
    <col min="4100" max="4101" width="5" style="1" customWidth="1"/>
    <col min="4102" max="4103" width="3.75" style="1" customWidth="1"/>
    <col min="4104" max="4105" width="5" style="1" customWidth="1"/>
    <col min="4106" max="4107" width="3.75" style="1" customWidth="1"/>
    <col min="4108" max="4109" width="5" style="1" customWidth="1"/>
    <col min="4110" max="4111" width="3.75" style="1" customWidth="1"/>
    <col min="4112" max="4113" width="5" style="1" customWidth="1"/>
    <col min="4114" max="4115" width="3.75" style="1" customWidth="1"/>
    <col min="4116" max="4117" width="5" style="1" customWidth="1"/>
    <col min="4118" max="4119" width="3.75" style="1" customWidth="1"/>
    <col min="4120" max="4120" width="3.5" style="1" customWidth="1"/>
    <col min="4121" max="4351" width="9" style="1"/>
    <col min="4352" max="4352" width="5" style="1" customWidth="1"/>
    <col min="4353" max="4353" width="20.5" style="1" customWidth="1"/>
    <col min="4354" max="4354" width="2.375" style="1" customWidth="1"/>
    <col min="4355" max="4355" width="3.75" style="1" customWidth="1"/>
    <col min="4356" max="4357" width="5" style="1" customWidth="1"/>
    <col min="4358" max="4359" width="3.75" style="1" customWidth="1"/>
    <col min="4360" max="4361" width="5" style="1" customWidth="1"/>
    <col min="4362" max="4363" width="3.75" style="1" customWidth="1"/>
    <col min="4364" max="4365" width="5" style="1" customWidth="1"/>
    <col min="4366" max="4367" width="3.75" style="1" customWidth="1"/>
    <col min="4368" max="4369" width="5" style="1" customWidth="1"/>
    <col min="4370" max="4371" width="3.75" style="1" customWidth="1"/>
    <col min="4372" max="4373" width="5" style="1" customWidth="1"/>
    <col min="4374" max="4375" width="3.75" style="1" customWidth="1"/>
    <col min="4376" max="4376" width="3.5" style="1" customWidth="1"/>
    <col min="4377" max="4607" width="9" style="1"/>
    <col min="4608" max="4608" width="5" style="1" customWidth="1"/>
    <col min="4609" max="4609" width="20.5" style="1" customWidth="1"/>
    <col min="4610" max="4610" width="2.375" style="1" customWidth="1"/>
    <col min="4611" max="4611" width="3.75" style="1" customWidth="1"/>
    <col min="4612" max="4613" width="5" style="1" customWidth="1"/>
    <col min="4614" max="4615" width="3.75" style="1" customWidth="1"/>
    <col min="4616" max="4617" width="5" style="1" customWidth="1"/>
    <col min="4618" max="4619" width="3.75" style="1" customWidth="1"/>
    <col min="4620" max="4621" width="5" style="1" customWidth="1"/>
    <col min="4622" max="4623" width="3.75" style="1" customWidth="1"/>
    <col min="4624" max="4625" width="5" style="1" customWidth="1"/>
    <col min="4626" max="4627" width="3.75" style="1" customWidth="1"/>
    <col min="4628" max="4629" width="5" style="1" customWidth="1"/>
    <col min="4630" max="4631" width="3.75" style="1" customWidth="1"/>
    <col min="4632" max="4632" width="3.5" style="1" customWidth="1"/>
    <col min="4633" max="4863" width="9" style="1"/>
    <col min="4864" max="4864" width="5" style="1" customWidth="1"/>
    <col min="4865" max="4865" width="20.5" style="1" customWidth="1"/>
    <col min="4866" max="4866" width="2.375" style="1" customWidth="1"/>
    <col min="4867" max="4867" width="3.75" style="1" customWidth="1"/>
    <col min="4868" max="4869" width="5" style="1" customWidth="1"/>
    <col min="4870" max="4871" width="3.75" style="1" customWidth="1"/>
    <col min="4872" max="4873" width="5" style="1" customWidth="1"/>
    <col min="4874" max="4875" width="3.75" style="1" customWidth="1"/>
    <col min="4876" max="4877" width="5" style="1" customWidth="1"/>
    <col min="4878" max="4879" width="3.75" style="1" customWidth="1"/>
    <col min="4880" max="4881" width="5" style="1" customWidth="1"/>
    <col min="4882" max="4883" width="3.75" style="1" customWidth="1"/>
    <col min="4884" max="4885" width="5" style="1" customWidth="1"/>
    <col min="4886" max="4887" width="3.75" style="1" customWidth="1"/>
    <col min="4888" max="4888" width="3.5" style="1" customWidth="1"/>
    <col min="4889" max="5119" width="9" style="1"/>
    <col min="5120" max="5120" width="5" style="1" customWidth="1"/>
    <col min="5121" max="5121" width="20.5" style="1" customWidth="1"/>
    <col min="5122" max="5122" width="2.375" style="1" customWidth="1"/>
    <col min="5123" max="5123" width="3.75" style="1" customWidth="1"/>
    <col min="5124" max="5125" width="5" style="1" customWidth="1"/>
    <col min="5126" max="5127" width="3.75" style="1" customWidth="1"/>
    <col min="5128" max="5129" width="5" style="1" customWidth="1"/>
    <col min="5130" max="5131" width="3.75" style="1" customWidth="1"/>
    <col min="5132" max="5133" width="5" style="1" customWidth="1"/>
    <col min="5134" max="5135" width="3.75" style="1" customWidth="1"/>
    <col min="5136" max="5137" width="5" style="1" customWidth="1"/>
    <col min="5138" max="5139" width="3.75" style="1" customWidth="1"/>
    <col min="5140" max="5141" width="5" style="1" customWidth="1"/>
    <col min="5142" max="5143" width="3.75" style="1" customWidth="1"/>
    <col min="5144" max="5144" width="3.5" style="1" customWidth="1"/>
    <col min="5145" max="5375" width="9" style="1"/>
    <col min="5376" max="5376" width="5" style="1" customWidth="1"/>
    <col min="5377" max="5377" width="20.5" style="1" customWidth="1"/>
    <col min="5378" max="5378" width="2.375" style="1" customWidth="1"/>
    <col min="5379" max="5379" width="3.75" style="1" customWidth="1"/>
    <col min="5380" max="5381" width="5" style="1" customWidth="1"/>
    <col min="5382" max="5383" width="3.75" style="1" customWidth="1"/>
    <col min="5384" max="5385" width="5" style="1" customWidth="1"/>
    <col min="5386" max="5387" width="3.75" style="1" customWidth="1"/>
    <col min="5388" max="5389" width="5" style="1" customWidth="1"/>
    <col min="5390" max="5391" width="3.75" style="1" customWidth="1"/>
    <col min="5392" max="5393" width="5" style="1" customWidth="1"/>
    <col min="5394" max="5395" width="3.75" style="1" customWidth="1"/>
    <col min="5396" max="5397" width="5" style="1" customWidth="1"/>
    <col min="5398" max="5399" width="3.75" style="1" customWidth="1"/>
    <col min="5400" max="5400" width="3.5" style="1" customWidth="1"/>
    <col min="5401" max="5631" width="9" style="1"/>
    <col min="5632" max="5632" width="5" style="1" customWidth="1"/>
    <col min="5633" max="5633" width="20.5" style="1" customWidth="1"/>
    <col min="5634" max="5634" width="2.375" style="1" customWidth="1"/>
    <col min="5635" max="5635" width="3.75" style="1" customWidth="1"/>
    <col min="5636" max="5637" width="5" style="1" customWidth="1"/>
    <col min="5638" max="5639" width="3.75" style="1" customWidth="1"/>
    <col min="5640" max="5641" width="5" style="1" customWidth="1"/>
    <col min="5642" max="5643" width="3.75" style="1" customWidth="1"/>
    <col min="5644" max="5645" width="5" style="1" customWidth="1"/>
    <col min="5646" max="5647" width="3.75" style="1" customWidth="1"/>
    <col min="5648" max="5649" width="5" style="1" customWidth="1"/>
    <col min="5650" max="5651" width="3.75" style="1" customWidth="1"/>
    <col min="5652" max="5653" width="5" style="1" customWidth="1"/>
    <col min="5654" max="5655" width="3.75" style="1" customWidth="1"/>
    <col min="5656" max="5656" width="3.5" style="1" customWidth="1"/>
    <col min="5657" max="5887" width="9" style="1"/>
    <col min="5888" max="5888" width="5" style="1" customWidth="1"/>
    <col min="5889" max="5889" width="20.5" style="1" customWidth="1"/>
    <col min="5890" max="5890" width="2.375" style="1" customWidth="1"/>
    <col min="5891" max="5891" width="3.75" style="1" customWidth="1"/>
    <col min="5892" max="5893" width="5" style="1" customWidth="1"/>
    <col min="5894" max="5895" width="3.75" style="1" customWidth="1"/>
    <col min="5896" max="5897" width="5" style="1" customWidth="1"/>
    <col min="5898" max="5899" width="3.75" style="1" customWidth="1"/>
    <col min="5900" max="5901" width="5" style="1" customWidth="1"/>
    <col min="5902" max="5903" width="3.75" style="1" customWidth="1"/>
    <col min="5904" max="5905" width="5" style="1" customWidth="1"/>
    <col min="5906" max="5907" width="3.75" style="1" customWidth="1"/>
    <col min="5908" max="5909" width="5" style="1" customWidth="1"/>
    <col min="5910" max="5911" width="3.75" style="1" customWidth="1"/>
    <col min="5912" max="5912" width="3.5" style="1" customWidth="1"/>
    <col min="5913" max="6143" width="9" style="1"/>
    <col min="6144" max="6144" width="5" style="1" customWidth="1"/>
    <col min="6145" max="6145" width="20.5" style="1" customWidth="1"/>
    <col min="6146" max="6146" width="2.375" style="1" customWidth="1"/>
    <col min="6147" max="6147" width="3.75" style="1" customWidth="1"/>
    <col min="6148" max="6149" width="5" style="1" customWidth="1"/>
    <col min="6150" max="6151" width="3.75" style="1" customWidth="1"/>
    <col min="6152" max="6153" width="5" style="1" customWidth="1"/>
    <col min="6154" max="6155" width="3.75" style="1" customWidth="1"/>
    <col min="6156" max="6157" width="5" style="1" customWidth="1"/>
    <col min="6158" max="6159" width="3.75" style="1" customWidth="1"/>
    <col min="6160" max="6161" width="5" style="1" customWidth="1"/>
    <col min="6162" max="6163" width="3.75" style="1" customWidth="1"/>
    <col min="6164" max="6165" width="5" style="1" customWidth="1"/>
    <col min="6166" max="6167" width="3.75" style="1" customWidth="1"/>
    <col min="6168" max="6168" width="3.5" style="1" customWidth="1"/>
    <col min="6169" max="6399" width="9" style="1"/>
    <col min="6400" max="6400" width="5" style="1" customWidth="1"/>
    <col min="6401" max="6401" width="20.5" style="1" customWidth="1"/>
    <col min="6402" max="6402" width="2.375" style="1" customWidth="1"/>
    <col min="6403" max="6403" width="3.75" style="1" customWidth="1"/>
    <col min="6404" max="6405" width="5" style="1" customWidth="1"/>
    <col min="6406" max="6407" width="3.75" style="1" customWidth="1"/>
    <col min="6408" max="6409" width="5" style="1" customWidth="1"/>
    <col min="6410" max="6411" width="3.75" style="1" customWidth="1"/>
    <col min="6412" max="6413" width="5" style="1" customWidth="1"/>
    <col min="6414" max="6415" width="3.75" style="1" customWidth="1"/>
    <col min="6416" max="6417" width="5" style="1" customWidth="1"/>
    <col min="6418" max="6419" width="3.75" style="1" customWidth="1"/>
    <col min="6420" max="6421" width="5" style="1" customWidth="1"/>
    <col min="6422" max="6423" width="3.75" style="1" customWidth="1"/>
    <col min="6424" max="6424" width="3.5" style="1" customWidth="1"/>
    <col min="6425" max="6655" width="9" style="1"/>
    <col min="6656" max="6656" width="5" style="1" customWidth="1"/>
    <col min="6657" max="6657" width="20.5" style="1" customWidth="1"/>
    <col min="6658" max="6658" width="2.375" style="1" customWidth="1"/>
    <col min="6659" max="6659" width="3.75" style="1" customWidth="1"/>
    <col min="6660" max="6661" width="5" style="1" customWidth="1"/>
    <col min="6662" max="6663" width="3.75" style="1" customWidth="1"/>
    <col min="6664" max="6665" width="5" style="1" customWidth="1"/>
    <col min="6666" max="6667" width="3.75" style="1" customWidth="1"/>
    <col min="6668" max="6669" width="5" style="1" customWidth="1"/>
    <col min="6670" max="6671" width="3.75" style="1" customWidth="1"/>
    <col min="6672" max="6673" width="5" style="1" customWidth="1"/>
    <col min="6674" max="6675" width="3.75" style="1" customWidth="1"/>
    <col min="6676" max="6677" width="5" style="1" customWidth="1"/>
    <col min="6678" max="6679" width="3.75" style="1" customWidth="1"/>
    <col min="6680" max="6680" width="3.5" style="1" customWidth="1"/>
    <col min="6681" max="6911" width="9" style="1"/>
    <col min="6912" max="6912" width="5" style="1" customWidth="1"/>
    <col min="6913" max="6913" width="20.5" style="1" customWidth="1"/>
    <col min="6914" max="6914" width="2.375" style="1" customWidth="1"/>
    <col min="6915" max="6915" width="3.75" style="1" customWidth="1"/>
    <col min="6916" max="6917" width="5" style="1" customWidth="1"/>
    <col min="6918" max="6919" width="3.75" style="1" customWidth="1"/>
    <col min="6920" max="6921" width="5" style="1" customWidth="1"/>
    <col min="6922" max="6923" width="3.75" style="1" customWidth="1"/>
    <col min="6924" max="6925" width="5" style="1" customWidth="1"/>
    <col min="6926" max="6927" width="3.75" style="1" customWidth="1"/>
    <col min="6928" max="6929" width="5" style="1" customWidth="1"/>
    <col min="6930" max="6931" width="3.75" style="1" customWidth="1"/>
    <col min="6932" max="6933" width="5" style="1" customWidth="1"/>
    <col min="6934" max="6935" width="3.75" style="1" customWidth="1"/>
    <col min="6936" max="6936" width="3.5" style="1" customWidth="1"/>
    <col min="6937" max="7167" width="9" style="1"/>
    <col min="7168" max="7168" width="5" style="1" customWidth="1"/>
    <col min="7169" max="7169" width="20.5" style="1" customWidth="1"/>
    <col min="7170" max="7170" width="2.375" style="1" customWidth="1"/>
    <col min="7171" max="7171" width="3.75" style="1" customWidth="1"/>
    <col min="7172" max="7173" width="5" style="1" customWidth="1"/>
    <col min="7174" max="7175" width="3.75" style="1" customWidth="1"/>
    <col min="7176" max="7177" width="5" style="1" customWidth="1"/>
    <col min="7178" max="7179" width="3.75" style="1" customWidth="1"/>
    <col min="7180" max="7181" width="5" style="1" customWidth="1"/>
    <col min="7182" max="7183" width="3.75" style="1" customWidth="1"/>
    <col min="7184" max="7185" width="5" style="1" customWidth="1"/>
    <col min="7186" max="7187" width="3.75" style="1" customWidth="1"/>
    <col min="7188" max="7189" width="5" style="1" customWidth="1"/>
    <col min="7190" max="7191" width="3.75" style="1" customWidth="1"/>
    <col min="7192" max="7192" width="3.5" style="1" customWidth="1"/>
    <col min="7193" max="7423" width="9" style="1"/>
    <col min="7424" max="7424" width="5" style="1" customWidth="1"/>
    <col min="7425" max="7425" width="20.5" style="1" customWidth="1"/>
    <col min="7426" max="7426" width="2.375" style="1" customWidth="1"/>
    <col min="7427" max="7427" width="3.75" style="1" customWidth="1"/>
    <col min="7428" max="7429" width="5" style="1" customWidth="1"/>
    <col min="7430" max="7431" width="3.75" style="1" customWidth="1"/>
    <col min="7432" max="7433" width="5" style="1" customWidth="1"/>
    <col min="7434" max="7435" width="3.75" style="1" customWidth="1"/>
    <col min="7436" max="7437" width="5" style="1" customWidth="1"/>
    <col min="7438" max="7439" width="3.75" style="1" customWidth="1"/>
    <col min="7440" max="7441" width="5" style="1" customWidth="1"/>
    <col min="7442" max="7443" width="3.75" style="1" customWidth="1"/>
    <col min="7444" max="7445" width="5" style="1" customWidth="1"/>
    <col min="7446" max="7447" width="3.75" style="1" customWidth="1"/>
    <col min="7448" max="7448" width="3.5" style="1" customWidth="1"/>
    <col min="7449" max="7679" width="9" style="1"/>
    <col min="7680" max="7680" width="5" style="1" customWidth="1"/>
    <col min="7681" max="7681" width="20.5" style="1" customWidth="1"/>
    <col min="7682" max="7682" width="2.375" style="1" customWidth="1"/>
    <col min="7683" max="7683" width="3.75" style="1" customWidth="1"/>
    <col min="7684" max="7685" width="5" style="1" customWidth="1"/>
    <col min="7686" max="7687" width="3.75" style="1" customWidth="1"/>
    <col min="7688" max="7689" width="5" style="1" customWidth="1"/>
    <col min="7690" max="7691" width="3.75" style="1" customWidth="1"/>
    <col min="7692" max="7693" width="5" style="1" customWidth="1"/>
    <col min="7694" max="7695" width="3.75" style="1" customWidth="1"/>
    <col min="7696" max="7697" width="5" style="1" customWidth="1"/>
    <col min="7698" max="7699" width="3.75" style="1" customWidth="1"/>
    <col min="7700" max="7701" width="5" style="1" customWidth="1"/>
    <col min="7702" max="7703" width="3.75" style="1" customWidth="1"/>
    <col min="7704" max="7704" width="3.5" style="1" customWidth="1"/>
    <col min="7705" max="7935" width="9" style="1"/>
    <col min="7936" max="7936" width="5" style="1" customWidth="1"/>
    <col min="7937" max="7937" width="20.5" style="1" customWidth="1"/>
    <col min="7938" max="7938" width="2.375" style="1" customWidth="1"/>
    <col min="7939" max="7939" width="3.75" style="1" customWidth="1"/>
    <col min="7940" max="7941" width="5" style="1" customWidth="1"/>
    <col min="7942" max="7943" width="3.75" style="1" customWidth="1"/>
    <col min="7944" max="7945" width="5" style="1" customWidth="1"/>
    <col min="7946" max="7947" width="3.75" style="1" customWidth="1"/>
    <col min="7948" max="7949" width="5" style="1" customWidth="1"/>
    <col min="7950" max="7951" width="3.75" style="1" customWidth="1"/>
    <col min="7952" max="7953" width="5" style="1" customWidth="1"/>
    <col min="7954" max="7955" width="3.75" style="1" customWidth="1"/>
    <col min="7956" max="7957" width="5" style="1" customWidth="1"/>
    <col min="7958" max="7959" width="3.75" style="1" customWidth="1"/>
    <col min="7960" max="7960" width="3.5" style="1" customWidth="1"/>
    <col min="7961" max="8191" width="9" style="1"/>
    <col min="8192" max="8192" width="5" style="1" customWidth="1"/>
    <col min="8193" max="8193" width="20.5" style="1" customWidth="1"/>
    <col min="8194" max="8194" width="2.375" style="1" customWidth="1"/>
    <col min="8195" max="8195" width="3.75" style="1" customWidth="1"/>
    <col min="8196" max="8197" width="5" style="1" customWidth="1"/>
    <col min="8198" max="8199" width="3.75" style="1" customWidth="1"/>
    <col min="8200" max="8201" width="5" style="1" customWidth="1"/>
    <col min="8202" max="8203" width="3.75" style="1" customWidth="1"/>
    <col min="8204" max="8205" width="5" style="1" customWidth="1"/>
    <col min="8206" max="8207" width="3.75" style="1" customWidth="1"/>
    <col min="8208" max="8209" width="5" style="1" customWidth="1"/>
    <col min="8210" max="8211" width="3.75" style="1" customWidth="1"/>
    <col min="8212" max="8213" width="5" style="1" customWidth="1"/>
    <col min="8214" max="8215" width="3.75" style="1" customWidth="1"/>
    <col min="8216" max="8216" width="3.5" style="1" customWidth="1"/>
    <col min="8217" max="8447" width="9" style="1"/>
    <col min="8448" max="8448" width="5" style="1" customWidth="1"/>
    <col min="8449" max="8449" width="20.5" style="1" customWidth="1"/>
    <col min="8450" max="8450" width="2.375" style="1" customWidth="1"/>
    <col min="8451" max="8451" width="3.75" style="1" customWidth="1"/>
    <col min="8452" max="8453" width="5" style="1" customWidth="1"/>
    <col min="8454" max="8455" width="3.75" style="1" customWidth="1"/>
    <col min="8456" max="8457" width="5" style="1" customWidth="1"/>
    <col min="8458" max="8459" width="3.75" style="1" customWidth="1"/>
    <col min="8460" max="8461" width="5" style="1" customWidth="1"/>
    <col min="8462" max="8463" width="3.75" style="1" customWidth="1"/>
    <col min="8464" max="8465" width="5" style="1" customWidth="1"/>
    <col min="8466" max="8467" width="3.75" style="1" customWidth="1"/>
    <col min="8468" max="8469" width="5" style="1" customWidth="1"/>
    <col min="8470" max="8471" width="3.75" style="1" customWidth="1"/>
    <col min="8472" max="8472" width="3.5" style="1" customWidth="1"/>
    <col min="8473" max="8703" width="9" style="1"/>
    <col min="8704" max="8704" width="5" style="1" customWidth="1"/>
    <col min="8705" max="8705" width="20.5" style="1" customWidth="1"/>
    <col min="8706" max="8706" width="2.375" style="1" customWidth="1"/>
    <col min="8707" max="8707" width="3.75" style="1" customWidth="1"/>
    <col min="8708" max="8709" width="5" style="1" customWidth="1"/>
    <col min="8710" max="8711" width="3.75" style="1" customWidth="1"/>
    <col min="8712" max="8713" width="5" style="1" customWidth="1"/>
    <col min="8714" max="8715" width="3.75" style="1" customWidth="1"/>
    <col min="8716" max="8717" width="5" style="1" customWidth="1"/>
    <col min="8718" max="8719" width="3.75" style="1" customWidth="1"/>
    <col min="8720" max="8721" width="5" style="1" customWidth="1"/>
    <col min="8722" max="8723" width="3.75" style="1" customWidth="1"/>
    <col min="8724" max="8725" width="5" style="1" customWidth="1"/>
    <col min="8726" max="8727" width="3.75" style="1" customWidth="1"/>
    <col min="8728" max="8728" width="3.5" style="1" customWidth="1"/>
    <col min="8729" max="8959" width="9" style="1"/>
    <col min="8960" max="8960" width="5" style="1" customWidth="1"/>
    <col min="8961" max="8961" width="20.5" style="1" customWidth="1"/>
    <col min="8962" max="8962" width="2.375" style="1" customWidth="1"/>
    <col min="8963" max="8963" width="3.75" style="1" customWidth="1"/>
    <col min="8964" max="8965" width="5" style="1" customWidth="1"/>
    <col min="8966" max="8967" width="3.75" style="1" customWidth="1"/>
    <col min="8968" max="8969" width="5" style="1" customWidth="1"/>
    <col min="8970" max="8971" width="3.75" style="1" customWidth="1"/>
    <col min="8972" max="8973" width="5" style="1" customWidth="1"/>
    <col min="8974" max="8975" width="3.75" style="1" customWidth="1"/>
    <col min="8976" max="8977" width="5" style="1" customWidth="1"/>
    <col min="8978" max="8979" width="3.75" style="1" customWidth="1"/>
    <col min="8980" max="8981" width="5" style="1" customWidth="1"/>
    <col min="8982" max="8983" width="3.75" style="1" customWidth="1"/>
    <col min="8984" max="8984" width="3.5" style="1" customWidth="1"/>
    <col min="8985" max="9215" width="9" style="1"/>
    <col min="9216" max="9216" width="5" style="1" customWidth="1"/>
    <col min="9217" max="9217" width="20.5" style="1" customWidth="1"/>
    <col min="9218" max="9218" width="2.375" style="1" customWidth="1"/>
    <col min="9219" max="9219" width="3.75" style="1" customWidth="1"/>
    <col min="9220" max="9221" width="5" style="1" customWidth="1"/>
    <col min="9222" max="9223" width="3.75" style="1" customWidth="1"/>
    <col min="9224" max="9225" width="5" style="1" customWidth="1"/>
    <col min="9226" max="9227" width="3.75" style="1" customWidth="1"/>
    <col min="9228" max="9229" width="5" style="1" customWidth="1"/>
    <col min="9230" max="9231" width="3.75" style="1" customWidth="1"/>
    <col min="9232" max="9233" width="5" style="1" customWidth="1"/>
    <col min="9234" max="9235" width="3.75" style="1" customWidth="1"/>
    <col min="9236" max="9237" width="5" style="1" customWidth="1"/>
    <col min="9238" max="9239" width="3.75" style="1" customWidth="1"/>
    <col min="9240" max="9240" width="3.5" style="1" customWidth="1"/>
    <col min="9241" max="9471" width="9" style="1"/>
    <col min="9472" max="9472" width="5" style="1" customWidth="1"/>
    <col min="9473" max="9473" width="20.5" style="1" customWidth="1"/>
    <col min="9474" max="9474" width="2.375" style="1" customWidth="1"/>
    <col min="9475" max="9475" width="3.75" style="1" customWidth="1"/>
    <col min="9476" max="9477" width="5" style="1" customWidth="1"/>
    <col min="9478" max="9479" width="3.75" style="1" customWidth="1"/>
    <col min="9480" max="9481" width="5" style="1" customWidth="1"/>
    <col min="9482" max="9483" width="3.75" style="1" customWidth="1"/>
    <col min="9484" max="9485" width="5" style="1" customWidth="1"/>
    <col min="9486" max="9487" width="3.75" style="1" customWidth="1"/>
    <col min="9488" max="9489" width="5" style="1" customWidth="1"/>
    <col min="9490" max="9491" width="3.75" style="1" customWidth="1"/>
    <col min="9492" max="9493" width="5" style="1" customWidth="1"/>
    <col min="9494" max="9495" width="3.75" style="1" customWidth="1"/>
    <col min="9496" max="9496" width="3.5" style="1" customWidth="1"/>
    <col min="9497" max="9727" width="9" style="1"/>
    <col min="9728" max="9728" width="5" style="1" customWidth="1"/>
    <col min="9729" max="9729" width="20.5" style="1" customWidth="1"/>
    <col min="9730" max="9730" width="2.375" style="1" customWidth="1"/>
    <col min="9731" max="9731" width="3.75" style="1" customWidth="1"/>
    <col min="9732" max="9733" width="5" style="1" customWidth="1"/>
    <col min="9734" max="9735" width="3.75" style="1" customWidth="1"/>
    <col min="9736" max="9737" width="5" style="1" customWidth="1"/>
    <col min="9738" max="9739" width="3.75" style="1" customWidth="1"/>
    <col min="9740" max="9741" width="5" style="1" customWidth="1"/>
    <col min="9742" max="9743" width="3.75" style="1" customWidth="1"/>
    <col min="9744" max="9745" width="5" style="1" customWidth="1"/>
    <col min="9746" max="9747" width="3.75" style="1" customWidth="1"/>
    <col min="9748" max="9749" width="5" style="1" customWidth="1"/>
    <col min="9750" max="9751" width="3.75" style="1" customWidth="1"/>
    <col min="9752" max="9752" width="3.5" style="1" customWidth="1"/>
    <col min="9753" max="9983" width="9" style="1"/>
    <col min="9984" max="9984" width="5" style="1" customWidth="1"/>
    <col min="9985" max="9985" width="20.5" style="1" customWidth="1"/>
    <col min="9986" max="9986" width="2.375" style="1" customWidth="1"/>
    <col min="9987" max="9987" width="3.75" style="1" customWidth="1"/>
    <col min="9988" max="9989" width="5" style="1" customWidth="1"/>
    <col min="9990" max="9991" width="3.75" style="1" customWidth="1"/>
    <col min="9992" max="9993" width="5" style="1" customWidth="1"/>
    <col min="9994" max="9995" width="3.75" style="1" customWidth="1"/>
    <col min="9996" max="9997" width="5" style="1" customWidth="1"/>
    <col min="9998" max="9999" width="3.75" style="1" customWidth="1"/>
    <col min="10000" max="10001" width="5" style="1" customWidth="1"/>
    <col min="10002" max="10003" width="3.75" style="1" customWidth="1"/>
    <col min="10004" max="10005" width="5" style="1" customWidth="1"/>
    <col min="10006" max="10007" width="3.75" style="1" customWidth="1"/>
    <col min="10008" max="10008" width="3.5" style="1" customWidth="1"/>
    <col min="10009" max="10239" width="9" style="1"/>
    <col min="10240" max="10240" width="5" style="1" customWidth="1"/>
    <col min="10241" max="10241" width="20.5" style="1" customWidth="1"/>
    <col min="10242" max="10242" width="2.375" style="1" customWidth="1"/>
    <col min="10243" max="10243" width="3.75" style="1" customWidth="1"/>
    <col min="10244" max="10245" width="5" style="1" customWidth="1"/>
    <col min="10246" max="10247" width="3.75" style="1" customWidth="1"/>
    <col min="10248" max="10249" width="5" style="1" customWidth="1"/>
    <col min="10250" max="10251" width="3.75" style="1" customWidth="1"/>
    <col min="10252" max="10253" width="5" style="1" customWidth="1"/>
    <col min="10254" max="10255" width="3.75" style="1" customWidth="1"/>
    <col min="10256" max="10257" width="5" style="1" customWidth="1"/>
    <col min="10258" max="10259" width="3.75" style="1" customWidth="1"/>
    <col min="10260" max="10261" width="5" style="1" customWidth="1"/>
    <col min="10262" max="10263" width="3.75" style="1" customWidth="1"/>
    <col min="10264" max="10264" width="3.5" style="1" customWidth="1"/>
    <col min="10265" max="10495" width="9" style="1"/>
    <col min="10496" max="10496" width="5" style="1" customWidth="1"/>
    <col min="10497" max="10497" width="20.5" style="1" customWidth="1"/>
    <col min="10498" max="10498" width="2.375" style="1" customWidth="1"/>
    <col min="10499" max="10499" width="3.75" style="1" customWidth="1"/>
    <col min="10500" max="10501" width="5" style="1" customWidth="1"/>
    <col min="10502" max="10503" width="3.75" style="1" customWidth="1"/>
    <col min="10504" max="10505" width="5" style="1" customWidth="1"/>
    <col min="10506" max="10507" width="3.75" style="1" customWidth="1"/>
    <col min="10508" max="10509" width="5" style="1" customWidth="1"/>
    <col min="10510" max="10511" width="3.75" style="1" customWidth="1"/>
    <col min="10512" max="10513" width="5" style="1" customWidth="1"/>
    <col min="10514" max="10515" width="3.75" style="1" customWidth="1"/>
    <col min="10516" max="10517" width="5" style="1" customWidth="1"/>
    <col min="10518" max="10519" width="3.75" style="1" customWidth="1"/>
    <col min="10520" max="10520" width="3.5" style="1" customWidth="1"/>
    <col min="10521" max="10751" width="9" style="1"/>
    <col min="10752" max="10752" width="5" style="1" customWidth="1"/>
    <col min="10753" max="10753" width="20.5" style="1" customWidth="1"/>
    <col min="10754" max="10754" width="2.375" style="1" customWidth="1"/>
    <col min="10755" max="10755" width="3.75" style="1" customWidth="1"/>
    <col min="10756" max="10757" width="5" style="1" customWidth="1"/>
    <col min="10758" max="10759" width="3.75" style="1" customWidth="1"/>
    <col min="10760" max="10761" width="5" style="1" customWidth="1"/>
    <col min="10762" max="10763" width="3.75" style="1" customWidth="1"/>
    <col min="10764" max="10765" width="5" style="1" customWidth="1"/>
    <col min="10766" max="10767" width="3.75" style="1" customWidth="1"/>
    <col min="10768" max="10769" width="5" style="1" customWidth="1"/>
    <col min="10770" max="10771" width="3.75" style="1" customWidth="1"/>
    <col min="10772" max="10773" width="5" style="1" customWidth="1"/>
    <col min="10774" max="10775" width="3.75" style="1" customWidth="1"/>
    <col min="10776" max="10776" width="3.5" style="1" customWidth="1"/>
    <col min="10777" max="11007" width="9" style="1"/>
    <col min="11008" max="11008" width="5" style="1" customWidth="1"/>
    <col min="11009" max="11009" width="20.5" style="1" customWidth="1"/>
    <col min="11010" max="11010" width="2.375" style="1" customWidth="1"/>
    <col min="11011" max="11011" width="3.75" style="1" customWidth="1"/>
    <col min="11012" max="11013" width="5" style="1" customWidth="1"/>
    <col min="11014" max="11015" width="3.75" style="1" customWidth="1"/>
    <col min="11016" max="11017" width="5" style="1" customWidth="1"/>
    <col min="11018" max="11019" width="3.75" style="1" customWidth="1"/>
    <col min="11020" max="11021" width="5" style="1" customWidth="1"/>
    <col min="11022" max="11023" width="3.75" style="1" customWidth="1"/>
    <col min="11024" max="11025" width="5" style="1" customWidth="1"/>
    <col min="11026" max="11027" width="3.75" style="1" customWidth="1"/>
    <col min="11028" max="11029" width="5" style="1" customWidth="1"/>
    <col min="11030" max="11031" width="3.75" style="1" customWidth="1"/>
    <col min="11032" max="11032" width="3.5" style="1" customWidth="1"/>
    <col min="11033" max="11263" width="9" style="1"/>
    <col min="11264" max="11264" width="5" style="1" customWidth="1"/>
    <col min="11265" max="11265" width="20.5" style="1" customWidth="1"/>
    <col min="11266" max="11266" width="2.375" style="1" customWidth="1"/>
    <col min="11267" max="11267" width="3.75" style="1" customWidth="1"/>
    <col min="11268" max="11269" width="5" style="1" customWidth="1"/>
    <col min="11270" max="11271" width="3.75" style="1" customWidth="1"/>
    <col min="11272" max="11273" width="5" style="1" customWidth="1"/>
    <col min="11274" max="11275" width="3.75" style="1" customWidth="1"/>
    <col min="11276" max="11277" width="5" style="1" customWidth="1"/>
    <col min="11278" max="11279" width="3.75" style="1" customWidth="1"/>
    <col min="11280" max="11281" width="5" style="1" customWidth="1"/>
    <col min="11282" max="11283" width="3.75" style="1" customWidth="1"/>
    <col min="11284" max="11285" width="5" style="1" customWidth="1"/>
    <col min="11286" max="11287" width="3.75" style="1" customWidth="1"/>
    <col min="11288" max="11288" width="3.5" style="1" customWidth="1"/>
    <col min="11289" max="11519" width="9" style="1"/>
    <col min="11520" max="11520" width="5" style="1" customWidth="1"/>
    <col min="11521" max="11521" width="20.5" style="1" customWidth="1"/>
    <col min="11522" max="11522" width="2.375" style="1" customWidth="1"/>
    <col min="11523" max="11523" width="3.75" style="1" customWidth="1"/>
    <col min="11524" max="11525" width="5" style="1" customWidth="1"/>
    <col min="11526" max="11527" width="3.75" style="1" customWidth="1"/>
    <col min="11528" max="11529" width="5" style="1" customWidth="1"/>
    <col min="11530" max="11531" width="3.75" style="1" customWidth="1"/>
    <col min="11532" max="11533" width="5" style="1" customWidth="1"/>
    <col min="11534" max="11535" width="3.75" style="1" customWidth="1"/>
    <col min="11536" max="11537" width="5" style="1" customWidth="1"/>
    <col min="11538" max="11539" width="3.75" style="1" customWidth="1"/>
    <col min="11540" max="11541" width="5" style="1" customWidth="1"/>
    <col min="11542" max="11543" width="3.75" style="1" customWidth="1"/>
    <col min="11544" max="11544" width="3.5" style="1" customWidth="1"/>
    <col min="11545" max="11775" width="9" style="1"/>
    <col min="11776" max="11776" width="5" style="1" customWidth="1"/>
    <col min="11777" max="11777" width="20.5" style="1" customWidth="1"/>
    <col min="11778" max="11778" width="2.375" style="1" customWidth="1"/>
    <col min="11779" max="11779" width="3.75" style="1" customWidth="1"/>
    <col min="11780" max="11781" width="5" style="1" customWidth="1"/>
    <col min="11782" max="11783" width="3.75" style="1" customWidth="1"/>
    <col min="11784" max="11785" width="5" style="1" customWidth="1"/>
    <col min="11786" max="11787" width="3.75" style="1" customWidth="1"/>
    <col min="11788" max="11789" width="5" style="1" customWidth="1"/>
    <col min="11790" max="11791" width="3.75" style="1" customWidth="1"/>
    <col min="11792" max="11793" width="5" style="1" customWidth="1"/>
    <col min="11794" max="11795" width="3.75" style="1" customWidth="1"/>
    <col min="11796" max="11797" width="5" style="1" customWidth="1"/>
    <col min="11798" max="11799" width="3.75" style="1" customWidth="1"/>
    <col min="11800" max="11800" width="3.5" style="1" customWidth="1"/>
    <col min="11801" max="12031" width="9" style="1"/>
    <col min="12032" max="12032" width="5" style="1" customWidth="1"/>
    <col min="12033" max="12033" width="20.5" style="1" customWidth="1"/>
    <col min="12034" max="12034" width="2.375" style="1" customWidth="1"/>
    <col min="12035" max="12035" width="3.75" style="1" customWidth="1"/>
    <col min="12036" max="12037" width="5" style="1" customWidth="1"/>
    <col min="12038" max="12039" width="3.75" style="1" customWidth="1"/>
    <col min="12040" max="12041" width="5" style="1" customWidth="1"/>
    <col min="12042" max="12043" width="3.75" style="1" customWidth="1"/>
    <col min="12044" max="12045" width="5" style="1" customWidth="1"/>
    <col min="12046" max="12047" width="3.75" style="1" customWidth="1"/>
    <col min="12048" max="12049" width="5" style="1" customWidth="1"/>
    <col min="12050" max="12051" width="3.75" style="1" customWidth="1"/>
    <col min="12052" max="12053" width="5" style="1" customWidth="1"/>
    <col min="12054" max="12055" width="3.75" style="1" customWidth="1"/>
    <col min="12056" max="12056" width="3.5" style="1" customWidth="1"/>
    <col min="12057" max="12287" width="9" style="1"/>
    <col min="12288" max="12288" width="5" style="1" customWidth="1"/>
    <col min="12289" max="12289" width="20.5" style="1" customWidth="1"/>
    <col min="12290" max="12290" width="2.375" style="1" customWidth="1"/>
    <col min="12291" max="12291" width="3.75" style="1" customWidth="1"/>
    <col min="12292" max="12293" width="5" style="1" customWidth="1"/>
    <col min="12294" max="12295" width="3.75" style="1" customWidth="1"/>
    <col min="12296" max="12297" width="5" style="1" customWidth="1"/>
    <col min="12298" max="12299" width="3.75" style="1" customWidth="1"/>
    <col min="12300" max="12301" width="5" style="1" customWidth="1"/>
    <col min="12302" max="12303" width="3.75" style="1" customWidth="1"/>
    <col min="12304" max="12305" width="5" style="1" customWidth="1"/>
    <col min="12306" max="12307" width="3.75" style="1" customWidth="1"/>
    <col min="12308" max="12309" width="5" style="1" customWidth="1"/>
    <col min="12310" max="12311" width="3.75" style="1" customWidth="1"/>
    <col min="12312" max="12312" width="3.5" style="1" customWidth="1"/>
    <col min="12313" max="12543" width="9" style="1"/>
    <col min="12544" max="12544" width="5" style="1" customWidth="1"/>
    <col min="12545" max="12545" width="20.5" style="1" customWidth="1"/>
    <col min="12546" max="12546" width="2.375" style="1" customWidth="1"/>
    <col min="12547" max="12547" width="3.75" style="1" customWidth="1"/>
    <col min="12548" max="12549" width="5" style="1" customWidth="1"/>
    <col min="12550" max="12551" width="3.75" style="1" customWidth="1"/>
    <col min="12552" max="12553" width="5" style="1" customWidth="1"/>
    <col min="12554" max="12555" width="3.75" style="1" customWidth="1"/>
    <col min="12556" max="12557" width="5" style="1" customWidth="1"/>
    <col min="12558" max="12559" width="3.75" style="1" customWidth="1"/>
    <col min="12560" max="12561" width="5" style="1" customWidth="1"/>
    <col min="12562" max="12563" width="3.75" style="1" customWidth="1"/>
    <col min="12564" max="12565" width="5" style="1" customWidth="1"/>
    <col min="12566" max="12567" width="3.75" style="1" customWidth="1"/>
    <col min="12568" max="12568" width="3.5" style="1" customWidth="1"/>
    <col min="12569" max="12799" width="9" style="1"/>
    <col min="12800" max="12800" width="5" style="1" customWidth="1"/>
    <col min="12801" max="12801" width="20.5" style="1" customWidth="1"/>
    <col min="12802" max="12802" width="2.375" style="1" customWidth="1"/>
    <col min="12803" max="12803" width="3.75" style="1" customWidth="1"/>
    <col min="12804" max="12805" width="5" style="1" customWidth="1"/>
    <col min="12806" max="12807" width="3.75" style="1" customWidth="1"/>
    <col min="12808" max="12809" width="5" style="1" customWidth="1"/>
    <col min="12810" max="12811" width="3.75" style="1" customWidth="1"/>
    <col min="12812" max="12813" width="5" style="1" customWidth="1"/>
    <col min="12814" max="12815" width="3.75" style="1" customWidth="1"/>
    <col min="12816" max="12817" width="5" style="1" customWidth="1"/>
    <col min="12818" max="12819" width="3.75" style="1" customWidth="1"/>
    <col min="12820" max="12821" width="5" style="1" customWidth="1"/>
    <col min="12822" max="12823" width="3.75" style="1" customWidth="1"/>
    <col min="12824" max="12824" width="3.5" style="1" customWidth="1"/>
    <col min="12825" max="13055" width="9" style="1"/>
    <col min="13056" max="13056" width="5" style="1" customWidth="1"/>
    <col min="13057" max="13057" width="20.5" style="1" customWidth="1"/>
    <col min="13058" max="13058" width="2.375" style="1" customWidth="1"/>
    <col min="13059" max="13059" width="3.75" style="1" customWidth="1"/>
    <col min="13060" max="13061" width="5" style="1" customWidth="1"/>
    <col min="13062" max="13063" width="3.75" style="1" customWidth="1"/>
    <col min="13064" max="13065" width="5" style="1" customWidth="1"/>
    <col min="13066" max="13067" width="3.75" style="1" customWidth="1"/>
    <col min="13068" max="13069" width="5" style="1" customWidth="1"/>
    <col min="13070" max="13071" width="3.75" style="1" customWidth="1"/>
    <col min="13072" max="13073" width="5" style="1" customWidth="1"/>
    <col min="13074" max="13075" width="3.75" style="1" customWidth="1"/>
    <col min="13076" max="13077" width="5" style="1" customWidth="1"/>
    <col min="13078" max="13079" width="3.75" style="1" customWidth="1"/>
    <col min="13080" max="13080" width="3.5" style="1" customWidth="1"/>
    <col min="13081" max="13311" width="9" style="1"/>
    <col min="13312" max="13312" width="5" style="1" customWidth="1"/>
    <col min="13313" max="13313" width="20.5" style="1" customWidth="1"/>
    <col min="13314" max="13314" width="2.375" style="1" customWidth="1"/>
    <col min="13315" max="13315" width="3.75" style="1" customWidth="1"/>
    <col min="13316" max="13317" width="5" style="1" customWidth="1"/>
    <col min="13318" max="13319" width="3.75" style="1" customWidth="1"/>
    <col min="13320" max="13321" width="5" style="1" customWidth="1"/>
    <col min="13322" max="13323" width="3.75" style="1" customWidth="1"/>
    <col min="13324" max="13325" width="5" style="1" customWidth="1"/>
    <col min="13326" max="13327" width="3.75" style="1" customWidth="1"/>
    <col min="13328" max="13329" width="5" style="1" customWidth="1"/>
    <col min="13330" max="13331" width="3.75" style="1" customWidth="1"/>
    <col min="13332" max="13333" width="5" style="1" customWidth="1"/>
    <col min="13334" max="13335" width="3.75" style="1" customWidth="1"/>
    <col min="13336" max="13336" width="3.5" style="1" customWidth="1"/>
    <col min="13337" max="13567" width="9" style="1"/>
    <col min="13568" max="13568" width="5" style="1" customWidth="1"/>
    <col min="13569" max="13569" width="20.5" style="1" customWidth="1"/>
    <col min="13570" max="13570" width="2.375" style="1" customWidth="1"/>
    <col min="13571" max="13571" width="3.75" style="1" customWidth="1"/>
    <col min="13572" max="13573" width="5" style="1" customWidth="1"/>
    <col min="13574" max="13575" width="3.75" style="1" customWidth="1"/>
    <col min="13576" max="13577" width="5" style="1" customWidth="1"/>
    <col min="13578" max="13579" width="3.75" style="1" customWidth="1"/>
    <col min="13580" max="13581" width="5" style="1" customWidth="1"/>
    <col min="13582" max="13583" width="3.75" style="1" customWidth="1"/>
    <col min="13584" max="13585" width="5" style="1" customWidth="1"/>
    <col min="13586" max="13587" width="3.75" style="1" customWidth="1"/>
    <col min="13588" max="13589" width="5" style="1" customWidth="1"/>
    <col min="13590" max="13591" width="3.75" style="1" customWidth="1"/>
    <col min="13592" max="13592" width="3.5" style="1" customWidth="1"/>
    <col min="13593" max="13823" width="9" style="1"/>
    <col min="13824" max="13824" width="5" style="1" customWidth="1"/>
    <col min="13825" max="13825" width="20.5" style="1" customWidth="1"/>
    <col min="13826" max="13826" width="2.375" style="1" customWidth="1"/>
    <col min="13827" max="13827" width="3.75" style="1" customWidth="1"/>
    <col min="13828" max="13829" width="5" style="1" customWidth="1"/>
    <col min="13830" max="13831" width="3.75" style="1" customWidth="1"/>
    <col min="13832" max="13833" width="5" style="1" customWidth="1"/>
    <col min="13834" max="13835" width="3.75" style="1" customWidth="1"/>
    <col min="13836" max="13837" width="5" style="1" customWidth="1"/>
    <col min="13838" max="13839" width="3.75" style="1" customWidth="1"/>
    <col min="13840" max="13841" width="5" style="1" customWidth="1"/>
    <col min="13842" max="13843" width="3.75" style="1" customWidth="1"/>
    <col min="13844" max="13845" width="5" style="1" customWidth="1"/>
    <col min="13846" max="13847" width="3.75" style="1" customWidth="1"/>
    <col min="13848" max="13848" width="3.5" style="1" customWidth="1"/>
    <col min="13849" max="14079" width="9" style="1"/>
    <col min="14080" max="14080" width="5" style="1" customWidth="1"/>
    <col min="14081" max="14081" width="20.5" style="1" customWidth="1"/>
    <col min="14082" max="14082" width="2.375" style="1" customWidth="1"/>
    <col min="14083" max="14083" width="3.75" style="1" customWidth="1"/>
    <col min="14084" max="14085" width="5" style="1" customWidth="1"/>
    <col min="14086" max="14087" width="3.75" style="1" customWidth="1"/>
    <col min="14088" max="14089" width="5" style="1" customWidth="1"/>
    <col min="14090" max="14091" width="3.75" style="1" customWidth="1"/>
    <col min="14092" max="14093" width="5" style="1" customWidth="1"/>
    <col min="14094" max="14095" width="3.75" style="1" customWidth="1"/>
    <col min="14096" max="14097" width="5" style="1" customWidth="1"/>
    <col min="14098" max="14099" width="3.75" style="1" customWidth="1"/>
    <col min="14100" max="14101" width="5" style="1" customWidth="1"/>
    <col min="14102" max="14103" width="3.75" style="1" customWidth="1"/>
    <col min="14104" max="14104" width="3.5" style="1" customWidth="1"/>
    <col min="14105" max="14335" width="9" style="1"/>
    <col min="14336" max="14336" width="5" style="1" customWidth="1"/>
    <col min="14337" max="14337" width="20.5" style="1" customWidth="1"/>
    <col min="14338" max="14338" width="2.375" style="1" customWidth="1"/>
    <col min="14339" max="14339" width="3.75" style="1" customWidth="1"/>
    <col min="14340" max="14341" width="5" style="1" customWidth="1"/>
    <col min="14342" max="14343" width="3.75" style="1" customWidth="1"/>
    <col min="14344" max="14345" width="5" style="1" customWidth="1"/>
    <col min="14346" max="14347" width="3.75" style="1" customWidth="1"/>
    <col min="14348" max="14349" width="5" style="1" customWidth="1"/>
    <col min="14350" max="14351" width="3.75" style="1" customWidth="1"/>
    <col min="14352" max="14353" width="5" style="1" customWidth="1"/>
    <col min="14354" max="14355" width="3.75" style="1" customWidth="1"/>
    <col min="14356" max="14357" width="5" style="1" customWidth="1"/>
    <col min="14358" max="14359" width="3.75" style="1" customWidth="1"/>
    <col min="14360" max="14360" width="3.5" style="1" customWidth="1"/>
    <col min="14361" max="14591" width="9" style="1"/>
    <col min="14592" max="14592" width="5" style="1" customWidth="1"/>
    <col min="14593" max="14593" width="20.5" style="1" customWidth="1"/>
    <col min="14594" max="14594" width="2.375" style="1" customWidth="1"/>
    <col min="14595" max="14595" width="3.75" style="1" customWidth="1"/>
    <col min="14596" max="14597" width="5" style="1" customWidth="1"/>
    <col min="14598" max="14599" width="3.75" style="1" customWidth="1"/>
    <col min="14600" max="14601" width="5" style="1" customWidth="1"/>
    <col min="14602" max="14603" width="3.75" style="1" customWidth="1"/>
    <col min="14604" max="14605" width="5" style="1" customWidth="1"/>
    <col min="14606" max="14607" width="3.75" style="1" customWidth="1"/>
    <col min="14608" max="14609" width="5" style="1" customWidth="1"/>
    <col min="14610" max="14611" width="3.75" style="1" customWidth="1"/>
    <col min="14612" max="14613" width="5" style="1" customWidth="1"/>
    <col min="14614" max="14615" width="3.75" style="1" customWidth="1"/>
    <col min="14616" max="14616" width="3.5" style="1" customWidth="1"/>
    <col min="14617" max="14847" width="9" style="1"/>
    <col min="14848" max="14848" width="5" style="1" customWidth="1"/>
    <col min="14849" max="14849" width="20.5" style="1" customWidth="1"/>
    <col min="14850" max="14850" width="2.375" style="1" customWidth="1"/>
    <col min="14851" max="14851" width="3.75" style="1" customWidth="1"/>
    <col min="14852" max="14853" width="5" style="1" customWidth="1"/>
    <col min="14854" max="14855" width="3.75" style="1" customWidth="1"/>
    <col min="14856" max="14857" width="5" style="1" customWidth="1"/>
    <col min="14858" max="14859" width="3.75" style="1" customWidth="1"/>
    <col min="14860" max="14861" width="5" style="1" customWidth="1"/>
    <col min="14862" max="14863" width="3.75" style="1" customWidth="1"/>
    <col min="14864" max="14865" width="5" style="1" customWidth="1"/>
    <col min="14866" max="14867" width="3.75" style="1" customWidth="1"/>
    <col min="14868" max="14869" width="5" style="1" customWidth="1"/>
    <col min="14870" max="14871" width="3.75" style="1" customWidth="1"/>
    <col min="14872" max="14872" width="3.5" style="1" customWidth="1"/>
    <col min="14873" max="15103" width="9" style="1"/>
    <col min="15104" max="15104" width="5" style="1" customWidth="1"/>
    <col min="15105" max="15105" width="20.5" style="1" customWidth="1"/>
    <col min="15106" max="15106" width="2.375" style="1" customWidth="1"/>
    <col min="15107" max="15107" width="3.75" style="1" customWidth="1"/>
    <col min="15108" max="15109" width="5" style="1" customWidth="1"/>
    <col min="15110" max="15111" width="3.75" style="1" customWidth="1"/>
    <col min="15112" max="15113" width="5" style="1" customWidth="1"/>
    <col min="15114" max="15115" width="3.75" style="1" customWidth="1"/>
    <col min="15116" max="15117" width="5" style="1" customWidth="1"/>
    <col min="15118" max="15119" width="3.75" style="1" customWidth="1"/>
    <col min="15120" max="15121" width="5" style="1" customWidth="1"/>
    <col min="15122" max="15123" width="3.75" style="1" customWidth="1"/>
    <col min="15124" max="15125" width="5" style="1" customWidth="1"/>
    <col min="15126" max="15127" width="3.75" style="1" customWidth="1"/>
    <col min="15128" max="15128" width="3.5" style="1" customWidth="1"/>
    <col min="15129" max="15359" width="9" style="1"/>
    <col min="15360" max="15360" width="5" style="1" customWidth="1"/>
    <col min="15361" max="15361" width="20.5" style="1" customWidth="1"/>
    <col min="15362" max="15362" width="2.375" style="1" customWidth="1"/>
    <col min="15363" max="15363" width="3.75" style="1" customWidth="1"/>
    <col min="15364" max="15365" width="5" style="1" customWidth="1"/>
    <col min="15366" max="15367" width="3.75" style="1" customWidth="1"/>
    <col min="15368" max="15369" width="5" style="1" customWidth="1"/>
    <col min="15370" max="15371" width="3.75" style="1" customWidth="1"/>
    <col min="15372" max="15373" width="5" style="1" customWidth="1"/>
    <col min="15374" max="15375" width="3.75" style="1" customWidth="1"/>
    <col min="15376" max="15377" width="5" style="1" customWidth="1"/>
    <col min="15378" max="15379" width="3.75" style="1" customWidth="1"/>
    <col min="15380" max="15381" width="5" style="1" customWidth="1"/>
    <col min="15382" max="15383" width="3.75" style="1" customWidth="1"/>
    <col min="15384" max="15384" width="3.5" style="1" customWidth="1"/>
    <col min="15385" max="15615" width="9" style="1"/>
    <col min="15616" max="15616" width="5" style="1" customWidth="1"/>
    <col min="15617" max="15617" width="20.5" style="1" customWidth="1"/>
    <col min="15618" max="15618" width="2.375" style="1" customWidth="1"/>
    <col min="15619" max="15619" width="3.75" style="1" customWidth="1"/>
    <col min="15620" max="15621" width="5" style="1" customWidth="1"/>
    <col min="15622" max="15623" width="3.75" style="1" customWidth="1"/>
    <col min="15624" max="15625" width="5" style="1" customWidth="1"/>
    <col min="15626" max="15627" width="3.75" style="1" customWidth="1"/>
    <col min="15628" max="15629" width="5" style="1" customWidth="1"/>
    <col min="15630" max="15631" width="3.75" style="1" customWidth="1"/>
    <col min="15632" max="15633" width="5" style="1" customWidth="1"/>
    <col min="15634" max="15635" width="3.75" style="1" customWidth="1"/>
    <col min="15636" max="15637" width="5" style="1" customWidth="1"/>
    <col min="15638" max="15639" width="3.75" style="1" customWidth="1"/>
    <col min="15640" max="15640" width="3.5" style="1" customWidth="1"/>
    <col min="15641" max="15871" width="9" style="1"/>
    <col min="15872" max="15872" width="5" style="1" customWidth="1"/>
    <col min="15873" max="15873" width="20.5" style="1" customWidth="1"/>
    <col min="15874" max="15874" width="2.375" style="1" customWidth="1"/>
    <col min="15875" max="15875" width="3.75" style="1" customWidth="1"/>
    <col min="15876" max="15877" width="5" style="1" customWidth="1"/>
    <col min="15878" max="15879" width="3.75" style="1" customWidth="1"/>
    <col min="15880" max="15881" width="5" style="1" customWidth="1"/>
    <col min="15882" max="15883" width="3.75" style="1" customWidth="1"/>
    <col min="15884" max="15885" width="5" style="1" customWidth="1"/>
    <col min="15886" max="15887" width="3.75" style="1" customWidth="1"/>
    <col min="15888" max="15889" width="5" style="1" customWidth="1"/>
    <col min="15890" max="15891" width="3.75" style="1" customWidth="1"/>
    <col min="15892" max="15893" width="5" style="1" customWidth="1"/>
    <col min="15894" max="15895" width="3.75" style="1" customWidth="1"/>
    <col min="15896" max="15896" width="3.5" style="1" customWidth="1"/>
    <col min="15897" max="16127" width="9" style="1"/>
    <col min="16128" max="16128" width="5" style="1" customWidth="1"/>
    <col min="16129" max="16129" width="20.5" style="1" customWidth="1"/>
    <col min="16130" max="16130" width="2.375" style="1" customWidth="1"/>
    <col min="16131" max="16131" width="3.75" style="1" customWidth="1"/>
    <col min="16132" max="16133" width="5" style="1" customWidth="1"/>
    <col min="16134" max="16135" width="3.75" style="1" customWidth="1"/>
    <col min="16136" max="16137" width="5" style="1" customWidth="1"/>
    <col min="16138" max="16139" width="3.75" style="1" customWidth="1"/>
    <col min="16140" max="16141" width="5" style="1" customWidth="1"/>
    <col min="16142" max="16143" width="3.75" style="1" customWidth="1"/>
    <col min="16144" max="16145" width="5" style="1" customWidth="1"/>
    <col min="16146" max="16147" width="3.75" style="1" customWidth="1"/>
    <col min="16148" max="16149" width="5" style="1" customWidth="1"/>
    <col min="16150" max="16151" width="3.75" style="1" customWidth="1"/>
    <col min="16152" max="16152" width="3.5" style="1" customWidth="1"/>
    <col min="16153" max="16383" width="9" style="1"/>
    <col min="16384" max="16384" width="9" style="1" customWidth="1"/>
  </cols>
  <sheetData>
    <row r="1" spans="1:29" x14ac:dyDescent="0.2">
      <c r="A1" s="2" t="s">
        <v>0</v>
      </c>
      <c r="K1" s="127" t="s">
        <v>23</v>
      </c>
      <c r="L1" s="127"/>
      <c r="M1" s="127"/>
    </row>
    <row r="2" spans="1:29" x14ac:dyDescent="0.2">
      <c r="A2" s="2" t="s">
        <v>18</v>
      </c>
      <c r="K2" s="127"/>
      <c r="L2" s="127"/>
      <c r="M2" s="127"/>
      <c r="U2" s="128" t="str">
        <f ca="1">Y2</f>
        <v>PE1</v>
      </c>
      <c r="V2" s="128"/>
      <c r="W2" s="128"/>
      <c r="Y2" s="5" t="str">
        <f ca="1">MID(CELL("filename",A1),FIND("]",CELL("filename",A1))+1,256)</f>
        <v>PE1</v>
      </c>
    </row>
    <row r="3" spans="1:29" x14ac:dyDescent="0.2">
      <c r="A3" s="2" t="s">
        <v>1</v>
      </c>
      <c r="U3" s="128"/>
      <c r="V3" s="128"/>
      <c r="W3" s="128"/>
    </row>
    <row r="4" spans="1:29" x14ac:dyDescent="0.2">
      <c r="A4" s="8" t="s">
        <v>19</v>
      </c>
      <c r="I4" s="127" t="s">
        <v>3</v>
      </c>
      <c r="J4" s="127"/>
      <c r="K4" s="127"/>
      <c r="L4" s="127"/>
      <c r="M4" s="127"/>
      <c r="N4" s="127"/>
      <c r="O4" s="127"/>
      <c r="U4" s="128"/>
      <c r="V4" s="128"/>
      <c r="W4" s="128"/>
    </row>
    <row r="5" spans="1:29" x14ac:dyDescent="0.2">
      <c r="A5" s="9" t="s">
        <v>21</v>
      </c>
      <c r="B5" s="2" t="s">
        <v>26</v>
      </c>
      <c r="C5" s="2"/>
      <c r="I5" s="127"/>
      <c r="J5" s="127"/>
      <c r="K5" s="127"/>
      <c r="L5" s="127"/>
      <c r="M5" s="127"/>
      <c r="N5" s="127"/>
      <c r="O5" s="127"/>
    </row>
    <row r="6" spans="1:29" ht="13.5" thickBot="1" x14ac:dyDescent="0.25"/>
    <row r="7" spans="1:29" ht="15.95" customHeight="1" thickTop="1" thickBot="1" x14ac:dyDescent="0.25">
      <c r="A7" s="129" t="s">
        <v>4</v>
      </c>
      <c r="B7" s="130"/>
      <c r="C7" s="130"/>
      <c r="D7" s="131" t="s">
        <v>311</v>
      </c>
      <c r="E7" s="132"/>
      <c r="F7" s="133"/>
      <c r="G7" s="134"/>
      <c r="H7" s="131" t="s">
        <v>312</v>
      </c>
      <c r="I7" s="132"/>
      <c r="J7" s="133"/>
      <c r="K7" s="134"/>
      <c r="L7" s="131" t="s">
        <v>318</v>
      </c>
      <c r="M7" s="132"/>
      <c r="N7" s="133"/>
      <c r="O7" s="134"/>
      <c r="P7" s="131" t="s">
        <v>315</v>
      </c>
      <c r="Q7" s="132"/>
      <c r="R7" s="133"/>
      <c r="S7" s="134"/>
      <c r="T7" s="131"/>
      <c r="U7" s="132"/>
      <c r="V7" s="133"/>
      <c r="W7" s="134"/>
      <c r="X7" s="131"/>
      <c r="Y7" s="132"/>
      <c r="Z7" s="133"/>
      <c r="AA7" s="134"/>
    </row>
    <row r="8" spans="1:29" ht="15" customHeight="1" thickTop="1" x14ac:dyDescent="0.2">
      <c r="A8" s="135" t="s">
        <v>5</v>
      </c>
      <c r="B8" s="136" t="s">
        <v>6</v>
      </c>
      <c r="C8" s="142" t="s">
        <v>25</v>
      </c>
      <c r="D8" s="138" t="s">
        <v>7</v>
      </c>
      <c r="E8" s="139"/>
      <c r="F8" s="140"/>
      <c r="G8" s="141"/>
      <c r="H8" s="138" t="s">
        <v>8</v>
      </c>
      <c r="I8" s="139"/>
      <c r="J8" s="140"/>
      <c r="K8" s="141"/>
      <c r="L8" s="144" t="s">
        <v>9</v>
      </c>
      <c r="M8" s="145"/>
      <c r="N8" s="145"/>
      <c r="O8" s="146"/>
      <c r="P8" s="144" t="s">
        <v>10</v>
      </c>
      <c r="Q8" s="145"/>
      <c r="R8" s="145"/>
      <c r="S8" s="146"/>
      <c r="T8" s="138" t="s">
        <v>11</v>
      </c>
      <c r="U8" s="139"/>
      <c r="V8" s="140"/>
      <c r="W8" s="141"/>
      <c r="X8" s="138" t="s">
        <v>24</v>
      </c>
      <c r="Y8" s="139"/>
      <c r="Z8" s="140"/>
      <c r="AA8" s="141"/>
    </row>
    <row r="9" spans="1:29" s="3" customFormat="1" ht="67.5" customHeight="1" thickBot="1" x14ac:dyDescent="0.3">
      <c r="A9" s="135"/>
      <c r="B9" s="137"/>
      <c r="C9" s="143"/>
      <c r="D9" s="10" t="s">
        <v>12</v>
      </c>
      <c r="E9" s="11" t="s">
        <v>13</v>
      </c>
      <c r="F9" s="12" t="s">
        <v>14</v>
      </c>
      <c r="G9" s="13" t="s">
        <v>15</v>
      </c>
      <c r="H9" s="10" t="s">
        <v>12</v>
      </c>
      <c r="I9" s="11" t="s">
        <v>13</v>
      </c>
      <c r="J9" s="12" t="s">
        <v>14</v>
      </c>
      <c r="K9" s="13" t="s">
        <v>15</v>
      </c>
      <c r="L9" s="10" t="s">
        <v>12</v>
      </c>
      <c r="M9" s="11" t="s">
        <v>13</v>
      </c>
      <c r="N9" s="12" t="s">
        <v>14</v>
      </c>
      <c r="O9" s="13" t="s">
        <v>15</v>
      </c>
      <c r="P9" s="10" t="s">
        <v>12</v>
      </c>
      <c r="Q9" s="11" t="s">
        <v>13</v>
      </c>
      <c r="R9" s="12" t="s">
        <v>14</v>
      </c>
      <c r="S9" s="13" t="s">
        <v>15</v>
      </c>
      <c r="T9" s="10" t="s">
        <v>12</v>
      </c>
      <c r="U9" s="11" t="s">
        <v>13</v>
      </c>
      <c r="V9" s="12" t="s">
        <v>14</v>
      </c>
      <c r="W9" s="13" t="s">
        <v>15</v>
      </c>
      <c r="X9" s="10" t="s">
        <v>12</v>
      </c>
      <c r="Y9" s="11" t="s">
        <v>13</v>
      </c>
      <c r="Z9" s="12" t="s">
        <v>14</v>
      </c>
      <c r="AA9" s="13" t="s">
        <v>15</v>
      </c>
      <c r="AC9" s="152" t="s">
        <v>319</v>
      </c>
    </row>
    <row r="10" spans="1:29" ht="18" customHeight="1" thickTop="1" x14ac:dyDescent="0.25">
      <c r="A10" s="46" t="s">
        <v>227</v>
      </c>
      <c r="B10" s="47" t="s">
        <v>292</v>
      </c>
      <c r="C10" s="48"/>
      <c r="D10" s="49" t="s">
        <v>242</v>
      </c>
      <c r="E10" s="50">
        <v>1.5</v>
      </c>
      <c r="F10" s="51"/>
      <c r="G10" s="51"/>
      <c r="H10" s="49" t="s">
        <v>242</v>
      </c>
      <c r="I10" s="50">
        <v>1</v>
      </c>
      <c r="J10" s="51"/>
      <c r="K10" s="51"/>
      <c r="L10" s="49" t="s">
        <v>242</v>
      </c>
      <c r="M10" s="50">
        <v>1.5</v>
      </c>
      <c r="N10" s="52"/>
      <c r="O10" s="51"/>
      <c r="P10" s="49" t="s">
        <v>242</v>
      </c>
      <c r="Q10" s="50">
        <v>1.5</v>
      </c>
      <c r="R10" s="52"/>
      <c r="S10" s="51"/>
      <c r="T10" s="49" t="s">
        <v>242</v>
      </c>
      <c r="U10" s="50">
        <v>4.5</v>
      </c>
      <c r="V10" s="52"/>
      <c r="W10" s="51"/>
      <c r="X10" s="49" t="s">
        <v>242</v>
      </c>
      <c r="Y10" s="50">
        <v>6</v>
      </c>
      <c r="Z10" s="52"/>
      <c r="AA10" s="51"/>
      <c r="AC10" s="153">
        <f>(E10+I10+M10+Q10+U10+Y10)/2</f>
        <v>8</v>
      </c>
    </row>
    <row r="11" spans="1:29" s="3" customFormat="1" ht="18" customHeight="1" x14ac:dyDescent="0.25">
      <c r="A11" s="53" t="s">
        <v>228</v>
      </c>
      <c r="B11" s="54" t="s">
        <v>293</v>
      </c>
      <c r="C11" s="55"/>
      <c r="D11" s="29" t="s">
        <v>242</v>
      </c>
      <c r="E11" s="30">
        <v>1.5</v>
      </c>
      <c r="F11" s="33"/>
      <c r="G11" s="31"/>
      <c r="H11" s="29" t="s">
        <v>242</v>
      </c>
      <c r="I11" s="30">
        <v>1.5</v>
      </c>
      <c r="J11" s="33"/>
      <c r="K11" s="33"/>
      <c r="L11" s="29" t="s">
        <v>242</v>
      </c>
      <c r="M11" s="30">
        <v>1.5</v>
      </c>
      <c r="N11" s="32"/>
      <c r="O11" s="33"/>
      <c r="P11" s="29" t="s">
        <v>242</v>
      </c>
      <c r="Q11" s="30">
        <v>2</v>
      </c>
      <c r="R11" s="32"/>
      <c r="S11" s="33"/>
      <c r="T11" s="29" t="s">
        <v>242</v>
      </c>
      <c r="U11" s="30">
        <v>4.5</v>
      </c>
      <c r="V11" s="32"/>
      <c r="W11" s="33"/>
      <c r="X11" s="29" t="s">
        <v>242</v>
      </c>
      <c r="Y11" s="30">
        <v>6</v>
      </c>
      <c r="Z11" s="32"/>
      <c r="AA11" s="33"/>
      <c r="AC11" s="153">
        <f t="shared" ref="AC11:AC25" si="0">(E11+I11+M11+Q11+U11+Y11)/2</f>
        <v>8.5</v>
      </c>
    </row>
    <row r="12" spans="1:29" ht="18" customHeight="1" x14ac:dyDescent="0.25">
      <c r="A12" s="96" t="s">
        <v>229</v>
      </c>
      <c r="B12" s="97" t="s">
        <v>294</v>
      </c>
      <c r="C12" s="98"/>
      <c r="D12" s="88"/>
      <c r="E12" s="89"/>
      <c r="F12" s="99"/>
      <c r="G12" s="99"/>
      <c r="H12" s="88"/>
      <c r="I12" s="89"/>
      <c r="J12" s="99"/>
      <c r="K12" s="99"/>
      <c r="L12" s="88"/>
      <c r="M12" s="89"/>
      <c r="N12" s="100"/>
      <c r="O12" s="99"/>
      <c r="P12" s="88"/>
      <c r="Q12" s="89"/>
      <c r="R12" s="100"/>
      <c r="S12" s="99"/>
      <c r="T12" s="88"/>
      <c r="U12" s="89"/>
      <c r="V12" s="100"/>
      <c r="W12" s="99"/>
      <c r="X12" s="88"/>
      <c r="Y12" s="89"/>
      <c r="Z12" s="100"/>
      <c r="AA12" s="99"/>
      <c r="AC12" s="154"/>
    </row>
    <row r="13" spans="1:29" ht="18" customHeight="1" x14ac:dyDescent="0.25">
      <c r="A13" s="46" t="s">
        <v>230</v>
      </c>
      <c r="B13" s="54" t="s">
        <v>295</v>
      </c>
      <c r="C13" s="55"/>
      <c r="D13" s="29" t="s">
        <v>242</v>
      </c>
      <c r="E13" s="30">
        <v>1.5</v>
      </c>
      <c r="F13" s="33"/>
      <c r="G13" s="33"/>
      <c r="H13" s="29" t="s">
        <v>242</v>
      </c>
      <c r="I13" s="30">
        <v>1.5</v>
      </c>
      <c r="J13" s="33"/>
      <c r="K13" s="33"/>
      <c r="L13" s="29" t="s">
        <v>243</v>
      </c>
      <c r="M13" s="87">
        <v>0</v>
      </c>
      <c r="N13" s="32"/>
      <c r="O13" s="33"/>
      <c r="P13" s="29" t="s">
        <v>242</v>
      </c>
      <c r="Q13" s="30">
        <v>1.5</v>
      </c>
      <c r="R13" s="32"/>
      <c r="S13" s="33"/>
      <c r="T13" s="29" t="s">
        <v>242</v>
      </c>
      <c r="U13" s="30">
        <v>4.5</v>
      </c>
      <c r="V13" s="32"/>
      <c r="W13" s="33"/>
      <c r="X13" s="29" t="s">
        <v>242</v>
      </c>
      <c r="Y13" s="30">
        <v>6</v>
      </c>
      <c r="Z13" s="32"/>
      <c r="AA13" s="33"/>
      <c r="AC13" s="153">
        <f t="shared" si="0"/>
        <v>7.5</v>
      </c>
    </row>
    <row r="14" spans="1:29" ht="18" customHeight="1" x14ac:dyDescent="0.25">
      <c r="A14" s="53" t="s">
        <v>231</v>
      </c>
      <c r="B14" s="54" t="s">
        <v>296</v>
      </c>
      <c r="C14" s="55"/>
      <c r="D14" s="29" t="s">
        <v>242</v>
      </c>
      <c r="E14" s="30">
        <v>1</v>
      </c>
      <c r="F14" s="56"/>
      <c r="G14" s="33"/>
      <c r="H14" s="29" t="s">
        <v>242</v>
      </c>
      <c r="I14" s="30">
        <v>1.5</v>
      </c>
      <c r="J14" s="56"/>
      <c r="K14" s="33"/>
      <c r="L14" s="29" t="s">
        <v>242</v>
      </c>
      <c r="M14" s="30">
        <v>1.5</v>
      </c>
      <c r="N14" s="32"/>
      <c r="O14" s="31"/>
      <c r="P14" s="29" t="s">
        <v>242</v>
      </c>
      <c r="Q14" s="30">
        <v>1</v>
      </c>
      <c r="R14" s="32"/>
      <c r="S14" s="33"/>
      <c r="T14" s="29" t="s">
        <v>242</v>
      </c>
      <c r="U14" s="30">
        <v>4</v>
      </c>
      <c r="V14" s="32"/>
      <c r="W14" s="31"/>
      <c r="X14" s="29" t="s">
        <v>242</v>
      </c>
      <c r="Y14" s="30">
        <v>6</v>
      </c>
      <c r="Z14" s="32"/>
      <c r="AA14" s="31"/>
      <c r="AC14" s="153">
        <f t="shared" si="0"/>
        <v>7.5</v>
      </c>
    </row>
    <row r="15" spans="1:29" ht="18" customHeight="1" x14ac:dyDescent="0.25">
      <c r="A15" s="46" t="s">
        <v>232</v>
      </c>
      <c r="B15" s="54" t="s">
        <v>297</v>
      </c>
      <c r="C15" s="55"/>
      <c r="D15" s="29" t="s">
        <v>242</v>
      </c>
      <c r="E15" s="30">
        <v>1</v>
      </c>
      <c r="F15" s="33"/>
      <c r="G15" s="33"/>
      <c r="H15" s="29" t="s">
        <v>242</v>
      </c>
      <c r="I15" s="30">
        <v>1</v>
      </c>
      <c r="J15" s="33"/>
      <c r="K15" s="33"/>
      <c r="L15" s="29" t="s">
        <v>242</v>
      </c>
      <c r="M15" s="30">
        <v>1</v>
      </c>
      <c r="N15" s="32"/>
      <c r="O15" s="33"/>
      <c r="P15" s="29" t="s">
        <v>242</v>
      </c>
      <c r="Q15" s="30">
        <v>1.5</v>
      </c>
      <c r="R15" s="32"/>
      <c r="S15" s="33"/>
      <c r="T15" s="29" t="s">
        <v>242</v>
      </c>
      <c r="U15" s="30">
        <v>4</v>
      </c>
      <c r="V15" s="32"/>
      <c r="W15" s="33"/>
      <c r="X15" s="29" t="s">
        <v>242</v>
      </c>
      <c r="Y15" s="30">
        <v>6</v>
      </c>
      <c r="Z15" s="32"/>
      <c r="AA15" s="33"/>
      <c r="AC15" s="153">
        <f t="shared" si="0"/>
        <v>7.25</v>
      </c>
    </row>
    <row r="16" spans="1:29" ht="18" customHeight="1" x14ac:dyDescent="0.25">
      <c r="A16" s="46" t="s">
        <v>233</v>
      </c>
      <c r="B16" s="54" t="s">
        <v>298</v>
      </c>
      <c r="C16" s="55"/>
      <c r="D16" s="29" t="s">
        <v>242</v>
      </c>
      <c r="E16" s="30">
        <v>1</v>
      </c>
      <c r="F16" s="33"/>
      <c r="G16" s="33"/>
      <c r="H16" s="29" t="s">
        <v>242</v>
      </c>
      <c r="I16" s="30">
        <v>1</v>
      </c>
      <c r="J16" s="33"/>
      <c r="K16" s="33"/>
      <c r="L16" s="29" t="s">
        <v>242</v>
      </c>
      <c r="M16" s="30">
        <v>1.5</v>
      </c>
      <c r="N16" s="32"/>
      <c r="O16" s="33"/>
      <c r="P16" s="29" t="s">
        <v>242</v>
      </c>
      <c r="Q16" s="30">
        <v>1.5</v>
      </c>
      <c r="R16" s="32"/>
      <c r="S16" s="33"/>
      <c r="T16" s="29" t="s">
        <v>242</v>
      </c>
      <c r="U16" s="30">
        <v>5</v>
      </c>
      <c r="V16" s="32"/>
      <c r="W16" s="33"/>
      <c r="X16" s="29" t="s">
        <v>242</v>
      </c>
      <c r="Y16" s="30">
        <v>5</v>
      </c>
      <c r="Z16" s="32"/>
      <c r="AA16" s="33"/>
      <c r="AC16" s="153">
        <f t="shared" si="0"/>
        <v>7.5</v>
      </c>
    </row>
    <row r="17" spans="1:29" ht="18" customHeight="1" x14ac:dyDescent="0.25">
      <c r="A17" s="53" t="s">
        <v>234</v>
      </c>
      <c r="B17" s="54" t="s">
        <v>299</v>
      </c>
      <c r="C17" s="55"/>
      <c r="D17" s="29" t="s">
        <v>243</v>
      </c>
      <c r="E17" s="87">
        <v>0</v>
      </c>
      <c r="F17" s="33"/>
      <c r="G17" s="33"/>
      <c r="H17" s="29" t="s">
        <v>242</v>
      </c>
      <c r="I17" s="30">
        <v>1.5</v>
      </c>
      <c r="J17" s="33"/>
      <c r="K17" s="33"/>
      <c r="L17" s="29" t="s">
        <v>243</v>
      </c>
      <c r="M17" s="87">
        <v>0</v>
      </c>
      <c r="N17" s="32"/>
      <c r="O17" s="33"/>
      <c r="P17" s="29" t="s">
        <v>242</v>
      </c>
      <c r="Q17" s="30">
        <v>2</v>
      </c>
      <c r="R17" s="32"/>
      <c r="S17" s="33"/>
      <c r="T17" s="29" t="s">
        <v>242</v>
      </c>
      <c r="U17" s="30">
        <v>6</v>
      </c>
      <c r="V17" s="32"/>
      <c r="W17" s="33"/>
      <c r="X17" s="29" t="s">
        <v>242</v>
      </c>
      <c r="Y17" s="30">
        <v>6</v>
      </c>
      <c r="Z17" s="32"/>
      <c r="AA17" s="33"/>
      <c r="AC17" s="153">
        <f t="shared" si="0"/>
        <v>7.75</v>
      </c>
    </row>
    <row r="18" spans="1:29" ht="18" customHeight="1" x14ac:dyDescent="0.25">
      <c r="A18" s="46" t="s">
        <v>235</v>
      </c>
      <c r="B18" s="54" t="s">
        <v>300</v>
      </c>
      <c r="C18" s="55"/>
      <c r="D18" s="29" t="s">
        <v>242</v>
      </c>
      <c r="E18" s="30">
        <v>2</v>
      </c>
      <c r="F18" s="33"/>
      <c r="G18" s="33"/>
      <c r="H18" s="29" t="s">
        <v>242</v>
      </c>
      <c r="I18" s="30">
        <v>1</v>
      </c>
      <c r="J18" s="33"/>
      <c r="K18" s="33"/>
      <c r="L18" s="29" t="s">
        <v>242</v>
      </c>
      <c r="M18" s="30">
        <v>1.5</v>
      </c>
      <c r="N18" s="35"/>
      <c r="O18" s="33"/>
      <c r="P18" s="29" t="s">
        <v>242</v>
      </c>
      <c r="Q18" s="30">
        <v>1.5</v>
      </c>
      <c r="R18" s="32"/>
      <c r="S18" s="33"/>
      <c r="T18" s="29" t="s">
        <v>242</v>
      </c>
      <c r="U18" s="57">
        <v>5</v>
      </c>
      <c r="V18" s="32"/>
      <c r="W18" s="33"/>
      <c r="X18" s="29" t="s">
        <v>242</v>
      </c>
      <c r="Y18" s="57">
        <v>5</v>
      </c>
      <c r="Z18" s="32"/>
      <c r="AA18" s="33"/>
      <c r="AC18" s="153">
        <f t="shared" si="0"/>
        <v>8</v>
      </c>
    </row>
    <row r="19" spans="1:29" ht="18" customHeight="1" x14ac:dyDescent="0.25">
      <c r="A19" s="46" t="s">
        <v>236</v>
      </c>
      <c r="B19" s="54" t="s">
        <v>301</v>
      </c>
      <c r="C19" s="55"/>
      <c r="D19" s="29" t="s">
        <v>242</v>
      </c>
      <c r="E19" s="30">
        <v>1</v>
      </c>
      <c r="F19" s="33"/>
      <c r="G19" s="33"/>
      <c r="H19" s="29" t="s">
        <v>242</v>
      </c>
      <c r="I19" s="30">
        <v>1.5</v>
      </c>
      <c r="J19" s="33"/>
      <c r="K19" s="33"/>
      <c r="L19" s="29" t="s">
        <v>242</v>
      </c>
      <c r="M19" s="30">
        <v>1.5</v>
      </c>
      <c r="N19" s="35"/>
      <c r="O19" s="33"/>
      <c r="P19" s="29" t="s">
        <v>242</v>
      </c>
      <c r="Q19" s="30">
        <v>2</v>
      </c>
      <c r="R19" s="32"/>
      <c r="S19" s="33"/>
      <c r="T19" s="29" t="s">
        <v>242</v>
      </c>
      <c r="U19" s="30">
        <v>4.5</v>
      </c>
      <c r="V19" s="32"/>
      <c r="W19" s="33"/>
      <c r="X19" s="29" t="s">
        <v>242</v>
      </c>
      <c r="Y19" s="30">
        <v>5</v>
      </c>
      <c r="Z19" s="32"/>
      <c r="AA19" s="33"/>
      <c r="AC19" s="153">
        <f t="shared" si="0"/>
        <v>7.75</v>
      </c>
    </row>
    <row r="20" spans="1:29" ht="18" customHeight="1" x14ac:dyDescent="0.25">
      <c r="A20" s="101" t="s">
        <v>237</v>
      </c>
      <c r="B20" s="97" t="s">
        <v>302</v>
      </c>
      <c r="C20" s="98"/>
      <c r="D20" s="88"/>
      <c r="E20" s="89"/>
      <c r="F20" s="99"/>
      <c r="G20" s="99"/>
      <c r="H20" s="88"/>
      <c r="I20" s="89"/>
      <c r="J20" s="99"/>
      <c r="K20" s="99"/>
      <c r="L20" s="88"/>
      <c r="M20" s="89">
        <v>1.5</v>
      </c>
      <c r="N20" s="102"/>
      <c r="O20" s="99"/>
      <c r="P20" s="88"/>
      <c r="Q20" s="89"/>
      <c r="R20" s="100"/>
      <c r="S20" s="99"/>
      <c r="T20" s="88"/>
      <c r="U20" s="89"/>
      <c r="V20" s="100"/>
      <c r="W20" s="99"/>
      <c r="X20" s="88"/>
      <c r="Y20" s="89"/>
      <c r="Z20" s="100"/>
      <c r="AA20" s="99"/>
      <c r="AC20" s="154"/>
    </row>
    <row r="21" spans="1:29" ht="18" customHeight="1" x14ac:dyDescent="0.25">
      <c r="A21" s="46" t="s">
        <v>238</v>
      </c>
      <c r="B21" s="54" t="s">
        <v>303</v>
      </c>
      <c r="C21" s="55"/>
      <c r="D21" s="29" t="s">
        <v>242</v>
      </c>
      <c r="E21" s="30">
        <v>1</v>
      </c>
      <c r="F21" s="33"/>
      <c r="G21" s="33"/>
      <c r="H21" s="29" t="s">
        <v>242</v>
      </c>
      <c r="I21" s="30">
        <v>1.5</v>
      </c>
      <c r="J21" s="33"/>
      <c r="K21" s="33"/>
      <c r="L21" s="29" t="s">
        <v>242</v>
      </c>
      <c r="M21" s="30">
        <v>1.5</v>
      </c>
      <c r="N21" s="32"/>
      <c r="O21" s="33"/>
      <c r="P21" s="29" t="s">
        <v>242</v>
      </c>
      <c r="Q21" s="30">
        <v>1.5</v>
      </c>
      <c r="R21" s="32"/>
      <c r="S21" s="33"/>
      <c r="T21" s="29" t="s">
        <v>242</v>
      </c>
      <c r="U21" s="30">
        <v>5</v>
      </c>
      <c r="V21" s="32"/>
      <c r="W21" s="33"/>
      <c r="X21" s="29" t="s">
        <v>242</v>
      </c>
      <c r="Y21" s="30">
        <v>5</v>
      </c>
      <c r="Z21" s="32"/>
      <c r="AA21" s="33"/>
      <c r="AC21" s="153">
        <f t="shared" si="0"/>
        <v>7.75</v>
      </c>
    </row>
    <row r="22" spans="1:29" ht="18" customHeight="1" x14ac:dyDescent="0.25">
      <c r="A22" s="53" t="s">
        <v>239</v>
      </c>
      <c r="B22" s="79" t="s">
        <v>304</v>
      </c>
      <c r="C22" s="55"/>
      <c r="D22" s="29" t="s">
        <v>242</v>
      </c>
      <c r="E22" s="30">
        <v>1</v>
      </c>
      <c r="F22" s="33"/>
      <c r="G22" s="33"/>
      <c r="H22" s="29" t="s">
        <v>242</v>
      </c>
      <c r="I22" s="30">
        <v>1</v>
      </c>
      <c r="J22" s="33"/>
      <c r="K22" s="33"/>
      <c r="L22" s="29" t="s">
        <v>242</v>
      </c>
      <c r="M22" s="30">
        <v>1</v>
      </c>
      <c r="N22" s="32"/>
      <c r="O22" s="33"/>
      <c r="P22" s="151" t="s">
        <v>243</v>
      </c>
      <c r="Q22" s="87">
        <v>0</v>
      </c>
      <c r="R22" s="32"/>
      <c r="S22" s="33"/>
      <c r="T22" s="29" t="s">
        <v>242</v>
      </c>
      <c r="U22" s="30">
        <v>4</v>
      </c>
      <c r="V22" s="32"/>
      <c r="W22" s="33"/>
      <c r="X22" s="29" t="s">
        <v>242</v>
      </c>
      <c r="Y22" s="30">
        <v>4</v>
      </c>
      <c r="Z22" s="32"/>
      <c r="AA22" s="33"/>
      <c r="AC22" s="153">
        <f t="shared" si="0"/>
        <v>5.5</v>
      </c>
    </row>
    <row r="23" spans="1:29" ht="18" customHeight="1" x14ac:dyDescent="0.25">
      <c r="A23" s="46" t="s">
        <v>240</v>
      </c>
      <c r="B23" s="82" t="s">
        <v>305</v>
      </c>
      <c r="C23" s="55"/>
      <c r="D23" s="29" t="s">
        <v>242</v>
      </c>
      <c r="E23" s="30">
        <v>1.5</v>
      </c>
      <c r="F23" s="32"/>
      <c r="G23" s="33"/>
      <c r="H23" s="29" t="s">
        <v>242</v>
      </c>
      <c r="I23" s="30">
        <v>2</v>
      </c>
      <c r="J23" s="32"/>
      <c r="K23" s="33"/>
      <c r="L23" s="29" t="s">
        <v>242</v>
      </c>
      <c r="M23" s="30">
        <v>1.5</v>
      </c>
      <c r="N23" s="32"/>
      <c r="O23" s="33"/>
      <c r="P23" s="29" t="s">
        <v>242</v>
      </c>
      <c r="Q23" s="30">
        <v>1.7</v>
      </c>
      <c r="R23" s="32"/>
      <c r="S23" s="33"/>
      <c r="T23" s="29" t="s">
        <v>242</v>
      </c>
      <c r="U23" s="30">
        <v>5</v>
      </c>
      <c r="V23" s="32"/>
      <c r="W23" s="33"/>
      <c r="X23" s="29" t="s">
        <v>242</v>
      </c>
      <c r="Y23" s="30">
        <v>5.5</v>
      </c>
      <c r="Z23" s="32"/>
      <c r="AA23" s="33"/>
      <c r="AC23" s="153">
        <f t="shared" si="0"/>
        <v>8.6</v>
      </c>
    </row>
    <row r="24" spans="1:29" ht="18" customHeight="1" x14ac:dyDescent="0.25">
      <c r="A24" s="46" t="s">
        <v>241</v>
      </c>
      <c r="B24" s="82" t="s">
        <v>306</v>
      </c>
      <c r="C24" s="55"/>
      <c r="D24" s="29" t="s">
        <v>242</v>
      </c>
      <c r="E24" s="30">
        <v>2</v>
      </c>
      <c r="F24" s="32"/>
      <c r="G24" s="33"/>
      <c r="H24" s="29" t="s">
        <v>242</v>
      </c>
      <c r="I24" s="30">
        <v>2</v>
      </c>
      <c r="J24" s="32"/>
      <c r="K24" s="33"/>
      <c r="L24" s="29" t="s">
        <v>242</v>
      </c>
      <c r="M24" s="30">
        <v>2</v>
      </c>
      <c r="N24" s="32"/>
      <c r="O24" s="33"/>
      <c r="P24" s="29" t="s">
        <v>242</v>
      </c>
      <c r="Q24" s="30">
        <v>1.5</v>
      </c>
      <c r="R24" s="32"/>
      <c r="S24" s="33"/>
      <c r="T24" s="29" t="s">
        <v>242</v>
      </c>
      <c r="U24" s="30">
        <v>6</v>
      </c>
      <c r="V24" s="32"/>
      <c r="W24" s="33"/>
      <c r="X24" s="29" t="s">
        <v>242</v>
      </c>
      <c r="Y24" s="30">
        <v>6</v>
      </c>
      <c r="Z24" s="32"/>
      <c r="AA24" s="33"/>
      <c r="AC24" s="153">
        <f t="shared" si="0"/>
        <v>9.75</v>
      </c>
    </row>
    <row r="25" spans="1:29" ht="18" customHeight="1" thickBot="1" x14ac:dyDescent="0.3">
      <c r="A25" s="96" t="s">
        <v>308</v>
      </c>
      <c r="B25" s="103" t="s">
        <v>307</v>
      </c>
      <c r="C25" s="104"/>
      <c r="D25" s="90"/>
      <c r="E25" s="91"/>
      <c r="F25" s="105"/>
      <c r="G25" s="106"/>
      <c r="H25" s="90"/>
      <c r="I25" s="91"/>
      <c r="J25" s="105"/>
      <c r="K25" s="106"/>
      <c r="L25" s="90"/>
      <c r="M25" s="91"/>
      <c r="N25" s="105"/>
      <c r="O25" s="106"/>
      <c r="P25" s="90"/>
      <c r="Q25" s="91"/>
      <c r="R25" s="105"/>
      <c r="S25" s="106"/>
      <c r="T25" s="90"/>
      <c r="U25" s="91"/>
      <c r="V25" s="105"/>
      <c r="W25" s="106"/>
      <c r="X25" s="90"/>
      <c r="Y25" s="91"/>
      <c r="Z25" s="105"/>
      <c r="AA25" s="106"/>
      <c r="AC25" s="154"/>
    </row>
    <row r="26" spans="1:29" ht="18" customHeight="1" thickTop="1" x14ac:dyDescent="0.2">
      <c r="A26" s="22" t="str">
        <f ca="1">IFERROR(IF((($U$2&amp;"-"&amp;X26)=VLOOKUP($U$2&amp;"-"&amp;X26,#REF!,1,FALSE)),$U$2&amp;"-"&amp;X26,""),"")</f>
        <v/>
      </c>
      <c r="B26" s="23" t="str">
        <f t="shared" ref="B26:B31" ca="1" si="1">IF(A26="","",VLOOKUP(A26,ETFtab2013,2))</f>
        <v/>
      </c>
      <c r="C26" s="23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18"/>
    </row>
    <row r="27" spans="1:29" ht="18" customHeight="1" x14ac:dyDescent="0.2">
      <c r="A27" s="22" t="str">
        <f ca="1">IFERROR(IF((($U$2&amp;"-"&amp;X27)=VLOOKUP($U$2&amp;"-"&amp;X27,#REF!,1,FALSE)),$U$2&amp;"-"&amp;X27,""),"")</f>
        <v/>
      </c>
      <c r="B27" s="23"/>
      <c r="C27" s="23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19"/>
      <c r="Y27" s="20"/>
      <c r="Z27" s="20"/>
      <c r="AA27" s="20"/>
    </row>
    <row r="28" spans="1:29" ht="18" customHeight="1" x14ac:dyDescent="0.2">
      <c r="A28" s="22" t="str">
        <f ca="1">IFERROR(IF((($U$2&amp;"-"&amp;X28)=VLOOKUP($U$2&amp;"-"&amp;X28,#REF!,1,FALSE)),$U$2&amp;"-"&amp;X28,""),"")</f>
        <v/>
      </c>
      <c r="B28" s="23" t="str">
        <f t="shared" ca="1" si="1"/>
        <v/>
      </c>
      <c r="C28" s="23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19"/>
      <c r="Y28" s="20"/>
      <c r="Z28" s="20"/>
      <c r="AA28" s="20"/>
    </row>
    <row r="29" spans="1:29" ht="18" customHeight="1" x14ac:dyDescent="0.2">
      <c r="A29" s="22" t="str">
        <f ca="1">IFERROR(IF((($U$2&amp;"-"&amp;X29)=VLOOKUP($U$2&amp;"-"&amp;X29,#REF!,1,FALSE)),$U$2&amp;"-"&amp;X29,""),"")</f>
        <v/>
      </c>
      <c r="B29" s="23" t="str">
        <f t="shared" ca="1" si="1"/>
        <v/>
      </c>
      <c r="C29" s="23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19"/>
      <c r="Y29" s="20"/>
      <c r="Z29" s="20"/>
      <c r="AA29" s="20"/>
    </row>
    <row r="30" spans="1:29" ht="18" customHeight="1" x14ac:dyDescent="0.2">
      <c r="A30" s="22" t="str">
        <f ca="1">IFERROR(IF((($U$2&amp;"-"&amp;X30)=VLOOKUP($U$2&amp;"-"&amp;X30,#REF!,1,FALSE)),$U$2&amp;"-"&amp;X30,""),"")</f>
        <v/>
      </c>
      <c r="B30" s="23" t="str">
        <f t="shared" ca="1" si="1"/>
        <v/>
      </c>
      <c r="C30" s="23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19"/>
      <c r="Y30" s="20"/>
      <c r="Z30" s="20"/>
      <c r="AA30" s="20"/>
    </row>
    <row r="31" spans="1:29" ht="18" customHeight="1" x14ac:dyDescent="0.2">
      <c r="A31" s="22" t="str">
        <f ca="1">IFERROR(IF((($U$2&amp;"-"&amp;X31)=VLOOKUP($U$2&amp;"-"&amp;X31,#REF!,1,FALSE)),$U$2&amp;"-"&amp;X31,""),"")</f>
        <v/>
      </c>
      <c r="B31" s="23" t="str">
        <f t="shared" ca="1" si="1"/>
        <v/>
      </c>
      <c r="C31" s="23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19"/>
      <c r="Y31" s="20"/>
      <c r="Z31" s="20"/>
      <c r="AA31" s="20"/>
    </row>
    <row r="32" spans="1:29" x14ac:dyDescent="0.2">
      <c r="A32" s="20"/>
      <c r="B32" s="20"/>
      <c r="C32" s="20"/>
      <c r="D32" s="20"/>
      <c r="E32" s="20"/>
      <c r="F32" s="20"/>
      <c r="G32" s="20"/>
      <c r="H32" s="21"/>
      <c r="I32" s="20"/>
      <c r="J32" s="20"/>
      <c r="K32" s="20"/>
      <c r="L32" s="21"/>
      <c r="M32" s="20"/>
      <c r="N32" s="20"/>
      <c r="O32" s="20"/>
      <c r="P32" s="20"/>
      <c r="Q32" s="20"/>
      <c r="R32" s="20"/>
      <c r="S32" s="20"/>
      <c r="T32" s="21"/>
      <c r="U32" s="20"/>
      <c r="V32" s="20"/>
      <c r="W32" s="20"/>
      <c r="X32" s="20"/>
      <c r="Y32" s="20"/>
      <c r="Z32" s="20"/>
      <c r="AA32" s="20"/>
    </row>
    <row r="33" spans="1:27" x14ac:dyDescent="0.2">
      <c r="A33" s="20"/>
      <c r="B33" s="20"/>
      <c r="C33" s="20"/>
      <c r="D33" s="20"/>
      <c r="E33" s="20"/>
      <c r="F33" s="20"/>
      <c r="G33" s="20"/>
      <c r="H33" s="21"/>
      <c r="I33" s="20"/>
      <c r="J33" s="20"/>
      <c r="K33" s="20"/>
      <c r="L33" s="21"/>
      <c r="M33" s="20"/>
      <c r="N33" s="20"/>
      <c r="O33" s="20"/>
      <c r="P33" s="20"/>
      <c r="Q33" s="20"/>
      <c r="R33" s="20"/>
      <c r="S33" s="20"/>
      <c r="T33" s="21"/>
      <c r="U33" s="20"/>
      <c r="V33" s="20"/>
      <c r="W33" s="20"/>
      <c r="X33" s="20"/>
      <c r="Y33" s="20"/>
      <c r="Z33" s="20"/>
      <c r="AA33" s="20"/>
    </row>
    <row r="34" spans="1:27" x14ac:dyDescent="0.2">
      <c r="A34" s="20"/>
      <c r="B34" s="20"/>
      <c r="C34" s="20"/>
      <c r="D34" s="20"/>
      <c r="E34" s="20"/>
      <c r="F34" s="20"/>
      <c r="G34" s="20"/>
      <c r="H34" s="21"/>
      <c r="I34" s="20"/>
      <c r="J34" s="20"/>
      <c r="K34" s="20"/>
      <c r="L34" s="21"/>
      <c r="M34" s="20"/>
      <c r="N34" s="20"/>
      <c r="O34" s="20"/>
      <c r="P34" s="20"/>
      <c r="Q34" s="20"/>
      <c r="R34" s="20"/>
      <c r="S34" s="20"/>
      <c r="T34" s="21"/>
      <c r="U34" s="20"/>
      <c r="V34" s="20"/>
      <c r="W34" s="20"/>
      <c r="X34" s="20"/>
      <c r="Y34" s="20"/>
      <c r="Z34" s="20"/>
      <c r="AA34" s="20"/>
    </row>
    <row r="35" spans="1:27" x14ac:dyDescent="0.2">
      <c r="A35" s="20"/>
      <c r="B35" s="20"/>
      <c r="C35" s="20"/>
      <c r="D35" s="20"/>
      <c r="E35" s="20"/>
      <c r="F35" s="20"/>
      <c r="G35" s="20"/>
      <c r="H35" s="21"/>
      <c r="I35" s="20"/>
      <c r="J35" s="20"/>
      <c r="K35" s="20"/>
      <c r="L35" s="21"/>
      <c r="M35" s="20"/>
      <c r="N35" s="20"/>
      <c r="O35" s="20"/>
      <c r="P35" s="20"/>
      <c r="Q35" s="20"/>
      <c r="R35" s="20"/>
      <c r="S35" s="20"/>
      <c r="T35" s="21"/>
      <c r="U35" s="20"/>
      <c r="V35" s="20"/>
      <c r="W35" s="20"/>
      <c r="X35" s="20"/>
    </row>
    <row r="36" spans="1:27" x14ac:dyDescent="0.2">
      <c r="A36" s="20"/>
      <c r="B36" s="20"/>
      <c r="C36" s="20"/>
      <c r="D36" s="20"/>
      <c r="E36" s="20"/>
      <c r="F36" s="20"/>
      <c r="G36" s="20"/>
      <c r="H36" s="21"/>
      <c r="I36" s="20"/>
      <c r="J36" s="20"/>
      <c r="K36" s="20"/>
      <c r="L36" s="21"/>
      <c r="M36" s="20"/>
      <c r="N36" s="20"/>
      <c r="O36" s="20"/>
      <c r="P36" s="20"/>
      <c r="Q36" s="20"/>
      <c r="R36" s="20"/>
      <c r="S36" s="20"/>
      <c r="T36" s="21"/>
      <c r="U36" s="20"/>
      <c r="V36" s="20"/>
      <c r="W36" s="20"/>
      <c r="X36" s="20"/>
    </row>
    <row r="37" spans="1:27" x14ac:dyDescent="0.2">
      <c r="A37" s="20"/>
      <c r="B37" s="20"/>
      <c r="C37" s="20"/>
      <c r="D37" s="20"/>
      <c r="E37" s="20"/>
      <c r="F37" s="20"/>
      <c r="G37" s="20"/>
      <c r="H37" s="21"/>
      <c r="I37" s="20"/>
      <c r="J37" s="20"/>
      <c r="K37" s="20"/>
      <c r="L37" s="21"/>
      <c r="M37" s="20"/>
      <c r="N37" s="20"/>
      <c r="O37" s="20"/>
      <c r="P37" s="20"/>
      <c r="Q37" s="20"/>
      <c r="R37" s="20"/>
      <c r="S37" s="20"/>
      <c r="T37" s="21"/>
      <c r="U37" s="20"/>
      <c r="V37" s="20"/>
      <c r="W37" s="20"/>
      <c r="X37" s="20"/>
    </row>
  </sheetData>
  <mergeCells count="19">
    <mergeCell ref="X7:AA7"/>
    <mergeCell ref="X8:AA8"/>
    <mergeCell ref="L8:O8"/>
    <mergeCell ref="P8:S8"/>
    <mergeCell ref="T8:W8"/>
    <mergeCell ref="A8:A9"/>
    <mergeCell ref="B8:B9"/>
    <mergeCell ref="D8:G8"/>
    <mergeCell ref="H8:K8"/>
    <mergeCell ref="C8:C9"/>
    <mergeCell ref="K1:M2"/>
    <mergeCell ref="U2:W4"/>
    <mergeCell ref="I4:O5"/>
    <mergeCell ref="A7:C7"/>
    <mergeCell ref="D7:G7"/>
    <mergeCell ref="H7:K7"/>
    <mergeCell ref="L7:O7"/>
    <mergeCell ref="P7:S7"/>
    <mergeCell ref="T7:W7"/>
  </mergeCells>
  <pageMargins left="0.78740157480314965" right="0.39370078740157483" top="0.39370078740157483" bottom="0.39370078740157483" header="0.31496062992125984" footer="0.31496062992125984"/>
  <pageSetup paperSize="9" scale="86" orientation="landscape" r:id="rId1"/>
  <headerFooter alignWithMargins="0"/>
  <customProperties>
    <customPr name="DVSECTION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32"/>
  <sheetViews>
    <sheetView tabSelected="1" view="pageBreakPreview" topLeftCell="A6" zoomScale="90" zoomScaleNormal="100" zoomScaleSheetLayoutView="90" workbookViewId="0">
      <selection activeCell="AC18" sqref="AC18"/>
    </sheetView>
  </sheetViews>
  <sheetFormatPr defaultRowHeight="12.75" x14ac:dyDescent="0.2"/>
  <cols>
    <col min="1" max="1" width="6.375" style="1" customWidth="1"/>
    <col min="2" max="2" width="24.625" style="1" customWidth="1"/>
    <col min="3" max="3" width="4.125" style="1" customWidth="1"/>
    <col min="4" max="4" width="5" style="1" customWidth="1"/>
    <col min="5" max="6" width="3.875" style="1" customWidth="1"/>
    <col min="7" max="7" width="5.125" style="1" bestFit="1" customWidth="1"/>
    <col min="8" max="8" width="5" style="7" customWidth="1"/>
    <col min="9" max="10" width="3.875" style="1" customWidth="1"/>
    <col min="11" max="11" width="5.125" style="1" customWidth="1"/>
    <col min="12" max="12" width="5" style="7" customWidth="1"/>
    <col min="13" max="13" width="3.875" style="1" customWidth="1"/>
    <col min="14" max="14" width="4.25" style="1" customWidth="1"/>
    <col min="15" max="15" width="5.25" style="1" customWidth="1"/>
    <col min="16" max="16" width="5" style="1" customWidth="1"/>
    <col min="17" max="18" width="3.875" style="1" customWidth="1"/>
    <col min="19" max="19" width="4.625" style="1" customWidth="1"/>
    <col min="20" max="20" width="5" style="7" customWidth="1"/>
    <col min="21" max="21" width="3.875" style="1" customWidth="1"/>
    <col min="22" max="22" width="3.875" style="37" customWidth="1"/>
    <col min="23" max="23" width="4.625" style="1" customWidth="1"/>
    <col min="24" max="24" width="4.25" style="1" customWidth="1"/>
    <col min="25" max="25" width="4.125" style="1" customWidth="1"/>
    <col min="26" max="27" width="4.25" style="1" customWidth="1"/>
    <col min="28" max="28" width="4" style="1" customWidth="1"/>
    <col min="29" max="255" width="9" style="1"/>
    <col min="256" max="256" width="5" style="1" customWidth="1"/>
    <col min="257" max="257" width="20.5" style="1" customWidth="1"/>
    <col min="258" max="258" width="2.375" style="1" customWidth="1"/>
    <col min="259" max="259" width="3.75" style="1" customWidth="1"/>
    <col min="260" max="261" width="5" style="1" customWidth="1"/>
    <col min="262" max="263" width="3.75" style="1" customWidth="1"/>
    <col min="264" max="265" width="5" style="1" customWidth="1"/>
    <col min="266" max="267" width="3.75" style="1" customWidth="1"/>
    <col min="268" max="269" width="5" style="1" customWidth="1"/>
    <col min="270" max="271" width="3.75" style="1" customWidth="1"/>
    <col min="272" max="273" width="5" style="1" customWidth="1"/>
    <col min="274" max="275" width="3.75" style="1" customWidth="1"/>
    <col min="276" max="277" width="5" style="1" customWidth="1"/>
    <col min="278" max="279" width="3.75" style="1" customWidth="1"/>
    <col min="280" max="280" width="3.5" style="1" customWidth="1"/>
    <col min="281" max="511" width="9" style="1"/>
    <col min="512" max="512" width="5" style="1" customWidth="1"/>
    <col min="513" max="513" width="20.5" style="1" customWidth="1"/>
    <col min="514" max="514" width="2.375" style="1" customWidth="1"/>
    <col min="515" max="515" width="3.75" style="1" customWidth="1"/>
    <col min="516" max="517" width="5" style="1" customWidth="1"/>
    <col min="518" max="519" width="3.75" style="1" customWidth="1"/>
    <col min="520" max="521" width="5" style="1" customWidth="1"/>
    <col min="522" max="523" width="3.75" style="1" customWidth="1"/>
    <col min="524" max="525" width="5" style="1" customWidth="1"/>
    <col min="526" max="527" width="3.75" style="1" customWidth="1"/>
    <col min="528" max="529" width="5" style="1" customWidth="1"/>
    <col min="530" max="531" width="3.75" style="1" customWidth="1"/>
    <col min="532" max="533" width="5" style="1" customWidth="1"/>
    <col min="534" max="535" width="3.75" style="1" customWidth="1"/>
    <col min="536" max="536" width="3.5" style="1" customWidth="1"/>
    <col min="537" max="767" width="9" style="1"/>
    <col min="768" max="768" width="5" style="1" customWidth="1"/>
    <col min="769" max="769" width="20.5" style="1" customWidth="1"/>
    <col min="770" max="770" width="2.375" style="1" customWidth="1"/>
    <col min="771" max="771" width="3.75" style="1" customWidth="1"/>
    <col min="772" max="773" width="5" style="1" customWidth="1"/>
    <col min="774" max="775" width="3.75" style="1" customWidth="1"/>
    <col min="776" max="777" width="5" style="1" customWidth="1"/>
    <col min="778" max="779" width="3.75" style="1" customWidth="1"/>
    <col min="780" max="781" width="5" style="1" customWidth="1"/>
    <col min="782" max="783" width="3.75" style="1" customWidth="1"/>
    <col min="784" max="785" width="5" style="1" customWidth="1"/>
    <col min="786" max="787" width="3.75" style="1" customWidth="1"/>
    <col min="788" max="789" width="5" style="1" customWidth="1"/>
    <col min="790" max="791" width="3.75" style="1" customWidth="1"/>
    <col min="792" max="792" width="3.5" style="1" customWidth="1"/>
    <col min="793" max="1023" width="9" style="1"/>
    <col min="1024" max="1024" width="5" style="1" customWidth="1"/>
    <col min="1025" max="1025" width="20.5" style="1" customWidth="1"/>
    <col min="1026" max="1026" width="2.375" style="1" customWidth="1"/>
    <col min="1027" max="1027" width="3.75" style="1" customWidth="1"/>
    <col min="1028" max="1029" width="5" style="1" customWidth="1"/>
    <col min="1030" max="1031" width="3.75" style="1" customWidth="1"/>
    <col min="1032" max="1033" width="5" style="1" customWidth="1"/>
    <col min="1034" max="1035" width="3.75" style="1" customWidth="1"/>
    <col min="1036" max="1037" width="5" style="1" customWidth="1"/>
    <col min="1038" max="1039" width="3.75" style="1" customWidth="1"/>
    <col min="1040" max="1041" width="5" style="1" customWidth="1"/>
    <col min="1042" max="1043" width="3.75" style="1" customWidth="1"/>
    <col min="1044" max="1045" width="5" style="1" customWidth="1"/>
    <col min="1046" max="1047" width="3.75" style="1" customWidth="1"/>
    <col min="1048" max="1048" width="3.5" style="1" customWidth="1"/>
    <col min="1049" max="1279" width="9" style="1"/>
    <col min="1280" max="1280" width="5" style="1" customWidth="1"/>
    <col min="1281" max="1281" width="20.5" style="1" customWidth="1"/>
    <col min="1282" max="1282" width="2.375" style="1" customWidth="1"/>
    <col min="1283" max="1283" width="3.75" style="1" customWidth="1"/>
    <col min="1284" max="1285" width="5" style="1" customWidth="1"/>
    <col min="1286" max="1287" width="3.75" style="1" customWidth="1"/>
    <col min="1288" max="1289" width="5" style="1" customWidth="1"/>
    <col min="1290" max="1291" width="3.75" style="1" customWidth="1"/>
    <col min="1292" max="1293" width="5" style="1" customWidth="1"/>
    <col min="1294" max="1295" width="3.75" style="1" customWidth="1"/>
    <col min="1296" max="1297" width="5" style="1" customWidth="1"/>
    <col min="1298" max="1299" width="3.75" style="1" customWidth="1"/>
    <col min="1300" max="1301" width="5" style="1" customWidth="1"/>
    <col min="1302" max="1303" width="3.75" style="1" customWidth="1"/>
    <col min="1304" max="1304" width="3.5" style="1" customWidth="1"/>
    <col min="1305" max="1535" width="9" style="1"/>
    <col min="1536" max="1536" width="5" style="1" customWidth="1"/>
    <col min="1537" max="1537" width="20.5" style="1" customWidth="1"/>
    <col min="1538" max="1538" width="2.375" style="1" customWidth="1"/>
    <col min="1539" max="1539" width="3.75" style="1" customWidth="1"/>
    <col min="1540" max="1541" width="5" style="1" customWidth="1"/>
    <col min="1542" max="1543" width="3.75" style="1" customWidth="1"/>
    <col min="1544" max="1545" width="5" style="1" customWidth="1"/>
    <col min="1546" max="1547" width="3.75" style="1" customWidth="1"/>
    <col min="1548" max="1549" width="5" style="1" customWidth="1"/>
    <col min="1550" max="1551" width="3.75" style="1" customWidth="1"/>
    <col min="1552" max="1553" width="5" style="1" customWidth="1"/>
    <col min="1554" max="1555" width="3.75" style="1" customWidth="1"/>
    <col min="1556" max="1557" width="5" style="1" customWidth="1"/>
    <col min="1558" max="1559" width="3.75" style="1" customWidth="1"/>
    <col min="1560" max="1560" width="3.5" style="1" customWidth="1"/>
    <col min="1561" max="1791" width="9" style="1"/>
    <col min="1792" max="1792" width="5" style="1" customWidth="1"/>
    <col min="1793" max="1793" width="20.5" style="1" customWidth="1"/>
    <col min="1794" max="1794" width="2.375" style="1" customWidth="1"/>
    <col min="1795" max="1795" width="3.75" style="1" customWidth="1"/>
    <col min="1796" max="1797" width="5" style="1" customWidth="1"/>
    <col min="1798" max="1799" width="3.75" style="1" customWidth="1"/>
    <col min="1800" max="1801" width="5" style="1" customWidth="1"/>
    <col min="1802" max="1803" width="3.75" style="1" customWidth="1"/>
    <col min="1804" max="1805" width="5" style="1" customWidth="1"/>
    <col min="1806" max="1807" width="3.75" style="1" customWidth="1"/>
    <col min="1808" max="1809" width="5" style="1" customWidth="1"/>
    <col min="1810" max="1811" width="3.75" style="1" customWidth="1"/>
    <col min="1812" max="1813" width="5" style="1" customWidth="1"/>
    <col min="1814" max="1815" width="3.75" style="1" customWidth="1"/>
    <col min="1816" max="1816" width="3.5" style="1" customWidth="1"/>
    <col min="1817" max="2047" width="9" style="1"/>
    <col min="2048" max="2048" width="5" style="1" customWidth="1"/>
    <col min="2049" max="2049" width="20.5" style="1" customWidth="1"/>
    <col min="2050" max="2050" width="2.375" style="1" customWidth="1"/>
    <col min="2051" max="2051" width="3.75" style="1" customWidth="1"/>
    <col min="2052" max="2053" width="5" style="1" customWidth="1"/>
    <col min="2054" max="2055" width="3.75" style="1" customWidth="1"/>
    <col min="2056" max="2057" width="5" style="1" customWidth="1"/>
    <col min="2058" max="2059" width="3.75" style="1" customWidth="1"/>
    <col min="2060" max="2061" width="5" style="1" customWidth="1"/>
    <col min="2062" max="2063" width="3.75" style="1" customWidth="1"/>
    <col min="2064" max="2065" width="5" style="1" customWidth="1"/>
    <col min="2066" max="2067" width="3.75" style="1" customWidth="1"/>
    <col min="2068" max="2069" width="5" style="1" customWidth="1"/>
    <col min="2070" max="2071" width="3.75" style="1" customWidth="1"/>
    <col min="2072" max="2072" width="3.5" style="1" customWidth="1"/>
    <col min="2073" max="2303" width="9" style="1"/>
    <col min="2304" max="2304" width="5" style="1" customWidth="1"/>
    <col min="2305" max="2305" width="20.5" style="1" customWidth="1"/>
    <col min="2306" max="2306" width="2.375" style="1" customWidth="1"/>
    <col min="2307" max="2307" width="3.75" style="1" customWidth="1"/>
    <col min="2308" max="2309" width="5" style="1" customWidth="1"/>
    <col min="2310" max="2311" width="3.75" style="1" customWidth="1"/>
    <col min="2312" max="2313" width="5" style="1" customWidth="1"/>
    <col min="2314" max="2315" width="3.75" style="1" customWidth="1"/>
    <col min="2316" max="2317" width="5" style="1" customWidth="1"/>
    <col min="2318" max="2319" width="3.75" style="1" customWidth="1"/>
    <col min="2320" max="2321" width="5" style="1" customWidth="1"/>
    <col min="2322" max="2323" width="3.75" style="1" customWidth="1"/>
    <col min="2324" max="2325" width="5" style="1" customWidth="1"/>
    <col min="2326" max="2327" width="3.75" style="1" customWidth="1"/>
    <col min="2328" max="2328" width="3.5" style="1" customWidth="1"/>
    <col min="2329" max="2559" width="9" style="1"/>
    <col min="2560" max="2560" width="5" style="1" customWidth="1"/>
    <col min="2561" max="2561" width="20.5" style="1" customWidth="1"/>
    <col min="2562" max="2562" width="2.375" style="1" customWidth="1"/>
    <col min="2563" max="2563" width="3.75" style="1" customWidth="1"/>
    <col min="2564" max="2565" width="5" style="1" customWidth="1"/>
    <col min="2566" max="2567" width="3.75" style="1" customWidth="1"/>
    <col min="2568" max="2569" width="5" style="1" customWidth="1"/>
    <col min="2570" max="2571" width="3.75" style="1" customWidth="1"/>
    <col min="2572" max="2573" width="5" style="1" customWidth="1"/>
    <col min="2574" max="2575" width="3.75" style="1" customWidth="1"/>
    <col min="2576" max="2577" width="5" style="1" customWidth="1"/>
    <col min="2578" max="2579" width="3.75" style="1" customWidth="1"/>
    <col min="2580" max="2581" width="5" style="1" customWidth="1"/>
    <col min="2582" max="2583" width="3.75" style="1" customWidth="1"/>
    <col min="2584" max="2584" width="3.5" style="1" customWidth="1"/>
    <col min="2585" max="2815" width="9" style="1"/>
    <col min="2816" max="2816" width="5" style="1" customWidth="1"/>
    <col min="2817" max="2817" width="20.5" style="1" customWidth="1"/>
    <col min="2818" max="2818" width="2.375" style="1" customWidth="1"/>
    <col min="2819" max="2819" width="3.75" style="1" customWidth="1"/>
    <col min="2820" max="2821" width="5" style="1" customWidth="1"/>
    <col min="2822" max="2823" width="3.75" style="1" customWidth="1"/>
    <col min="2824" max="2825" width="5" style="1" customWidth="1"/>
    <col min="2826" max="2827" width="3.75" style="1" customWidth="1"/>
    <col min="2828" max="2829" width="5" style="1" customWidth="1"/>
    <col min="2830" max="2831" width="3.75" style="1" customWidth="1"/>
    <col min="2832" max="2833" width="5" style="1" customWidth="1"/>
    <col min="2834" max="2835" width="3.75" style="1" customWidth="1"/>
    <col min="2836" max="2837" width="5" style="1" customWidth="1"/>
    <col min="2838" max="2839" width="3.75" style="1" customWidth="1"/>
    <col min="2840" max="2840" width="3.5" style="1" customWidth="1"/>
    <col min="2841" max="3071" width="9" style="1"/>
    <col min="3072" max="3072" width="5" style="1" customWidth="1"/>
    <col min="3073" max="3073" width="20.5" style="1" customWidth="1"/>
    <col min="3074" max="3074" width="2.375" style="1" customWidth="1"/>
    <col min="3075" max="3075" width="3.75" style="1" customWidth="1"/>
    <col min="3076" max="3077" width="5" style="1" customWidth="1"/>
    <col min="3078" max="3079" width="3.75" style="1" customWidth="1"/>
    <col min="3080" max="3081" width="5" style="1" customWidth="1"/>
    <col min="3082" max="3083" width="3.75" style="1" customWidth="1"/>
    <col min="3084" max="3085" width="5" style="1" customWidth="1"/>
    <col min="3086" max="3087" width="3.75" style="1" customWidth="1"/>
    <col min="3088" max="3089" width="5" style="1" customWidth="1"/>
    <col min="3090" max="3091" width="3.75" style="1" customWidth="1"/>
    <col min="3092" max="3093" width="5" style="1" customWidth="1"/>
    <col min="3094" max="3095" width="3.75" style="1" customWidth="1"/>
    <col min="3096" max="3096" width="3.5" style="1" customWidth="1"/>
    <col min="3097" max="3327" width="9" style="1"/>
    <col min="3328" max="3328" width="5" style="1" customWidth="1"/>
    <col min="3329" max="3329" width="20.5" style="1" customWidth="1"/>
    <col min="3330" max="3330" width="2.375" style="1" customWidth="1"/>
    <col min="3331" max="3331" width="3.75" style="1" customWidth="1"/>
    <col min="3332" max="3333" width="5" style="1" customWidth="1"/>
    <col min="3334" max="3335" width="3.75" style="1" customWidth="1"/>
    <col min="3336" max="3337" width="5" style="1" customWidth="1"/>
    <col min="3338" max="3339" width="3.75" style="1" customWidth="1"/>
    <col min="3340" max="3341" width="5" style="1" customWidth="1"/>
    <col min="3342" max="3343" width="3.75" style="1" customWidth="1"/>
    <col min="3344" max="3345" width="5" style="1" customWidth="1"/>
    <col min="3346" max="3347" width="3.75" style="1" customWidth="1"/>
    <col min="3348" max="3349" width="5" style="1" customWidth="1"/>
    <col min="3350" max="3351" width="3.75" style="1" customWidth="1"/>
    <col min="3352" max="3352" width="3.5" style="1" customWidth="1"/>
    <col min="3353" max="3583" width="9" style="1"/>
    <col min="3584" max="3584" width="5" style="1" customWidth="1"/>
    <col min="3585" max="3585" width="20.5" style="1" customWidth="1"/>
    <col min="3586" max="3586" width="2.375" style="1" customWidth="1"/>
    <col min="3587" max="3587" width="3.75" style="1" customWidth="1"/>
    <col min="3588" max="3589" width="5" style="1" customWidth="1"/>
    <col min="3590" max="3591" width="3.75" style="1" customWidth="1"/>
    <col min="3592" max="3593" width="5" style="1" customWidth="1"/>
    <col min="3594" max="3595" width="3.75" style="1" customWidth="1"/>
    <col min="3596" max="3597" width="5" style="1" customWidth="1"/>
    <col min="3598" max="3599" width="3.75" style="1" customWidth="1"/>
    <col min="3600" max="3601" width="5" style="1" customWidth="1"/>
    <col min="3602" max="3603" width="3.75" style="1" customWidth="1"/>
    <col min="3604" max="3605" width="5" style="1" customWidth="1"/>
    <col min="3606" max="3607" width="3.75" style="1" customWidth="1"/>
    <col min="3608" max="3608" width="3.5" style="1" customWidth="1"/>
    <col min="3609" max="3839" width="9" style="1"/>
    <col min="3840" max="3840" width="5" style="1" customWidth="1"/>
    <col min="3841" max="3841" width="20.5" style="1" customWidth="1"/>
    <col min="3842" max="3842" width="2.375" style="1" customWidth="1"/>
    <col min="3843" max="3843" width="3.75" style="1" customWidth="1"/>
    <col min="3844" max="3845" width="5" style="1" customWidth="1"/>
    <col min="3846" max="3847" width="3.75" style="1" customWidth="1"/>
    <col min="3848" max="3849" width="5" style="1" customWidth="1"/>
    <col min="3850" max="3851" width="3.75" style="1" customWidth="1"/>
    <col min="3852" max="3853" width="5" style="1" customWidth="1"/>
    <col min="3854" max="3855" width="3.75" style="1" customWidth="1"/>
    <col min="3856" max="3857" width="5" style="1" customWidth="1"/>
    <col min="3858" max="3859" width="3.75" style="1" customWidth="1"/>
    <col min="3860" max="3861" width="5" style="1" customWidth="1"/>
    <col min="3862" max="3863" width="3.75" style="1" customWidth="1"/>
    <col min="3864" max="3864" width="3.5" style="1" customWidth="1"/>
    <col min="3865" max="4095" width="9" style="1"/>
    <col min="4096" max="4096" width="5" style="1" customWidth="1"/>
    <col min="4097" max="4097" width="20.5" style="1" customWidth="1"/>
    <col min="4098" max="4098" width="2.375" style="1" customWidth="1"/>
    <col min="4099" max="4099" width="3.75" style="1" customWidth="1"/>
    <col min="4100" max="4101" width="5" style="1" customWidth="1"/>
    <col min="4102" max="4103" width="3.75" style="1" customWidth="1"/>
    <col min="4104" max="4105" width="5" style="1" customWidth="1"/>
    <col min="4106" max="4107" width="3.75" style="1" customWidth="1"/>
    <col min="4108" max="4109" width="5" style="1" customWidth="1"/>
    <col min="4110" max="4111" width="3.75" style="1" customWidth="1"/>
    <col min="4112" max="4113" width="5" style="1" customWidth="1"/>
    <col min="4114" max="4115" width="3.75" style="1" customWidth="1"/>
    <col min="4116" max="4117" width="5" style="1" customWidth="1"/>
    <col min="4118" max="4119" width="3.75" style="1" customWidth="1"/>
    <col min="4120" max="4120" width="3.5" style="1" customWidth="1"/>
    <col min="4121" max="4351" width="9" style="1"/>
    <col min="4352" max="4352" width="5" style="1" customWidth="1"/>
    <col min="4353" max="4353" width="20.5" style="1" customWidth="1"/>
    <col min="4354" max="4354" width="2.375" style="1" customWidth="1"/>
    <col min="4355" max="4355" width="3.75" style="1" customWidth="1"/>
    <col min="4356" max="4357" width="5" style="1" customWidth="1"/>
    <col min="4358" max="4359" width="3.75" style="1" customWidth="1"/>
    <col min="4360" max="4361" width="5" style="1" customWidth="1"/>
    <col min="4362" max="4363" width="3.75" style="1" customWidth="1"/>
    <col min="4364" max="4365" width="5" style="1" customWidth="1"/>
    <col min="4366" max="4367" width="3.75" style="1" customWidth="1"/>
    <col min="4368" max="4369" width="5" style="1" customWidth="1"/>
    <col min="4370" max="4371" width="3.75" style="1" customWidth="1"/>
    <col min="4372" max="4373" width="5" style="1" customWidth="1"/>
    <col min="4374" max="4375" width="3.75" style="1" customWidth="1"/>
    <col min="4376" max="4376" width="3.5" style="1" customWidth="1"/>
    <col min="4377" max="4607" width="9" style="1"/>
    <col min="4608" max="4608" width="5" style="1" customWidth="1"/>
    <col min="4609" max="4609" width="20.5" style="1" customWidth="1"/>
    <col min="4610" max="4610" width="2.375" style="1" customWidth="1"/>
    <col min="4611" max="4611" width="3.75" style="1" customWidth="1"/>
    <col min="4612" max="4613" width="5" style="1" customWidth="1"/>
    <col min="4614" max="4615" width="3.75" style="1" customWidth="1"/>
    <col min="4616" max="4617" width="5" style="1" customWidth="1"/>
    <col min="4618" max="4619" width="3.75" style="1" customWidth="1"/>
    <col min="4620" max="4621" width="5" style="1" customWidth="1"/>
    <col min="4622" max="4623" width="3.75" style="1" customWidth="1"/>
    <col min="4624" max="4625" width="5" style="1" customWidth="1"/>
    <col min="4626" max="4627" width="3.75" style="1" customWidth="1"/>
    <col min="4628" max="4629" width="5" style="1" customWidth="1"/>
    <col min="4630" max="4631" width="3.75" style="1" customWidth="1"/>
    <col min="4632" max="4632" width="3.5" style="1" customWidth="1"/>
    <col min="4633" max="4863" width="9" style="1"/>
    <col min="4864" max="4864" width="5" style="1" customWidth="1"/>
    <col min="4865" max="4865" width="20.5" style="1" customWidth="1"/>
    <col min="4866" max="4866" width="2.375" style="1" customWidth="1"/>
    <col min="4867" max="4867" width="3.75" style="1" customWidth="1"/>
    <col min="4868" max="4869" width="5" style="1" customWidth="1"/>
    <col min="4870" max="4871" width="3.75" style="1" customWidth="1"/>
    <col min="4872" max="4873" width="5" style="1" customWidth="1"/>
    <col min="4874" max="4875" width="3.75" style="1" customWidth="1"/>
    <col min="4876" max="4877" width="5" style="1" customWidth="1"/>
    <col min="4878" max="4879" width="3.75" style="1" customWidth="1"/>
    <col min="4880" max="4881" width="5" style="1" customWidth="1"/>
    <col min="4882" max="4883" width="3.75" style="1" customWidth="1"/>
    <col min="4884" max="4885" width="5" style="1" customWidth="1"/>
    <col min="4886" max="4887" width="3.75" style="1" customWidth="1"/>
    <col min="4888" max="4888" width="3.5" style="1" customWidth="1"/>
    <col min="4889" max="5119" width="9" style="1"/>
    <col min="5120" max="5120" width="5" style="1" customWidth="1"/>
    <col min="5121" max="5121" width="20.5" style="1" customWidth="1"/>
    <col min="5122" max="5122" width="2.375" style="1" customWidth="1"/>
    <col min="5123" max="5123" width="3.75" style="1" customWidth="1"/>
    <col min="5124" max="5125" width="5" style="1" customWidth="1"/>
    <col min="5126" max="5127" width="3.75" style="1" customWidth="1"/>
    <col min="5128" max="5129" width="5" style="1" customWidth="1"/>
    <col min="5130" max="5131" width="3.75" style="1" customWidth="1"/>
    <col min="5132" max="5133" width="5" style="1" customWidth="1"/>
    <col min="5134" max="5135" width="3.75" style="1" customWidth="1"/>
    <col min="5136" max="5137" width="5" style="1" customWidth="1"/>
    <col min="5138" max="5139" width="3.75" style="1" customWidth="1"/>
    <col min="5140" max="5141" width="5" style="1" customWidth="1"/>
    <col min="5142" max="5143" width="3.75" style="1" customWidth="1"/>
    <col min="5144" max="5144" width="3.5" style="1" customWidth="1"/>
    <col min="5145" max="5375" width="9" style="1"/>
    <col min="5376" max="5376" width="5" style="1" customWidth="1"/>
    <col min="5377" max="5377" width="20.5" style="1" customWidth="1"/>
    <col min="5378" max="5378" width="2.375" style="1" customWidth="1"/>
    <col min="5379" max="5379" width="3.75" style="1" customWidth="1"/>
    <col min="5380" max="5381" width="5" style="1" customWidth="1"/>
    <col min="5382" max="5383" width="3.75" style="1" customWidth="1"/>
    <col min="5384" max="5385" width="5" style="1" customWidth="1"/>
    <col min="5386" max="5387" width="3.75" style="1" customWidth="1"/>
    <col min="5388" max="5389" width="5" style="1" customWidth="1"/>
    <col min="5390" max="5391" width="3.75" style="1" customWidth="1"/>
    <col min="5392" max="5393" width="5" style="1" customWidth="1"/>
    <col min="5394" max="5395" width="3.75" style="1" customWidth="1"/>
    <col min="5396" max="5397" width="5" style="1" customWidth="1"/>
    <col min="5398" max="5399" width="3.75" style="1" customWidth="1"/>
    <col min="5400" max="5400" width="3.5" style="1" customWidth="1"/>
    <col min="5401" max="5631" width="9" style="1"/>
    <col min="5632" max="5632" width="5" style="1" customWidth="1"/>
    <col min="5633" max="5633" width="20.5" style="1" customWidth="1"/>
    <col min="5634" max="5634" width="2.375" style="1" customWidth="1"/>
    <col min="5635" max="5635" width="3.75" style="1" customWidth="1"/>
    <col min="5636" max="5637" width="5" style="1" customWidth="1"/>
    <col min="5638" max="5639" width="3.75" style="1" customWidth="1"/>
    <col min="5640" max="5641" width="5" style="1" customWidth="1"/>
    <col min="5642" max="5643" width="3.75" style="1" customWidth="1"/>
    <col min="5644" max="5645" width="5" style="1" customWidth="1"/>
    <col min="5646" max="5647" width="3.75" style="1" customWidth="1"/>
    <col min="5648" max="5649" width="5" style="1" customWidth="1"/>
    <col min="5650" max="5651" width="3.75" style="1" customWidth="1"/>
    <col min="5652" max="5653" width="5" style="1" customWidth="1"/>
    <col min="5654" max="5655" width="3.75" style="1" customWidth="1"/>
    <col min="5656" max="5656" width="3.5" style="1" customWidth="1"/>
    <col min="5657" max="5887" width="9" style="1"/>
    <col min="5888" max="5888" width="5" style="1" customWidth="1"/>
    <col min="5889" max="5889" width="20.5" style="1" customWidth="1"/>
    <col min="5890" max="5890" width="2.375" style="1" customWidth="1"/>
    <col min="5891" max="5891" width="3.75" style="1" customWidth="1"/>
    <col min="5892" max="5893" width="5" style="1" customWidth="1"/>
    <col min="5894" max="5895" width="3.75" style="1" customWidth="1"/>
    <col min="5896" max="5897" width="5" style="1" customWidth="1"/>
    <col min="5898" max="5899" width="3.75" style="1" customWidth="1"/>
    <col min="5900" max="5901" width="5" style="1" customWidth="1"/>
    <col min="5902" max="5903" width="3.75" style="1" customWidth="1"/>
    <col min="5904" max="5905" width="5" style="1" customWidth="1"/>
    <col min="5906" max="5907" width="3.75" style="1" customWidth="1"/>
    <col min="5908" max="5909" width="5" style="1" customWidth="1"/>
    <col min="5910" max="5911" width="3.75" style="1" customWidth="1"/>
    <col min="5912" max="5912" width="3.5" style="1" customWidth="1"/>
    <col min="5913" max="6143" width="9" style="1"/>
    <col min="6144" max="6144" width="5" style="1" customWidth="1"/>
    <col min="6145" max="6145" width="20.5" style="1" customWidth="1"/>
    <col min="6146" max="6146" width="2.375" style="1" customWidth="1"/>
    <col min="6147" max="6147" width="3.75" style="1" customWidth="1"/>
    <col min="6148" max="6149" width="5" style="1" customWidth="1"/>
    <col min="6150" max="6151" width="3.75" style="1" customWidth="1"/>
    <col min="6152" max="6153" width="5" style="1" customWidth="1"/>
    <col min="6154" max="6155" width="3.75" style="1" customWidth="1"/>
    <col min="6156" max="6157" width="5" style="1" customWidth="1"/>
    <col min="6158" max="6159" width="3.75" style="1" customWidth="1"/>
    <col min="6160" max="6161" width="5" style="1" customWidth="1"/>
    <col min="6162" max="6163" width="3.75" style="1" customWidth="1"/>
    <col min="6164" max="6165" width="5" style="1" customWidth="1"/>
    <col min="6166" max="6167" width="3.75" style="1" customWidth="1"/>
    <col min="6168" max="6168" width="3.5" style="1" customWidth="1"/>
    <col min="6169" max="6399" width="9" style="1"/>
    <col min="6400" max="6400" width="5" style="1" customWidth="1"/>
    <col min="6401" max="6401" width="20.5" style="1" customWidth="1"/>
    <col min="6402" max="6402" width="2.375" style="1" customWidth="1"/>
    <col min="6403" max="6403" width="3.75" style="1" customWidth="1"/>
    <col min="6404" max="6405" width="5" style="1" customWidth="1"/>
    <col min="6406" max="6407" width="3.75" style="1" customWidth="1"/>
    <col min="6408" max="6409" width="5" style="1" customWidth="1"/>
    <col min="6410" max="6411" width="3.75" style="1" customWidth="1"/>
    <col min="6412" max="6413" width="5" style="1" customWidth="1"/>
    <col min="6414" max="6415" width="3.75" style="1" customWidth="1"/>
    <col min="6416" max="6417" width="5" style="1" customWidth="1"/>
    <col min="6418" max="6419" width="3.75" style="1" customWidth="1"/>
    <col min="6420" max="6421" width="5" style="1" customWidth="1"/>
    <col min="6422" max="6423" width="3.75" style="1" customWidth="1"/>
    <col min="6424" max="6424" width="3.5" style="1" customWidth="1"/>
    <col min="6425" max="6655" width="9" style="1"/>
    <col min="6656" max="6656" width="5" style="1" customWidth="1"/>
    <col min="6657" max="6657" width="20.5" style="1" customWidth="1"/>
    <col min="6658" max="6658" width="2.375" style="1" customWidth="1"/>
    <col min="6659" max="6659" width="3.75" style="1" customWidth="1"/>
    <col min="6660" max="6661" width="5" style="1" customWidth="1"/>
    <col min="6662" max="6663" width="3.75" style="1" customWidth="1"/>
    <col min="6664" max="6665" width="5" style="1" customWidth="1"/>
    <col min="6666" max="6667" width="3.75" style="1" customWidth="1"/>
    <col min="6668" max="6669" width="5" style="1" customWidth="1"/>
    <col min="6670" max="6671" width="3.75" style="1" customWidth="1"/>
    <col min="6672" max="6673" width="5" style="1" customWidth="1"/>
    <col min="6674" max="6675" width="3.75" style="1" customWidth="1"/>
    <col min="6676" max="6677" width="5" style="1" customWidth="1"/>
    <col min="6678" max="6679" width="3.75" style="1" customWidth="1"/>
    <col min="6680" max="6680" width="3.5" style="1" customWidth="1"/>
    <col min="6681" max="6911" width="9" style="1"/>
    <col min="6912" max="6912" width="5" style="1" customWidth="1"/>
    <col min="6913" max="6913" width="20.5" style="1" customWidth="1"/>
    <col min="6914" max="6914" width="2.375" style="1" customWidth="1"/>
    <col min="6915" max="6915" width="3.75" style="1" customWidth="1"/>
    <col min="6916" max="6917" width="5" style="1" customWidth="1"/>
    <col min="6918" max="6919" width="3.75" style="1" customWidth="1"/>
    <col min="6920" max="6921" width="5" style="1" customWidth="1"/>
    <col min="6922" max="6923" width="3.75" style="1" customWidth="1"/>
    <col min="6924" max="6925" width="5" style="1" customWidth="1"/>
    <col min="6926" max="6927" width="3.75" style="1" customWidth="1"/>
    <col min="6928" max="6929" width="5" style="1" customWidth="1"/>
    <col min="6930" max="6931" width="3.75" style="1" customWidth="1"/>
    <col min="6932" max="6933" width="5" style="1" customWidth="1"/>
    <col min="6934" max="6935" width="3.75" style="1" customWidth="1"/>
    <col min="6936" max="6936" width="3.5" style="1" customWidth="1"/>
    <col min="6937" max="7167" width="9" style="1"/>
    <col min="7168" max="7168" width="5" style="1" customWidth="1"/>
    <col min="7169" max="7169" width="20.5" style="1" customWidth="1"/>
    <col min="7170" max="7170" width="2.375" style="1" customWidth="1"/>
    <col min="7171" max="7171" width="3.75" style="1" customWidth="1"/>
    <col min="7172" max="7173" width="5" style="1" customWidth="1"/>
    <col min="7174" max="7175" width="3.75" style="1" customWidth="1"/>
    <col min="7176" max="7177" width="5" style="1" customWidth="1"/>
    <col min="7178" max="7179" width="3.75" style="1" customWidth="1"/>
    <col min="7180" max="7181" width="5" style="1" customWidth="1"/>
    <col min="7182" max="7183" width="3.75" style="1" customWidth="1"/>
    <col min="7184" max="7185" width="5" style="1" customWidth="1"/>
    <col min="7186" max="7187" width="3.75" style="1" customWidth="1"/>
    <col min="7188" max="7189" width="5" style="1" customWidth="1"/>
    <col min="7190" max="7191" width="3.75" style="1" customWidth="1"/>
    <col min="7192" max="7192" width="3.5" style="1" customWidth="1"/>
    <col min="7193" max="7423" width="9" style="1"/>
    <col min="7424" max="7424" width="5" style="1" customWidth="1"/>
    <col min="7425" max="7425" width="20.5" style="1" customWidth="1"/>
    <col min="7426" max="7426" width="2.375" style="1" customWidth="1"/>
    <col min="7427" max="7427" width="3.75" style="1" customWidth="1"/>
    <col min="7428" max="7429" width="5" style="1" customWidth="1"/>
    <col min="7430" max="7431" width="3.75" style="1" customWidth="1"/>
    <col min="7432" max="7433" width="5" style="1" customWidth="1"/>
    <col min="7434" max="7435" width="3.75" style="1" customWidth="1"/>
    <col min="7436" max="7437" width="5" style="1" customWidth="1"/>
    <col min="7438" max="7439" width="3.75" style="1" customWidth="1"/>
    <col min="7440" max="7441" width="5" style="1" customWidth="1"/>
    <col min="7442" max="7443" width="3.75" style="1" customWidth="1"/>
    <col min="7444" max="7445" width="5" style="1" customWidth="1"/>
    <col min="7446" max="7447" width="3.75" style="1" customWidth="1"/>
    <col min="7448" max="7448" width="3.5" style="1" customWidth="1"/>
    <col min="7449" max="7679" width="9" style="1"/>
    <col min="7680" max="7680" width="5" style="1" customWidth="1"/>
    <col min="7681" max="7681" width="20.5" style="1" customWidth="1"/>
    <col min="7682" max="7682" width="2.375" style="1" customWidth="1"/>
    <col min="7683" max="7683" width="3.75" style="1" customWidth="1"/>
    <col min="7684" max="7685" width="5" style="1" customWidth="1"/>
    <col min="7686" max="7687" width="3.75" style="1" customWidth="1"/>
    <col min="7688" max="7689" width="5" style="1" customWidth="1"/>
    <col min="7690" max="7691" width="3.75" style="1" customWidth="1"/>
    <col min="7692" max="7693" width="5" style="1" customWidth="1"/>
    <col min="7694" max="7695" width="3.75" style="1" customWidth="1"/>
    <col min="7696" max="7697" width="5" style="1" customWidth="1"/>
    <col min="7698" max="7699" width="3.75" style="1" customWidth="1"/>
    <col min="7700" max="7701" width="5" style="1" customWidth="1"/>
    <col min="7702" max="7703" width="3.75" style="1" customWidth="1"/>
    <col min="7704" max="7704" width="3.5" style="1" customWidth="1"/>
    <col min="7705" max="7935" width="9" style="1"/>
    <col min="7936" max="7936" width="5" style="1" customWidth="1"/>
    <col min="7937" max="7937" width="20.5" style="1" customWidth="1"/>
    <col min="7938" max="7938" width="2.375" style="1" customWidth="1"/>
    <col min="7939" max="7939" width="3.75" style="1" customWidth="1"/>
    <col min="7940" max="7941" width="5" style="1" customWidth="1"/>
    <col min="7942" max="7943" width="3.75" style="1" customWidth="1"/>
    <col min="7944" max="7945" width="5" style="1" customWidth="1"/>
    <col min="7946" max="7947" width="3.75" style="1" customWidth="1"/>
    <col min="7948" max="7949" width="5" style="1" customWidth="1"/>
    <col min="7950" max="7951" width="3.75" style="1" customWidth="1"/>
    <col min="7952" max="7953" width="5" style="1" customWidth="1"/>
    <col min="7954" max="7955" width="3.75" style="1" customWidth="1"/>
    <col min="7956" max="7957" width="5" style="1" customWidth="1"/>
    <col min="7958" max="7959" width="3.75" style="1" customWidth="1"/>
    <col min="7960" max="7960" width="3.5" style="1" customWidth="1"/>
    <col min="7961" max="8191" width="9" style="1"/>
    <col min="8192" max="8192" width="5" style="1" customWidth="1"/>
    <col min="8193" max="8193" width="20.5" style="1" customWidth="1"/>
    <col min="8194" max="8194" width="2.375" style="1" customWidth="1"/>
    <col min="8195" max="8195" width="3.75" style="1" customWidth="1"/>
    <col min="8196" max="8197" width="5" style="1" customWidth="1"/>
    <col min="8198" max="8199" width="3.75" style="1" customWidth="1"/>
    <col min="8200" max="8201" width="5" style="1" customWidth="1"/>
    <col min="8202" max="8203" width="3.75" style="1" customWidth="1"/>
    <col min="8204" max="8205" width="5" style="1" customWidth="1"/>
    <col min="8206" max="8207" width="3.75" style="1" customWidth="1"/>
    <col min="8208" max="8209" width="5" style="1" customWidth="1"/>
    <col min="8210" max="8211" width="3.75" style="1" customWidth="1"/>
    <col min="8212" max="8213" width="5" style="1" customWidth="1"/>
    <col min="8214" max="8215" width="3.75" style="1" customWidth="1"/>
    <col min="8216" max="8216" width="3.5" style="1" customWidth="1"/>
    <col min="8217" max="8447" width="9" style="1"/>
    <col min="8448" max="8448" width="5" style="1" customWidth="1"/>
    <col min="8449" max="8449" width="20.5" style="1" customWidth="1"/>
    <col min="8450" max="8450" width="2.375" style="1" customWidth="1"/>
    <col min="8451" max="8451" width="3.75" style="1" customWidth="1"/>
    <col min="8452" max="8453" width="5" style="1" customWidth="1"/>
    <col min="8454" max="8455" width="3.75" style="1" customWidth="1"/>
    <col min="8456" max="8457" width="5" style="1" customWidth="1"/>
    <col min="8458" max="8459" width="3.75" style="1" customWidth="1"/>
    <col min="8460" max="8461" width="5" style="1" customWidth="1"/>
    <col min="8462" max="8463" width="3.75" style="1" customWidth="1"/>
    <col min="8464" max="8465" width="5" style="1" customWidth="1"/>
    <col min="8466" max="8467" width="3.75" style="1" customWidth="1"/>
    <col min="8468" max="8469" width="5" style="1" customWidth="1"/>
    <col min="8470" max="8471" width="3.75" style="1" customWidth="1"/>
    <col min="8472" max="8472" width="3.5" style="1" customWidth="1"/>
    <col min="8473" max="8703" width="9" style="1"/>
    <col min="8704" max="8704" width="5" style="1" customWidth="1"/>
    <col min="8705" max="8705" width="20.5" style="1" customWidth="1"/>
    <col min="8706" max="8706" width="2.375" style="1" customWidth="1"/>
    <col min="8707" max="8707" width="3.75" style="1" customWidth="1"/>
    <col min="8708" max="8709" width="5" style="1" customWidth="1"/>
    <col min="8710" max="8711" width="3.75" style="1" customWidth="1"/>
    <col min="8712" max="8713" width="5" style="1" customWidth="1"/>
    <col min="8714" max="8715" width="3.75" style="1" customWidth="1"/>
    <col min="8716" max="8717" width="5" style="1" customWidth="1"/>
    <col min="8718" max="8719" width="3.75" style="1" customWidth="1"/>
    <col min="8720" max="8721" width="5" style="1" customWidth="1"/>
    <col min="8722" max="8723" width="3.75" style="1" customWidth="1"/>
    <col min="8724" max="8725" width="5" style="1" customWidth="1"/>
    <col min="8726" max="8727" width="3.75" style="1" customWidth="1"/>
    <col min="8728" max="8728" width="3.5" style="1" customWidth="1"/>
    <col min="8729" max="8959" width="9" style="1"/>
    <col min="8960" max="8960" width="5" style="1" customWidth="1"/>
    <col min="8961" max="8961" width="20.5" style="1" customWidth="1"/>
    <col min="8962" max="8962" width="2.375" style="1" customWidth="1"/>
    <col min="8963" max="8963" width="3.75" style="1" customWidth="1"/>
    <col min="8964" max="8965" width="5" style="1" customWidth="1"/>
    <col min="8966" max="8967" width="3.75" style="1" customWidth="1"/>
    <col min="8968" max="8969" width="5" style="1" customWidth="1"/>
    <col min="8970" max="8971" width="3.75" style="1" customWidth="1"/>
    <col min="8972" max="8973" width="5" style="1" customWidth="1"/>
    <col min="8974" max="8975" width="3.75" style="1" customWidth="1"/>
    <col min="8976" max="8977" width="5" style="1" customWidth="1"/>
    <col min="8978" max="8979" width="3.75" style="1" customWidth="1"/>
    <col min="8980" max="8981" width="5" style="1" customWidth="1"/>
    <col min="8982" max="8983" width="3.75" style="1" customWidth="1"/>
    <col min="8984" max="8984" width="3.5" style="1" customWidth="1"/>
    <col min="8985" max="9215" width="9" style="1"/>
    <col min="9216" max="9216" width="5" style="1" customWidth="1"/>
    <col min="9217" max="9217" width="20.5" style="1" customWidth="1"/>
    <col min="9218" max="9218" width="2.375" style="1" customWidth="1"/>
    <col min="9219" max="9219" width="3.75" style="1" customWidth="1"/>
    <col min="9220" max="9221" width="5" style="1" customWidth="1"/>
    <col min="9222" max="9223" width="3.75" style="1" customWidth="1"/>
    <col min="9224" max="9225" width="5" style="1" customWidth="1"/>
    <col min="9226" max="9227" width="3.75" style="1" customWidth="1"/>
    <col min="9228" max="9229" width="5" style="1" customWidth="1"/>
    <col min="9230" max="9231" width="3.75" style="1" customWidth="1"/>
    <col min="9232" max="9233" width="5" style="1" customWidth="1"/>
    <col min="9234" max="9235" width="3.75" style="1" customWidth="1"/>
    <col min="9236" max="9237" width="5" style="1" customWidth="1"/>
    <col min="9238" max="9239" width="3.75" style="1" customWidth="1"/>
    <col min="9240" max="9240" width="3.5" style="1" customWidth="1"/>
    <col min="9241" max="9471" width="9" style="1"/>
    <col min="9472" max="9472" width="5" style="1" customWidth="1"/>
    <col min="9473" max="9473" width="20.5" style="1" customWidth="1"/>
    <col min="9474" max="9474" width="2.375" style="1" customWidth="1"/>
    <col min="9475" max="9475" width="3.75" style="1" customWidth="1"/>
    <col min="9476" max="9477" width="5" style="1" customWidth="1"/>
    <col min="9478" max="9479" width="3.75" style="1" customWidth="1"/>
    <col min="9480" max="9481" width="5" style="1" customWidth="1"/>
    <col min="9482" max="9483" width="3.75" style="1" customWidth="1"/>
    <col min="9484" max="9485" width="5" style="1" customWidth="1"/>
    <col min="9486" max="9487" width="3.75" style="1" customWidth="1"/>
    <col min="9488" max="9489" width="5" style="1" customWidth="1"/>
    <col min="9490" max="9491" width="3.75" style="1" customWidth="1"/>
    <col min="9492" max="9493" width="5" style="1" customWidth="1"/>
    <col min="9494" max="9495" width="3.75" style="1" customWidth="1"/>
    <col min="9496" max="9496" width="3.5" style="1" customWidth="1"/>
    <col min="9497" max="9727" width="9" style="1"/>
    <col min="9728" max="9728" width="5" style="1" customWidth="1"/>
    <col min="9729" max="9729" width="20.5" style="1" customWidth="1"/>
    <col min="9730" max="9730" width="2.375" style="1" customWidth="1"/>
    <col min="9731" max="9731" width="3.75" style="1" customWidth="1"/>
    <col min="9732" max="9733" width="5" style="1" customWidth="1"/>
    <col min="9734" max="9735" width="3.75" style="1" customWidth="1"/>
    <col min="9736" max="9737" width="5" style="1" customWidth="1"/>
    <col min="9738" max="9739" width="3.75" style="1" customWidth="1"/>
    <col min="9740" max="9741" width="5" style="1" customWidth="1"/>
    <col min="9742" max="9743" width="3.75" style="1" customWidth="1"/>
    <col min="9744" max="9745" width="5" style="1" customWidth="1"/>
    <col min="9746" max="9747" width="3.75" style="1" customWidth="1"/>
    <col min="9748" max="9749" width="5" style="1" customWidth="1"/>
    <col min="9750" max="9751" width="3.75" style="1" customWidth="1"/>
    <col min="9752" max="9752" width="3.5" style="1" customWidth="1"/>
    <col min="9753" max="9983" width="9" style="1"/>
    <col min="9984" max="9984" width="5" style="1" customWidth="1"/>
    <col min="9985" max="9985" width="20.5" style="1" customWidth="1"/>
    <col min="9986" max="9986" width="2.375" style="1" customWidth="1"/>
    <col min="9987" max="9987" width="3.75" style="1" customWidth="1"/>
    <col min="9988" max="9989" width="5" style="1" customWidth="1"/>
    <col min="9990" max="9991" width="3.75" style="1" customWidth="1"/>
    <col min="9992" max="9993" width="5" style="1" customWidth="1"/>
    <col min="9994" max="9995" width="3.75" style="1" customWidth="1"/>
    <col min="9996" max="9997" width="5" style="1" customWidth="1"/>
    <col min="9998" max="9999" width="3.75" style="1" customWidth="1"/>
    <col min="10000" max="10001" width="5" style="1" customWidth="1"/>
    <col min="10002" max="10003" width="3.75" style="1" customWidth="1"/>
    <col min="10004" max="10005" width="5" style="1" customWidth="1"/>
    <col min="10006" max="10007" width="3.75" style="1" customWidth="1"/>
    <col min="10008" max="10008" width="3.5" style="1" customWidth="1"/>
    <col min="10009" max="10239" width="9" style="1"/>
    <col min="10240" max="10240" width="5" style="1" customWidth="1"/>
    <col min="10241" max="10241" width="20.5" style="1" customWidth="1"/>
    <col min="10242" max="10242" width="2.375" style="1" customWidth="1"/>
    <col min="10243" max="10243" width="3.75" style="1" customWidth="1"/>
    <col min="10244" max="10245" width="5" style="1" customWidth="1"/>
    <col min="10246" max="10247" width="3.75" style="1" customWidth="1"/>
    <col min="10248" max="10249" width="5" style="1" customWidth="1"/>
    <col min="10250" max="10251" width="3.75" style="1" customWidth="1"/>
    <col min="10252" max="10253" width="5" style="1" customWidth="1"/>
    <col min="10254" max="10255" width="3.75" style="1" customWidth="1"/>
    <col min="10256" max="10257" width="5" style="1" customWidth="1"/>
    <col min="10258" max="10259" width="3.75" style="1" customWidth="1"/>
    <col min="10260" max="10261" width="5" style="1" customWidth="1"/>
    <col min="10262" max="10263" width="3.75" style="1" customWidth="1"/>
    <col min="10264" max="10264" width="3.5" style="1" customWidth="1"/>
    <col min="10265" max="10495" width="9" style="1"/>
    <col min="10496" max="10496" width="5" style="1" customWidth="1"/>
    <col min="10497" max="10497" width="20.5" style="1" customWidth="1"/>
    <col min="10498" max="10498" width="2.375" style="1" customWidth="1"/>
    <col min="10499" max="10499" width="3.75" style="1" customWidth="1"/>
    <col min="10500" max="10501" width="5" style="1" customWidth="1"/>
    <col min="10502" max="10503" width="3.75" style="1" customWidth="1"/>
    <col min="10504" max="10505" width="5" style="1" customWidth="1"/>
    <col min="10506" max="10507" width="3.75" style="1" customWidth="1"/>
    <col min="10508" max="10509" width="5" style="1" customWidth="1"/>
    <col min="10510" max="10511" width="3.75" style="1" customWidth="1"/>
    <col min="10512" max="10513" width="5" style="1" customWidth="1"/>
    <col min="10514" max="10515" width="3.75" style="1" customWidth="1"/>
    <col min="10516" max="10517" width="5" style="1" customWidth="1"/>
    <col min="10518" max="10519" width="3.75" style="1" customWidth="1"/>
    <col min="10520" max="10520" width="3.5" style="1" customWidth="1"/>
    <col min="10521" max="10751" width="9" style="1"/>
    <col min="10752" max="10752" width="5" style="1" customWidth="1"/>
    <col min="10753" max="10753" width="20.5" style="1" customWidth="1"/>
    <col min="10754" max="10754" width="2.375" style="1" customWidth="1"/>
    <col min="10755" max="10755" width="3.75" style="1" customWidth="1"/>
    <col min="10756" max="10757" width="5" style="1" customWidth="1"/>
    <col min="10758" max="10759" width="3.75" style="1" customWidth="1"/>
    <col min="10760" max="10761" width="5" style="1" customWidth="1"/>
    <col min="10762" max="10763" width="3.75" style="1" customWidth="1"/>
    <col min="10764" max="10765" width="5" style="1" customWidth="1"/>
    <col min="10766" max="10767" width="3.75" style="1" customWidth="1"/>
    <col min="10768" max="10769" width="5" style="1" customWidth="1"/>
    <col min="10770" max="10771" width="3.75" style="1" customWidth="1"/>
    <col min="10772" max="10773" width="5" style="1" customWidth="1"/>
    <col min="10774" max="10775" width="3.75" style="1" customWidth="1"/>
    <col min="10776" max="10776" width="3.5" style="1" customWidth="1"/>
    <col min="10777" max="11007" width="9" style="1"/>
    <col min="11008" max="11008" width="5" style="1" customWidth="1"/>
    <col min="11009" max="11009" width="20.5" style="1" customWidth="1"/>
    <col min="11010" max="11010" width="2.375" style="1" customWidth="1"/>
    <col min="11011" max="11011" width="3.75" style="1" customWidth="1"/>
    <col min="11012" max="11013" width="5" style="1" customWidth="1"/>
    <col min="11014" max="11015" width="3.75" style="1" customWidth="1"/>
    <col min="11016" max="11017" width="5" style="1" customWidth="1"/>
    <col min="11018" max="11019" width="3.75" style="1" customWidth="1"/>
    <col min="11020" max="11021" width="5" style="1" customWidth="1"/>
    <col min="11022" max="11023" width="3.75" style="1" customWidth="1"/>
    <col min="11024" max="11025" width="5" style="1" customWidth="1"/>
    <col min="11026" max="11027" width="3.75" style="1" customWidth="1"/>
    <col min="11028" max="11029" width="5" style="1" customWidth="1"/>
    <col min="11030" max="11031" width="3.75" style="1" customWidth="1"/>
    <col min="11032" max="11032" width="3.5" style="1" customWidth="1"/>
    <col min="11033" max="11263" width="9" style="1"/>
    <col min="11264" max="11264" width="5" style="1" customWidth="1"/>
    <col min="11265" max="11265" width="20.5" style="1" customWidth="1"/>
    <col min="11266" max="11266" width="2.375" style="1" customWidth="1"/>
    <col min="11267" max="11267" width="3.75" style="1" customWidth="1"/>
    <col min="11268" max="11269" width="5" style="1" customWidth="1"/>
    <col min="11270" max="11271" width="3.75" style="1" customWidth="1"/>
    <col min="11272" max="11273" width="5" style="1" customWidth="1"/>
    <col min="11274" max="11275" width="3.75" style="1" customWidth="1"/>
    <col min="11276" max="11277" width="5" style="1" customWidth="1"/>
    <col min="11278" max="11279" width="3.75" style="1" customWidth="1"/>
    <col min="11280" max="11281" width="5" style="1" customWidth="1"/>
    <col min="11282" max="11283" width="3.75" style="1" customWidth="1"/>
    <col min="11284" max="11285" width="5" style="1" customWidth="1"/>
    <col min="11286" max="11287" width="3.75" style="1" customWidth="1"/>
    <col min="11288" max="11288" width="3.5" style="1" customWidth="1"/>
    <col min="11289" max="11519" width="9" style="1"/>
    <col min="11520" max="11520" width="5" style="1" customWidth="1"/>
    <col min="11521" max="11521" width="20.5" style="1" customWidth="1"/>
    <col min="11522" max="11522" width="2.375" style="1" customWidth="1"/>
    <col min="11523" max="11523" width="3.75" style="1" customWidth="1"/>
    <col min="11524" max="11525" width="5" style="1" customWidth="1"/>
    <col min="11526" max="11527" width="3.75" style="1" customWidth="1"/>
    <col min="11528" max="11529" width="5" style="1" customWidth="1"/>
    <col min="11530" max="11531" width="3.75" style="1" customWidth="1"/>
    <col min="11532" max="11533" width="5" style="1" customWidth="1"/>
    <col min="11534" max="11535" width="3.75" style="1" customWidth="1"/>
    <col min="11536" max="11537" width="5" style="1" customWidth="1"/>
    <col min="11538" max="11539" width="3.75" style="1" customWidth="1"/>
    <col min="11540" max="11541" width="5" style="1" customWidth="1"/>
    <col min="11542" max="11543" width="3.75" style="1" customWidth="1"/>
    <col min="11544" max="11544" width="3.5" style="1" customWidth="1"/>
    <col min="11545" max="11775" width="9" style="1"/>
    <col min="11776" max="11776" width="5" style="1" customWidth="1"/>
    <col min="11777" max="11777" width="20.5" style="1" customWidth="1"/>
    <col min="11778" max="11778" width="2.375" style="1" customWidth="1"/>
    <col min="11779" max="11779" width="3.75" style="1" customWidth="1"/>
    <col min="11780" max="11781" width="5" style="1" customWidth="1"/>
    <col min="11782" max="11783" width="3.75" style="1" customWidth="1"/>
    <col min="11784" max="11785" width="5" style="1" customWidth="1"/>
    <col min="11786" max="11787" width="3.75" style="1" customWidth="1"/>
    <col min="11788" max="11789" width="5" style="1" customWidth="1"/>
    <col min="11790" max="11791" width="3.75" style="1" customWidth="1"/>
    <col min="11792" max="11793" width="5" style="1" customWidth="1"/>
    <col min="11794" max="11795" width="3.75" style="1" customWidth="1"/>
    <col min="11796" max="11797" width="5" style="1" customWidth="1"/>
    <col min="11798" max="11799" width="3.75" style="1" customWidth="1"/>
    <col min="11800" max="11800" width="3.5" style="1" customWidth="1"/>
    <col min="11801" max="12031" width="9" style="1"/>
    <col min="12032" max="12032" width="5" style="1" customWidth="1"/>
    <col min="12033" max="12033" width="20.5" style="1" customWidth="1"/>
    <col min="12034" max="12034" width="2.375" style="1" customWidth="1"/>
    <col min="12035" max="12035" width="3.75" style="1" customWidth="1"/>
    <col min="12036" max="12037" width="5" style="1" customWidth="1"/>
    <col min="12038" max="12039" width="3.75" style="1" customWidth="1"/>
    <col min="12040" max="12041" width="5" style="1" customWidth="1"/>
    <col min="12042" max="12043" width="3.75" style="1" customWidth="1"/>
    <col min="12044" max="12045" width="5" style="1" customWidth="1"/>
    <col min="12046" max="12047" width="3.75" style="1" customWidth="1"/>
    <col min="12048" max="12049" width="5" style="1" customWidth="1"/>
    <col min="12050" max="12051" width="3.75" style="1" customWidth="1"/>
    <col min="12052" max="12053" width="5" style="1" customWidth="1"/>
    <col min="12054" max="12055" width="3.75" style="1" customWidth="1"/>
    <col min="12056" max="12056" width="3.5" style="1" customWidth="1"/>
    <col min="12057" max="12287" width="9" style="1"/>
    <col min="12288" max="12288" width="5" style="1" customWidth="1"/>
    <col min="12289" max="12289" width="20.5" style="1" customWidth="1"/>
    <col min="12290" max="12290" width="2.375" style="1" customWidth="1"/>
    <col min="12291" max="12291" width="3.75" style="1" customWidth="1"/>
    <col min="12292" max="12293" width="5" style="1" customWidth="1"/>
    <col min="12294" max="12295" width="3.75" style="1" customWidth="1"/>
    <col min="12296" max="12297" width="5" style="1" customWidth="1"/>
    <col min="12298" max="12299" width="3.75" style="1" customWidth="1"/>
    <col min="12300" max="12301" width="5" style="1" customWidth="1"/>
    <col min="12302" max="12303" width="3.75" style="1" customWidth="1"/>
    <col min="12304" max="12305" width="5" style="1" customWidth="1"/>
    <col min="12306" max="12307" width="3.75" style="1" customWidth="1"/>
    <col min="12308" max="12309" width="5" style="1" customWidth="1"/>
    <col min="12310" max="12311" width="3.75" style="1" customWidth="1"/>
    <col min="12312" max="12312" width="3.5" style="1" customWidth="1"/>
    <col min="12313" max="12543" width="9" style="1"/>
    <col min="12544" max="12544" width="5" style="1" customWidth="1"/>
    <col min="12545" max="12545" width="20.5" style="1" customWidth="1"/>
    <col min="12546" max="12546" width="2.375" style="1" customWidth="1"/>
    <col min="12547" max="12547" width="3.75" style="1" customWidth="1"/>
    <col min="12548" max="12549" width="5" style="1" customWidth="1"/>
    <col min="12550" max="12551" width="3.75" style="1" customWidth="1"/>
    <col min="12552" max="12553" width="5" style="1" customWidth="1"/>
    <col min="12554" max="12555" width="3.75" style="1" customWidth="1"/>
    <col min="12556" max="12557" width="5" style="1" customWidth="1"/>
    <col min="12558" max="12559" width="3.75" style="1" customWidth="1"/>
    <col min="12560" max="12561" width="5" style="1" customWidth="1"/>
    <col min="12562" max="12563" width="3.75" style="1" customWidth="1"/>
    <col min="12564" max="12565" width="5" style="1" customWidth="1"/>
    <col min="12566" max="12567" width="3.75" style="1" customWidth="1"/>
    <col min="12568" max="12568" width="3.5" style="1" customWidth="1"/>
    <col min="12569" max="12799" width="9" style="1"/>
    <col min="12800" max="12800" width="5" style="1" customWidth="1"/>
    <col min="12801" max="12801" width="20.5" style="1" customWidth="1"/>
    <col min="12802" max="12802" width="2.375" style="1" customWidth="1"/>
    <col min="12803" max="12803" width="3.75" style="1" customWidth="1"/>
    <col min="12804" max="12805" width="5" style="1" customWidth="1"/>
    <col min="12806" max="12807" width="3.75" style="1" customWidth="1"/>
    <col min="12808" max="12809" width="5" style="1" customWidth="1"/>
    <col min="12810" max="12811" width="3.75" style="1" customWidth="1"/>
    <col min="12812" max="12813" width="5" style="1" customWidth="1"/>
    <col min="12814" max="12815" width="3.75" style="1" customWidth="1"/>
    <col min="12816" max="12817" width="5" style="1" customWidth="1"/>
    <col min="12818" max="12819" width="3.75" style="1" customWidth="1"/>
    <col min="12820" max="12821" width="5" style="1" customWidth="1"/>
    <col min="12822" max="12823" width="3.75" style="1" customWidth="1"/>
    <col min="12824" max="12824" width="3.5" style="1" customWidth="1"/>
    <col min="12825" max="13055" width="9" style="1"/>
    <col min="13056" max="13056" width="5" style="1" customWidth="1"/>
    <col min="13057" max="13057" width="20.5" style="1" customWidth="1"/>
    <col min="13058" max="13058" width="2.375" style="1" customWidth="1"/>
    <col min="13059" max="13059" width="3.75" style="1" customWidth="1"/>
    <col min="13060" max="13061" width="5" style="1" customWidth="1"/>
    <col min="13062" max="13063" width="3.75" style="1" customWidth="1"/>
    <col min="13064" max="13065" width="5" style="1" customWidth="1"/>
    <col min="13066" max="13067" width="3.75" style="1" customWidth="1"/>
    <col min="13068" max="13069" width="5" style="1" customWidth="1"/>
    <col min="13070" max="13071" width="3.75" style="1" customWidth="1"/>
    <col min="13072" max="13073" width="5" style="1" customWidth="1"/>
    <col min="13074" max="13075" width="3.75" style="1" customWidth="1"/>
    <col min="13076" max="13077" width="5" style="1" customWidth="1"/>
    <col min="13078" max="13079" width="3.75" style="1" customWidth="1"/>
    <col min="13080" max="13080" width="3.5" style="1" customWidth="1"/>
    <col min="13081" max="13311" width="9" style="1"/>
    <col min="13312" max="13312" width="5" style="1" customWidth="1"/>
    <col min="13313" max="13313" width="20.5" style="1" customWidth="1"/>
    <col min="13314" max="13314" width="2.375" style="1" customWidth="1"/>
    <col min="13315" max="13315" width="3.75" style="1" customWidth="1"/>
    <col min="13316" max="13317" width="5" style="1" customWidth="1"/>
    <col min="13318" max="13319" width="3.75" style="1" customWidth="1"/>
    <col min="13320" max="13321" width="5" style="1" customWidth="1"/>
    <col min="13322" max="13323" width="3.75" style="1" customWidth="1"/>
    <col min="13324" max="13325" width="5" style="1" customWidth="1"/>
    <col min="13326" max="13327" width="3.75" style="1" customWidth="1"/>
    <col min="13328" max="13329" width="5" style="1" customWidth="1"/>
    <col min="13330" max="13331" width="3.75" style="1" customWidth="1"/>
    <col min="13332" max="13333" width="5" style="1" customWidth="1"/>
    <col min="13334" max="13335" width="3.75" style="1" customWidth="1"/>
    <col min="13336" max="13336" width="3.5" style="1" customWidth="1"/>
    <col min="13337" max="13567" width="9" style="1"/>
    <col min="13568" max="13568" width="5" style="1" customWidth="1"/>
    <col min="13569" max="13569" width="20.5" style="1" customWidth="1"/>
    <col min="13570" max="13570" width="2.375" style="1" customWidth="1"/>
    <col min="13571" max="13571" width="3.75" style="1" customWidth="1"/>
    <col min="13572" max="13573" width="5" style="1" customWidth="1"/>
    <col min="13574" max="13575" width="3.75" style="1" customWidth="1"/>
    <col min="13576" max="13577" width="5" style="1" customWidth="1"/>
    <col min="13578" max="13579" width="3.75" style="1" customWidth="1"/>
    <col min="13580" max="13581" width="5" style="1" customWidth="1"/>
    <col min="13582" max="13583" width="3.75" style="1" customWidth="1"/>
    <col min="13584" max="13585" width="5" style="1" customWidth="1"/>
    <col min="13586" max="13587" width="3.75" style="1" customWidth="1"/>
    <col min="13588" max="13589" width="5" style="1" customWidth="1"/>
    <col min="13590" max="13591" width="3.75" style="1" customWidth="1"/>
    <col min="13592" max="13592" width="3.5" style="1" customWidth="1"/>
    <col min="13593" max="13823" width="9" style="1"/>
    <col min="13824" max="13824" width="5" style="1" customWidth="1"/>
    <col min="13825" max="13825" width="20.5" style="1" customWidth="1"/>
    <col min="13826" max="13826" width="2.375" style="1" customWidth="1"/>
    <col min="13827" max="13827" width="3.75" style="1" customWidth="1"/>
    <col min="13828" max="13829" width="5" style="1" customWidth="1"/>
    <col min="13830" max="13831" width="3.75" style="1" customWidth="1"/>
    <col min="13832" max="13833" width="5" style="1" customWidth="1"/>
    <col min="13834" max="13835" width="3.75" style="1" customWidth="1"/>
    <col min="13836" max="13837" width="5" style="1" customWidth="1"/>
    <col min="13838" max="13839" width="3.75" style="1" customWidth="1"/>
    <col min="13840" max="13841" width="5" style="1" customWidth="1"/>
    <col min="13842" max="13843" width="3.75" style="1" customWidth="1"/>
    <col min="13844" max="13845" width="5" style="1" customWidth="1"/>
    <col min="13846" max="13847" width="3.75" style="1" customWidth="1"/>
    <col min="13848" max="13848" width="3.5" style="1" customWidth="1"/>
    <col min="13849" max="14079" width="9" style="1"/>
    <col min="14080" max="14080" width="5" style="1" customWidth="1"/>
    <col min="14081" max="14081" width="20.5" style="1" customWidth="1"/>
    <col min="14082" max="14082" width="2.375" style="1" customWidth="1"/>
    <col min="14083" max="14083" width="3.75" style="1" customWidth="1"/>
    <col min="14084" max="14085" width="5" style="1" customWidth="1"/>
    <col min="14086" max="14087" width="3.75" style="1" customWidth="1"/>
    <col min="14088" max="14089" width="5" style="1" customWidth="1"/>
    <col min="14090" max="14091" width="3.75" style="1" customWidth="1"/>
    <col min="14092" max="14093" width="5" style="1" customWidth="1"/>
    <col min="14094" max="14095" width="3.75" style="1" customWidth="1"/>
    <col min="14096" max="14097" width="5" style="1" customWidth="1"/>
    <col min="14098" max="14099" width="3.75" style="1" customWidth="1"/>
    <col min="14100" max="14101" width="5" style="1" customWidth="1"/>
    <col min="14102" max="14103" width="3.75" style="1" customWidth="1"/>
    <col min="14104" max="14104" width="3.5" style="1" customWidth="1"/>
    <col min="14105" max="14335" width="9" style="1"/>
    <col min="14336" max="14336" width="5" style="1" customWidth="1"/>
    <col min="14337" max="14337" width="20.5" style="1" customWidth="1"/>
    <col min="14338" max="14338" width="2.375" style="1" customWidth="1"/>
    <col min="14339" max="14339" width="3.75" style="1" customWidth="1"/>
    <col min="14340" max="14341" width="5" style="1" customWidth="1"/>
    <col min="14342" max="14343" width="3.75" style="1" customWidth="1"/>
    <col min="14344" max="14345" width="5" style="1" customWidth="1"/>
    <col min="14346" max="14347" width="3.75" style="1" customWidth="1"/>
    <col min="14348" max="14349" width="5" style="1" customWidth="1"/>
    <col min="14350" max="14351" width="3.75" style="1" customWidth="1"/>
    <col min="14352" max="14353" width="5" style="1" customWidth="1"/>
    <col min="14354" max="14355" width="3.75" style="1" customWidth="1"/>
    <col min="14356" max="14357" width="5" style="1" customWidth="1"/>
    <col min="14358" max="14359" width="3.75" style="1" customWidth="1"/>
    <col min="14360" max="14360" width="3.5" style="1" customWidth="1"/>
    <col min="14361" max="14591" width="9" style="1"/>
    <col min="14592" max="14592" width="5" style="1" customWidth="1"/>
    <col min="14593" max="14593" width="20.5" style="1" customWidth="1"/>
    <col min="14594" max="14594" width="2.375" style="1" customWidth="1"/>
    <col min="14595" max="14595" width="3.75" style="1" customWidth="1"/>
    <col min="14596" max="14597" width="5" style="1" customWidth="1"/>
    <col min="14598" max="14599" width="3.75" style="1" customWidth="1"/>
    <col min="14600" max="14601" width="5" style="1" customWidth="1"/>
    <col min="14602" max="14603" width="3.75" style="1" customWidth="1"/>
    <col min="14604" max="14605" width="5" style="1" customWidth="1"/>
    <col min="14606" max="14607" width="3.75" style="1" customWidth="1"/>
    <col min="14608" max="14609" width="5" style="1" customWidth="1"/>
    <col min="14610" max="14611" width="3.75" style="1" customWidth="1"/>
    <col min="14612" max="14613" width="5" style="1" customWidth="1"/>
    <col min="14614" max="14615" width="3.75" style="1" customWidth="1"/>
    <col min="14616" max="14616" width="3.5" style="1" customWidth="1"/>
    <col min="14617" max="14847" width="9" style="1"/>
    <col min="14848" max="14848" width="5" style="1" customWidth="1"/>
    <col min="14849" max="14849" width="20.5" style="1" customWidth="1"/>
    <col min="14850" max="14850" width="2.375" style="1" customWidth="1"/>
    <col min="14851" max="14851" width="3.75" style="1" customWidth="1"/>
    <col min="14852" max="14853" width="5" style="1" customWidth="1"/>
    <col min="14854" max="14855" width="3.75" style="1" customWidth="1"/>
    <col min="14856" max="14857" width="5" style="1" customWidth="1"/>
    <col min="14858" max="14859" width="3.75" style="1" customWidth="1"/>
    <col min="14860" max="14861" width="5" style="1" customWidth="1"/>
    <col min="14862" max="14863" width="3.75" style="1" customWidth="1"/>
    <col min="14864" max="14865" width="5" style="1" customWidth="1"/>
    <col min="14866" max="14867" width="3.75" style="1" customWidth="1"/>
    <col min="14868" max="14869" width="5" style="1" customWidth="1"/>
    <col min="14870" max="14871" width="3.75" style="1" customWidth="1"/>
    <col min="14872" max="14872" width="3.5" style="1" customWidth="1"/>
    <col min="14873" max="15103" width="9" style="1"/>
    <col min="15104" max="15104" width="5" style="1" customWidth="1"/>
    <col min="15105" max="15105" width="20.5" style="1" customWidth="1"/>
    <col min="15106" max="15106" width="2.375" style="1" customWidth="1"/>
    <col min="15107" max="15107" width="3.75" style="1" customWidth="1"/>
    <col min="15108" max="15109" width="5" style="1" customWidth="1"/>
    <col min="15110" max="15111" width="3.75" style="1" customWidth="1"/>
    <col min="15112" max="15113" width="5" style="1" customWidth="1"/>
    <col min="15114" max="15115" width="3.75" style="1" customWidth="1"/>
    <col min="15116" max="15117" width="5" style="1" customWidth="1"/>
    <col min="15118" max="15119" width="3.75" style="1" customWidth="1"/>
    <col min="15120" max="15121" width="5" style="1" customWidth="1"/>
    <col min="15122" max="15123" width="3.75" style="1" customWidth="1"/>
    <col min="15124" max="15125" width="5" style="1" customWidth="1"/>
    <col min="15126" max="15127" width="3.75" style="1" customWidth="1"/>
    <col min="15128" max="15128" width="3.5" style="1" customWidth="1"/>
    <col min="15129" max="15359" width="9" style="1"/>
    <col min="15360" max="15360" width="5" style="1" customWidth="1"/>
    <col min="15361" max="15361" width="20.5" style="1" customWidth="1"/>
    <col min="15362" max="15362" width="2.375" style="1" customWidth="1"/>
    <col min="15363" max="15363" width="3.75" style="1" customWidth="1"/>
    <col min="15364" max="15365" width="5" style="1" customWidth="1"/>
    <col min="15366" max="15367" width="3.75" style="1" customWidth="1"/>
    <col min="15368" max="15369" width="5" style="1" customWidth="1"/>
    <col min="15370" max="15371" width="3.75" style="1" customWidth="1"/>
    <col min="15372" max="15373" width="5" style="1" customWidth="1"/>
    <col min="15374" max="15375" width="3.75" style="1" customWidth="1"/>
    <col min="15376" max="15377" width="5" style="1" customWidth="1"/>
    <col min="15378" max="15379" width="3.75" style="1" customWidth="1"/>
    <col min="15380" max="15381" width="5" style="1" customWidth="1"/>
    <col min="15382" max="15383" width="3.75" style="1" customWidth="1"/>
    <col min="15384" max="15384" width="3.5" style="1" customWidth="1"/>
    <col min="15385" max="15615" width="9" style="1"/>
    <col min="15616" max="15616" width="5" style="1" customWidth="1"/>
    <col min="15617" max="15617" width="20.5" style="1" customWidth="1"/>
    <col min="15618" max="15618" width="2.375" style="1" customWidth="1"/>
    <col min="15619" max="15619" width="3.75" style="1" customWidth="1"/>
    <col min="15620" max="15621" width="5" style="1" customWidth="1"/>
    <col min="15622" max="15623" width="3.75" style="1" customWidth="1"/>
    <col min="15624" max="15625" width="5" style="1" customWidth="1"/>
    <col min="15626" max="15627" width="3.75" style="1" customWidth="1"/>
    <col min="15628" max="15629" width="5" style="1" customWidth="1"/>
    <col min="15630" max="15631" width="3.75" style="1" customWidth="1"/>
    <col min="15632" max="15633" width="5" style="1" customWidth="1"/>
    <col min="15634" max="15635" width="3.75" style="1" customWidth="1"/>
    <col min="15636" max="15637" width="5" style="1" customWidth="1"/>
    <col min="15638" max="15639" width="3.75" style="1" customWidth="1"/>
    <col min="15640" max="15640" width="3.5" style="1" customWidth="1"/>
    <col min="15641" max="15871" width="9" style="1"/>
    <col min="15872" max="15872" width="5" style="1" customWidth="1"/>
    <col min="15873" max="15873" width="20.5" style="1" customWidth="1"/>
    <col min="15874" max="15874" width="2.375" style="1" customWidth="1"/>
    <col min="15875" max="15875" width="3.75" style="1" customWidth="1"/>
    <col min="15876" max="15877" width="5" style="1" customWidth="1"/>
    <col min="15878" max="15879" width="3.75" style="1" customWidth="1"/>
    <col min="15880" max="15881" width="5" style="1" customWidth="1"/>
    <col min="15882" max="15883" width="3.75" style="1" customWidth="1"/>
    <col min="15884" max="15885" width="5" style="1" customWidth="1"/>
    <col min="15886" max="15887" width="3.75" style="1" customWidth="1"/>
    <col min="15888" max="15889" width="5" style="1" customWidth="1"/>
    <col min="15890" max="15891" width="3.75" style="1" customWidth="1"/>
    <col min="15892" max="15893" width="5" style="1" customWidth="1"/>
    <col min="15894" max="15895" width="3.75" style="1" customWidth="1"/>
    <col min="15896" max="15896" width="3.5" style="1" customWidth="1"/>
    <col min="15897" max="16127" width="9" style="1"/>
    <col min="16128" max="16128" width="5" style="1" customWidth="1"/>
    <col min="16129" max="16129" width="20.5" style="1" customWidth="1"/>
    <col min="16130" max="16130" width="2.375" style="1" customWidth="1"/>
    <col min="16131" max="16131" width="3.75" style="1" customWidth="1"/>
    <col min="16132" max="16133" width="5" style="1" customWidth="1"/>
    <col min="16134" max="16135" width="3.75" style="1" customWidth="1"/>
    <col min="16136" max="16137" width="5" style="1" customWidth="1"/>
    <col min="16138" max="16139" width="3.75" style="1" customWidth="1"/>
    <col min="16140" max="16141" width="5" style="1" customWidth="1"/>
    <col min="16142" max="16143" width="3.75" style="1" customWidth="1"/>
    <col min="16144" max="16145" width="5" style="1" customWidth="1"/>
    <col min="16146" max="16147" width="3.75" style="1" customWidth="1"/>
    <col min="16148" max="16149" width="5" style="1" customWidth="1"/>
    <col min="16150" max="16151" width="3.75" style="1" customWidth="1"/>
    <col min="16152" max="16152" width="3.5" style="1" customWidth="1"/>
    <col min="16153" max="16383" width="9" style="1"/>
    <col min="16384" max="16384" width="9" style="1" customWidth="1"/>
  </cols>
  <sheetData>
    <row r="1" spans="1:29" x14ac:dyDescent="0.2">
      <c r="A1" s="2" t="s">
        <v>0</v>
      </c>
      <c r="K1" s="127" t="s">
        <v>23</v>
      </c>
      <c r="L1" s="127"/>
      <c r="M1" s="127"/>
    </row>
    <row r="2" spans="1:29" x14ac:dyDescent="0.2">
      <c r="A2" s="2" t="s">
        <v>18</v>
      </c>
      <c r="K2" s="127"/>
      <c r="L2" s="127"/>
      <c r="M2" s="127"/>
      <c r="U2" s="128" t="str">
        <f ca="1">Y2</f>
        <v>Novi</v>
      </c>
      <c r="V2" s="128"/>
      <c r="W2" s="128"/>
      <c r="Y2" s="5" t="str">
        <f ca="1">MID(CELL("filename",A1),FIND("]",CELL("filename",A1))+1,256)</f>
        <v>Novi</v>
      </c>
    </row>
    <row r="3" spans="1:29" x14ac:dyDescent="0.2">
      <c r="A3" s="2" t="s">
        <v>1</v>
      </c>
      <c r="U3" s="128"/>
      <c r="V3" s="128"/>
      <c r="W3" s="128"/>
    </row>
    <row r="4" spans="1:29" x14ac:dyDescent="0.2">
      <c r="A4" s="8" t="s">
        <v>19</v>
      </c>
      <c r="I4" s="127" t="s">
        <v>3</v>
      </c>
      <c r="J4" s="127"/>
      <c r="K4" s="127"/>
      <c r="L4" s="127"/>
      <c r="M4" s="127"/>
      <c r="N4" s="127"/>
      <c r="O4" s="127"/>
      <c r="U4" s="128"/>
      <c r="V4" s="128"/>
      <c r="W4" s="128"/>
    </row>
    <row r="5" spans="1:29" x14ac:dyDescent="0.2">
      <c r="A5" s="9" t="s">
        <v>21</v>
      </c>
      <c r="B5" s="2" t="s">
        <v>27</v>
      </c>
      <c r="I5" s="127"/>
      <c r="J5" s="127"/>
      <c r="K5" s="127"/>
      <c r="L5" s="127"/>
      <c r="M5" s="127"/>
      <c r="N5" s="127"/>
      <c r="O5" s="127"/>
    </row>
    <row r="6" spans="1:29" ht="13.5" thickBot="1" x14ac:dyDescent="0.25"/>
    <row r="7" spans="1:29" ht="15.95" customHeight="1" thickTop="1" thickBot="1" x14ac:dyDescent="0.25">
      <c r="A7" s="150" t="s">
        <v>4</v>
      </c>
      <c r="B7" s="130"/>
      <c r="C7" s="130"/>
      <c r="D7" s="131" t="s">
        <v>311</v>
      </c>
      <c r="E7" s="132"/>
      <c r="F7" s="133"/>
      <c r="G7" s="134"/>
      <c r="H7" s="131" t="s">
        <v>312</v>
      </c>
      <c r="I7" s="132"/>
      <c r="J7" s="133"/>
      <c r="K7" s="134"/>
      <c r="L7" s="131"/>
      <c r="M7" s="132"/>
      <c r="N7" s="133"/>
      <c r="O7" s="134"/>
      <c r="P7" s="131"/>
      <c r="Q7" s="132"/>
      <c r="R7" s="133"/>
      <c r="S7" s="134"/>
      <c r="T7" s="131"/>
      <c r="U7" s="132"/>
      <c r="V7" s="133"/>
      <c r="W7" s="134"/>
      <c r="X7" s="131"/>
      <c r="Y7" s="132"/>
      <c r="Z7" s="133"/>
      <c r="AA7" s="134"/>
    </row>
    <row r="8" spans="1:29" ht="15" customHeight="1" thickTop="1" x14ac:dyDescent="0.2">
      <c r="A8" s="147" t="s">
        <v>5</v>
      </c>
      <c r="B8" s="136" t="s">
        <v>6</v>
      </c>
      <c r="C8" s="142" t="s">
        <v>25</v>
      </c>
      <c r="D8" s="138" t="s">
        <v>7</v>
      </c>
      <c r="E8" s="139"/>
      <c r="F8" s="140"/>
      <c r="G8" s="141"/>
      <c r="H8" s="144" t="s">
        <v>8</v>
      </c>
      <c r="I8" s="145"/>
      <c r="J8" s="145"/>
      <c r="K8" s="146"/>
      <c r="L8" s="144" t="s">
        <v>9</v>
      </c>
      <c r="M8" s="145"/>
      <c r="N8" s="145"/>
      <c r="O8" s="146"/>
      <c r="P8" s="138" t="s">
        <v>10</v>
      </c>
      <c r="Q8" s="139"/>
      <c r="R8" s="140"/>
      <c r="S8" s="141"/>
      <c r="T8" s="138" t="s">
        <v>11</v>
      </c>
      <c r="U8" s="139"/>
      <c r="V8" s="140"/>
      <c r="W8" s="141"/>
      <c r="X8" s="138" t="s">
        <v>24</v>
      </c>
      <c r="Y8" s="139"/>
      <c r="Z8" s="140"/>
      <c r="AA8" s="141"/>
    </row>
    <row r="9" spans="1:29" s="3" customFormat="1" ht="67.5" customHeight="1" thickBot="1" x14ac:dyDescent="0.3">
      <c r="A9" s="148"/>
      <c r="B9" s="137"/>
      <c r="C9" s="149"/>
      <c r="D9" s="10" t="s">
        <v>12</v>
      </c>
      <c r="E9" s="11" t="s">
        <v>13</v>
      </c>
      <c r="F9" s="12" t="s">
        <v>14</v>
      </c>
      <c r="G9" s="13" t="s">
        <v>15</v>
      </c>
      <c r="H9" s="10" t="s">
        <v>12</v>
      </c>
      <c r="I9" s="11" t="s">
        <v>13</v>
      </c>
      <c r="J9" s="12" t="s">
        <v>14</v>
      </c>
      <c r="K9" s="13" t="s">
        <v>15</v>
      </c>
      <c r="L9" s="10" t="s">
        <v>12</v>
      </c>
      <c r="M9" s="11" t="s">
        <v>13</v>
      </c>
      <c r="N9" s="12" t="s">
        <v>14</v>
      </c>
      <c r="O9" s="13" t="s">
        <v>15</v>
      </c>
      <c r="P9" s="10" t="s">
        <v>12</v>
      </c>
      <c r="Q9" s="11" t="s">
        <v>13</v>
      </c>
      <c r="R9" s="12" t="s">
        <v>14</v>
      </c>
      <c r="S9" s="13" t="s">
        <v>15</v>
      </c>
      <c r="T9" s="10" t="s">
        <v>12</v>
      </c>
      <c r="U9" s="11" t="s">
        <v>13</v>
      </c>
      <c r="V9" s="38" t="s">
        <v>14</v>
      </c>
      <c r="W9" s="13" t="s">
        <v>15</v>
      </c>
      <c r="X9" s="10" t="s">
        <v>12</v>
      </c>
      <c r="Y9" s="11" t="s">
        <v>13</v>
      </c>
      <c r="Z9" s="38" t="s">
        <v>14</v>
      </c>
      <c r="AA9" s="13" t="s">
        <v>15</v>
      </c>
      <c r="AC9" s="152" t="s">
        <v>319</v>
      </c>
    </row>
    <row r="10" spans="1:29" ht="18" customHeight="1" thickTop="1" x14ac:dyDescent="0.25">
      <c r="A10" s="53"/>
      <c r="B10" s="54" t="s">
        <v>316</v>
      </c>
      <c r="C10" s="50"/>
      <c r="D10" s="49"/>
      <c r="E10" s="50"/>
      <c r="F10" s="52"/>
      <c r="G10" s="51"/>
      <c r="H10" s="49" t="s">
        <v>242</v>
      </c>
      <c r="I10" s="50">
        <v>1</v>
      </c>
      <c r="J10" s="52"/>
      <c r="K10" s="51"/>
      <c r="L10" s="30"/>
      <c r="M10" s="50"/>
      <c r="N10" s="52"/>
      <c r="O10" s="51"/>
      <c r="P10" s="49" t="s">
        <v>242</v>
      </c>
      <c r="Q10" s="50">
        <v>1</v>
      </c>
      <c r="R10" s="52"/>
      <c r="S10" s="51"/>
      <c r="T10" s="49" t="s">
        <v>242</v>
      </c>
      <c r="U10" s="50">
        <v>5</v>
      </c>
      <c r="V10" s="73"/>
      <c r="W10" s="51"/>
      <c r="X10" s="49" t="s">
        <v>242</v>
      </c>
      <c r="Y10" s="50">
        <v>5</v>
      </c>
      <c r="Z10" s="73"/>
      <c r="AA10" s="51"/>
      <c r="AC10" s="1">
        <f>(E10+I10+Q10+M10+Y10)/2</f>
        <v>3.5</v>
      </c>
    </row>
    <row r="11" spans="1:29" s="42" customFormat="1" ht="18" customHeight="1" x14ac:dyDescent="0.25">
      <c r="A11" s="64"/>
      <c r="B11" s="53" t="s">
        <v>317</v>
      </c>
      <c r="C11" s="44"/>
      <c r="D11" s="43"/>
      <c r="E11" s="44"/>
      <c r="F11" s="35"/>
      <c r="G11" s="56"/>
      <c r="H11" s="43"/>
      <c r="I11" s="44"/>
      <c r="J11" s="35"/>
      <c r="K11" s="56"/>
      <c r="L11" s="44"/>
      <c r="M11" s="44"/>
      <c r="N11" s="35"/>
      <c r="O11" s="56"/>
      <c r="P11" s="43"/>
      <c r="Q11" s="44">
        <v>1.5</v>
      </c>
      <c r="R11" s="35"/>
      <c r="S11" s="56"/>
      <c r="T11" s="43"/>
      <c r="U11" s="44">
        <v>5</v>
      </c>
      <c r="V11" s="74"/>
      <c r="W11" s="56"/>
      <c r="X11" s="43"/>
      <c r="Y11" s="44">
        <v>5</v>
      </c>
      <c r="Z11" s="74"/>
      <c r="AA11" s="56"/>
      <c r="AC11" s="1">
        <f>(E11+I11+Q11+M11+Y11)/2</f>
        <v>3.25</v>
      </c>
    </row>
    <row r="12" spans="1:29" ht="18" customHeight="1" x14ac:dyDescent="0.25">
      <c r="A12" s="53"/>
      <c r="B12" s="53"/>
      <c r="C12" s="30"/>
      <c r="D12" s="29"/>
      <c r="E12" s="30"/>
      <c r="F12" s="32"/>
      <c r="G12" s="33"/>
      <c r="H12" s="29"/>
      <c r="I12" s="30"/>
      <c r="J12" s="32"/>
      <c r="K12" s="33"/>
      <c r="L12" s="29"/>
      <c r="M12" s="30"/>
      <c r="N12" s="32"/>
      <c r="O12" s="33"/>
      <c r="P12" s="29"/>
      <c r="Q12" s="30"/>
      <c r="R12" s="32"/>
      <c r="S12" s="33"/>
      <c r="T12" s="29"/>
      <c r="U12" s="30"/>
      <c r="V12" s="75"/>
      <c r="W12" s="33"/>
      <c r="X12" s="29"/>
      <c r="Y12" s="30"/>
      <c r="Z12" s="75"/>
      <c r="AA12" s="33"/>
    </row>
    <row r="13" spans="1:29" ht="18" customHeight="1" x14ac:dyDescent="0.25">
      <c r="A13" s="53"/>
      <c r="B13" s="47"/>
      <c r="C13" s="30"/>
      <c r="D13" s="29"/>
      <c r="E13" s="30"/>
      <c r="F13" s="32"/>
      <c r="G13" s="33"/>
      <c r="H13" s="29"/>
      <c r="I13" s="30"/>
      <c r="J13" s="32"/>
      <c r="K13" s="33"/>
      <c r="L13" s="29"/>
      <c r="M13" s="30"/>
      <c r="N13" s="32"/>
      <c r="O13" s="33"/>
      <c r="P13" s="29"/>
      <c r="Q13" s="30"/>
      <c r="R13" s="32"/>
      <c r="S13" s="33"/>
      <c r="T13" s="29"/>
      <c r="U13" s="30"/>
      <c r="V13" s="75"/>
      <c r="W13" s="33"/>
      <c r="X13" s="29"/>
      <c r="Y13" s="30"/>
      <c r="Z13" s="75"/>
      <c r="AA13" s="33"/>
    </row>
    <row r="14" spans="1:29" ht="18" customHeight="1" x14ac:dyDescent="0.25">
      <c r="A14" s="53"/>
      <c r="B14" s="54"/>
      <c r="C14" s="30"/>
      <c r="D14" s="29"/>
      <c r="E14" s="30"/>
      <c r="F14" s="32"/>
      <c r="G14" s="31"/>
      <c r="H14" s="29"/>
      <c r="I14" s="30"/>
      <c r="J14" s="32"/>
      <c r="K14" s="33"/>
      <c r="L14" s="29"/>
      <c r="M14" s="30"/>
      <c r="N14" s="35"/>
      <c r="O14" s="33"/>
      <c r="P14" s="29"/>
      <c r="Q14" s="30"/>
      <c r="R14" s="32"/>
      <c r="S14" s="33"/>
      <c r="T14" s="29"/>
      <c r="U14" s="30"/>
      <c r="V14" s="75"/>
      <c r="W14" s="33"/>
      <c r="X14" s="29"/>
      <c r="Y14" s="30"/>
      <c r="Z14" s="75"/>
      <c r="AA14" s="33"/>
    </row>
    <row r="15" spans="1:29" ht="18" customHeight="1" x14ac:dyDescent="0.25">
      <c r="A15" s="53"/>
      <c r="B15" s="54"/>
      <c r="C15" s="30"/>
      <c r="D15" s="29"/>
      <c r="E15" s="30"/>
      <c r="F15" s="32"/>
      <c r="G15" s="33"/>
      <c r="H15" s="29"/>
      <c r="I15" s="30"/>
      <c r="J15" s="32"/>
      <c r="K15" s="33"/>
      <c r="L15" s="29"/>
      <c r="M15" s="30"/>
      <c r="N15" s="32"/>
      <c r="O15" s="33"/>
      <c r="P15" s="29"/>
      <c r="Q15" s="30"/>
      <c r="R15" s="32"/>
      <c r="S15" s="33"/>
      <c r="T15" s="29"/>
      <c r="U15" s="30"/>
      <c r="V15" s="75"/>
      <c r="W15" s="33"/>
      <c r="X15" s="29"/>
      <c r="Y15" s="30"/>
      <c r="Z15" s="75"/>
      <c r="AA15" s="33"/>
    </row>
    <row r="16" spans="1:29" ht="18" customHeight="1" x14ac:dyDescent="0.25">
      <c r="A16" s="53"/>
      <c r="B16" s="54"/>
      <c r="C16" s="30"/>
      <c r="D16" s="29"/>
      <c r="E16" s="30"/>
      <c r="F16" s="32"/>
      <c r="G16" s="33"/>
      <c r="H16" s="29"/>
      <c r="I16" s="30"/>
      <c r="J16" s="32"/>
      <c r="K16" s="33"/>
      <c r="L16" s="29"/>
      <c r="M16" s="30"/>
      <c r="N16" s="32"/>
      <c r="O16" s="33"/>
      <c r="P16" s="29"/>
      <c r="Q16" s="30"/>
      <c r="R16" s="32"/>
      <c r="S16" s="33"/>
      <c r="T16" s="29"/>
      <c r="U16" s="30"/>
      <c r="V16" s="75"/>
      <c r="W16" s="33"/>
      <c r="X16" s="29"/>
      <c r="Y16" s="30"/>
      <c r="Z16" s="75"/>
      <c r="AA16" s="33"/>
    </row>
    <row r="17" spans="1:27" ht="18" customHeight="1" x14ac:dyDescent="0.25">
      <c r="A17" s="53"/>
      <c r="B17" s="54"/>
      <c r="C17" s="30"/>
      <c r="D17" s="29"/>
      <c r="E17" s="30"/>
      <c r="F17" s="32"/>
      <c r="G17" s="33"/>
      <c r="H17" s="29"/>
      <c r="I17" s="30"/>
      <c r="J17" s="32"/>
      <c r="K17" s="33"/>
      <c r="L17" s="29"/>
      <c r="M17" s="30"/>
      <c r="N17" s="32"/>
      <c r="O17" s="33"/>
      <c r="P17" s="29"/>
      <c r="Q17" s="30"/>
      <c r="R17" s="32"/>
      <c r="S17" s="33"/>
      <c r="T17" s="29"/>
      <c r="U17" s="30"/>
      <c r="V17" s="75"/>
      <c r="W17" s="33"/>
      <c r="X17" s="29"/>
      <c r="Y17" s="30"/>
      <c r="Z17" s="75"/>
      <c r="AA17" s="33"/>
    </row>
    <row r="18" spans="1:27" ht="18" customHeight="1" x14ac:dyDescent="0.25">
      <c r="A18" s="64"/>
      <c r="B18" s="65"/>
      <c r="C18" s="44"/>
      <c r="D18" s="43"/>
      <c r="E18" s="44"/>
      <c r="F18" s="35"/>
      <c r="G18" s="56"/>
      <c r="H18" s="43"/>
      <c r="I18" s="44"/>
      <c r="J18" s="35"/>
      <c r="K18" s="56"/>
      <c r="L18" s="43"/>
      <c r="M18" s="44"/>
      <c r="N18" s="35"/>
      <c r="O18" s="56"/>
      <c r="P18" s="43"/>
      <c r="Q18" s="44"/>
      <c r="R18" s="35"/>
      <c r="S18" s="56"/>
      <c r="T18" s="43"/>
      <c r="U18" s="44"/>
      <c r="V18" s="74"/>
      <c r="W18" s="56"/>
      <c r="X18" s="43"/>
      <c r="Y18" s="44"/>
      <c r="Z18" s="74"/>
      <c r="AA18" s="56"/>
    </row>
    <row r="19" spans="1:27" ht="18" customHeight="1" x14ac:dyDescent="0.25">
      <c r="A19" s="53"/>
      <c r="B19" s="53"/>
      <c r="C19" s="30"/>
      <c r="D19" s="29"/>
      <c r="E19" s="30"/>
      <c r="F19" s="32"/>
      <c r="G19" s="33"/>
      <c r="H19" s="29"/>
      <c r="I19" s="30"/>
      <c r="J19" s="32"/>
      <c r="K19" s="33"/>
      <c r="L19" s="29"/>
      <c r="M19" s="30"/>
      <c r="N19" s="32"/>
      <c r="O19" s="33"/>
      <c r="P19" s="29"/>
      <c r="Q19" s="30"/>
      <c r="R19" s="32"/>
      <c r="S19" s="33"/>
      <c r="T19" s="29"/>
      <c r="U19" s="30"/>
      <c r="V19" s="75"/>
      <c r="W19" s="33"/>
      <c r="X19" s="29"/>
      <c r="Y19" s="30"/>
      <c r="Z19" s="75"/>
      <c r="AA19" s="33"/>
    </row>
    <row r="20" spans="1:27" s="41" customFormat="1" ht="18" customHeight="1" x14ac:dyDescent="0.25">
      <c r="A20" s="64"/>
      <c r="B20" s="64"/>
      <c r="C20" s="44"/>
      <c r="D20" s="43"/>
      <c r="E20" s="44"/>
      <c r="F20" s="35"/>
      <c r="G20" s="56"/>
      <c r="H20" s="43"/>
      <c r="I20" s="44"/>
      <c r="J20" s="35"/>
      <c r="K20" s="56"/>
      <c r="L20" s="43"/>
      <c r="M20" s="44"/>
      <c r="N20" s="35"/>
      <c r="O20" s="56"/>
      <c r="P20" s="43"/>
      <c r="Q20" s="44"/>
      <c r="R20" s="35"/>
      <c r="S20" s="56"/>
      <c r="T20" s="43"/>
      <c r="U20" s="44"/>
      <c r="V20" s="74"/>
      <c r="W20" s="56"/>
      <c r="X20" s="43"/>
      <c r="Y20" s="44"/>
      <c r="Z20" s="74"/>
      <c r="AA20" s="56"/>
    </row>
    <row r="21" spans="1:27" s="41" customFormat="1" ht="18" customHeight="1" x14ac:dyDescent="0.25">
      <c r="A21" s="53"/>
      <c r="B21" s="53"/>
      <c r="C21" s="30"/>
      <c r="D21" s="29"/>
      <c r="E21" s="30"/>
      <c r="F21" s="32"/>
      <c r="G21" s="33"/>
      <c r="H21" s="29"/>
      <c r="I21" s="30"/>
      <c r="J21" s="32"/>
      <c r="K21" s="33"/>
      <c r="L21" s="29"/>
      <c r="M21" s="30"/>
      <c r="N21" s="32"/>
      <c r="O21" s="33"/>
      <c r="P21" s="29"/>
      <c r="Q21" s="30"/>
      <c r="R21" s="32"/>
      <c r="S21" s="33"/>
      <c r="T21" s="43"/>
      <c r="U21" s="30"/>
      <c r="V21" s="75"/>
      <c r="W21" s="33"/>
      <c r="X21" s="43"/>
      <c r="Y21" s="30"/>
      <c r="Z21" s="75"/>
      <c r="AA21" s="33"/>
    </row>
    <row r="22" spans="1:27" s="41" customFormat="1" ht="18" customHeight="1" x14ac:dyDescent="0.25">
      <c r="A22" s="64"/>
      <c r="B22" s="64"/>
      <c r="C22" s="44"/>
      <c r="D22" s="43"/>
      <c r="E22" s="44"/>
      <c r="F22" s="35"/>
      <c r="G22" s="56"/>
      <c r="H22" s="43"/>
      <c r="I22" s="44"/>
      <c r="J22" s="35"/>
      <c r="K22" s="56"/>
      <c r="L22" s="43"/>
      <c r="M22" s="44"/>
      <c r="N22" s="35"/>
      <c r="O22" s="56"/>
      <c r="P22" s="43"/>
      <c r="Q22" s="44"/>
      <c r="R22" s="35"/>
      <c r="S22" s="56"/>
      <c r="T22" s="43"/>
      <c r="U22" s="44"/>
      <c r="V22" s="74"/>
      <c r="W22" s="56"/>
      <c r="X22" s="43"/>
      <c r="Y22" s="44"/>
      <c r="Z22" s="74"/>
      <c r="AA22" s="56"/>
    </row>
    <row r="23" spans="1:27" s="41" customFormat="1" ht="18" customHeight="1" x14ac:dyDescent="0.25">
      <c r="A23" s="64"/>
      <c r="B23" s="64"/>
      <c r="C23" s="44"/>
      <c r="D23" s="43"/>
      <c r="E23" s="44"/>
      <c r="F23" s="35"/>
      <c r="G23" s="56"/>
      <c r="H23" s="43"/>
      <c r="I23" s="44"/>
      <c r="J23" s="35"/>
      <c r="K23" s="56"/>
      <c r="L23" s="43"/>
      <c r="M23" s="44"/>
      <c r="N23" s="35"/>
      <c r="O23" s="56"/>
      <c r="P23" s="43"/>
      <c r="Q23" s="44"/>
      <c r="R23" s="35"/>
      <c r="S23" s="56"/>
      <c r="T23" s="43"/>
      <c r="U23" s="44"/>
      <c r="V23" s="74"/>
      <c r="W23" s="56"/>
      <c r="X23" s="43"/>
      <c r="Y23" s="44"/>
      <c r="Z23" s="74"/>
      <c r="AA23" s="56"/>
    </row>
    <row r="24" spans="1:27" ht="18" customHeight="1" x14ac:dyDescent="0.25">
      <c r="A24" s="53"/>
      <c r="B24" s="54"/>
      <c r="C24" s="44"/>
      <c r="D24" s="43"/>
      <c r="E24" s="44"/>
      <c r="F24" s="35"/>
      <c r="G24" s="56"/>
      <c r="H24" s="43"/>
      <c r="I24" s="44"/>
      <c r="J24" s="35"/>
      <c r="K24" s="56"/>
      <c r="L24" s="43"/>
      <c r="M24" s="44"/>
      <c r="N24" s="35"/>
      <c r="O24" s="56"/>
      <c r="P24" s="43"/>
      <c r="Q24" s="44"/>
      <c r="R24" s="35"/>
      <c r="S24" s="56"/>
      <c r="T24" s="43"/>
      <c r="U24" s="44"/>
      <c r="V24" s="74"/>
      <c r="W24" s="56"/>
      <c r="X24" s="43"/>
      <c r="Y24" s="44"/>
      <c r="Z24" s="74"/>
      <c r="AA24" s="56"/>
    </row>
    <row r="25" spans="1:27" ht="18" customHeight="1" x14ac:dyDescent="0.25">
      <c r="A25" s="53"/>
      <c r="B25" s="54"/>
      <c r="C25" s="30"/>
      <c r="D25" s="30"/>
      <c r="E25" s="30"/>
      <c r="F25" s="32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57"/>
      <c r="W25" s="30"/>
      <c r="X25" s="30"/>
      <c r="Y25" s="30"/>
      <c r="Z25" s="57"/>
      <c r="AA25" s="30"/>
    </row>
    <row r="26" spans="1:27" ht="18" customHeight="1" x14ac:dyDescent="0.25">
      <c r="A26" s="53"/>
      <c r="B26" s="54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57"/>
      <c r="W26" s="30"/>
      <c r="X26" s="76"/>
      <c r="Y26" s="77"/>
      <c r="Z26" s="77"/>
      <c r="AA26" s="77"/>
    </row>
    <row r="27" spans="1:27" ht="18" customHeight="1" x14ac:dyDescent="0.2">
      <c r="A27" s="22"/>
      <c r="B27" s="23"/>
      <c r="C27" s="22"/>
      <c r="D27" s="22"/>
      <c r="E27" s="22"/>
      <c r="F27" s="4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39"/>
      <c r="W27" s="22"/>
      <c r="X27" s="19"/>
      <c r="Y27" s="20"/>
    </row>
    <row r="28" spans="1:27" ht="18" customHeight="1" x14ac:dyDescent="0.2">
      <c r="A28" s="22"/>
      <c r="B28" s="23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39"/>
      <c r="W28" s="22"/>
      <c r="X28" s="19"/>
      <c r="Y28" s="20"/>
    </row>
    <row r="29" spans="1:27" ht="18" customHeight="1" x14ac:dyDescent="0.2">
      <c r="A29" s="22"/>
      <c r="B29" s="23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39"/>
      <c r="W29" s="22"/>
      <c r="X29" s="19"/>
      <c r="Y29" s="20"/>
    </row>
    <row r="30" spans="1:27" ht="18" customHeight="1" x14ac:dyDescent="0.2">
      <c r="A30" s="22"/>
      <c r="B30" s="23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39"/>
      <c r="W30" s="22"/>
      <c r="X30" s="19"/>
      <c r="Y30" s="20"/>
    </row>
    <row r="31" spans="1:27" ht="18" customHeight="1" x14ac:dyDescent="0.2">
      <c r="A31" s="22"/>
      <c r="B31" s="23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39"/>
      <c r="W31" s="22"/>
      <c r="X31" s="19"/>
      <c r="Y31" s="20"/>
    </row>
    <row r="32" spans="1:27" x14ac:dyDescent="0.2">
      <c r="A32" s="20"/>
      <c r="B32" s="20"/>
      <c r="C32" s="20"/>
      <c r="D32" s="20"/>
      <c r="E32" s="20"/>
      <c r="F32" s="20"/>
      <c r="G32" s="20"/>
      <c r="H32" s="21"/>
      <c r="I32" s="20"/>
      <c r="J32" s="20"/>
      <c r="K32" s="20"/>
      <c r="L32" s="21"/>
      <c r="M32" s="20"/>
      <c r="N32" s="20"/>
      <c r="O32" s="20"/>
      <c r="P32" s="20"/>
      <c r="Q32" s="20"/>
      <c r="R32" s="20"/>
      <c r="S32" s="20"/>
      <c r="T32" s="21"/>
      <c r="U32" s="20"/>
      <c r="V32" s="40"/>
      <c r="W32" s="20"/>
      <c r="X32" s="20"/>
      <c r="Y32" s="20"/>
    </row>
  </sheetData>
  <mergeCells count="19">
    <mergeCell ref="X7:AA7"/>
    <mergeCell ref="A8:A9"/>
    <mergeCell ref="B8:B9"/>
    <mergeCell ref="C8:C9"/>
    <mergeCell ref="D8:G8"/>
    <mergeCell ref="H8:K8"/>
    <mergeCell ref="L8:O8"/>
    <mergeCell ref="P8:S8"/>
    <mergeCell ref="T8:W8"/>
    <mergeCell ref="X8:AA8"/>
    <mergeCell ref="K1:M2"/>
    <mergeCell ref="U2:W4"/>
    <mergeCell ref="I4:O5"/>
    <mergeCell ref="A7:C7"/>
    <mergeCell ref="D7:G7"/>
    <mergeCell ref="H7:K7"/>
    <mergeCell ref="L7:O7"/>
    <mergeCell ref="P7:S7"/>
    <mergeCell ref="T7:W7"/>
  </mergeCells>
  <pageMargins left="0.25" right="0.25" top="0.75" bottom="0.75" header="0.3" footer="0.3"/>
  <pageSetup paperSize="9" scale="93" orientation="landscape" r:id="rId1"/>
  <headerFooter alignWithMargins="0"/>
  <colBreaks count="1" manualBreakCount="1">
    <brk id="27" max="2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2"/>
  <dimension ref="A1:IV209"/>
  <sheetViews>
    <sheetView workbookViewId="0">
      <selection activeCell="EE207" sqref="EE207"/>
    </sheetView>
  </sheetViews>
  <sheetFormatPr defaultRowHeight="15.75" x14ac:dyDescent="0.25"/>
  <sheetData>
    <row r="1" spans="1:256" x14ac:dyDescent="0.25">
      <c r="A1" t="e">
        <f>IF(#REF!,"AAAAAF9m/wA=",0)</f>
        <v>#REF!</v>
      </c>
      <c r="B1" t="e">
        <f>AND(#REF!,"AAAAAF9m/wE=")</f>
        <v>#REF!</v>
      </c>
      <c r="C1" t="e">
        <f>AND(#REF!,"AAAAAF9m/wI=")</f>
        <v>#REF!</v>
      </c>
      <c r="D1" t="e">
        <f>AND(#REF!,"AAAAAF9m/wM=")</f>
        <v>#REF!</v>
      </c>
      <c r="E1" t="e">
        <f>AND(#REF!,"AAAAAF9m/wQ=")</f>
        <v>#REF!</v>
      </c>
      <c r="F1" t="e">
        <f>AND(#REF!,"AAAAAF9m/wU=")</f>
        <v>#REF!</v>
      </c>
      <c r="G1" t="e">
        <f>AND(#REF!,"AAAAAF9m/wY=")</f>
        <v>#REF!</v>
      </c>
      <c r="H1" t="e">
        <f>AND(#REF!,"AAAAAF9m/wc=")</f>
        <v>#REF!</v>
      </c>
      <c r="I1" t="e">
        <f>AND(#REF!,"AAAAAF9m/wg=")</f>
        <v>#REF!</v>
      </c>
      <c r="J1" t="e">
        <f>AND(#REF!,"AAAAAF9m/wk=")</f>
        <v>#REF!</v>
      </c>
      <c r="K1" t="e">
        <f>AND(#REF!,"AAAAAF9m/wo=")</f>
        <v>#REF!</v>
      </c>
      <c r="L1" t="e">
        <f>AND(#REF!,"AAAAAF9m/ws=")</f>
        <v>#REF!</v>
      </c>
      <c r="M1" t="e">
        <f>AND(#REF!,"AAAAAF9m/ww=")</f>
        <v>#REF!</v>
      </c>
      <c r="N1" t="e">
        <f>AND(#REF!,"AAAAAF9m/w0=")</f>
        <v>#REF!</v>
      </c>
      <c r="O1" t="e">
        <f>AND(#REF!,"AAAAAF9m/w4=")</f>
        <v>#REF!</v>
      </c>
      <c r="P1" t="e">
        <f>AND(#REF!,"AAAAAF9m/w8=")</f>
        <v>#REF!</v>
      </c>
      <c r="Q1" t="e">
        <f>AND(#REF!,"AAAAAF9m/xA=")</f>
        <v>#REF!</v>
      </c>
      <c r="R1" t="e">
        <f>AND(#REF!,"AAAAAF9m/xE=")</f>
        <v>#REF!</v>
      </c>
      <c r="S1" t="e">
        <f>AND(#REF!,"AAAAAF9m/xI=")</f>
        <v>#REF!</v>
      </c>
      <c r="T1" t="e">
        <f>AND(#REF!,"AAAAAF9m/xM=")</f>
        <v>#REF!</v>
      </c>
      <c r="U1" t="e">
        <f>AND(#REF!,"AAAAAF9m/xQ=")</f>
        <v>#REF!</v>
      </c>
      <c r="V1" t="e">
        <f>AND(#REF!,"AAAAAF9m/xU=")</f>
        <v>#REF!</v>
      </c>
      <c r="W1" t="e">
        <f>AND(#REF!,"AAAAAF9m/xY=")</f>
        <v>#REF!</v>
      </c>
      <c r="X1" t="e">
        <f>AND(#REF!,"AAAAAF9m/xc=")</f>
        <v>#REF!</v>
      </c>
      <c r="Y1" t="e">
        <f>AND(#REF!,"AAAAAF9m/xg=")</f>
        <v>#REF!</v>
      </c>
      <c r="Z1" t="e">
        <f>AND(#REF!,"AAAAAF9m/xk=")</f>
        <v>#REF!</v>
      </c>
      <c r="AA1" t="e">
        <f>AND(#REF!,"AAAAAF9m/xo=")</f>
        <v>#REF!</v>
      </c>
      <c r="AB1" t="e">
        <f>AND(#REF!,"AAAAAF9m/xs=")</f>
        <v>#REF!</v>
      </c>
      <c r="AC1" t="e">
        <f>AND(#REF!,"AAAAAF9m/xw=")</f>
        <v>#REF!</v>
      </c>
      <c r="AD1" t="e">
        <f>AND(#REF!,"AAAAAF9m/x0=")</f>
        <v>#REF!</v>
      </c>
      <c r="AE1" t="e">
        <f>AND(#REF!,"AAAAAF9m/x4=")</f>
        <v>#REF!</v>
      </c>
      <c r="AF1" t="e">
        <f>AND(#REF!,"AAAAAF9m/x8=")</f>
        <v>#REF!</v>
      </c>
      <c r="AG1" t="e">
        <f>AND(#REF!,"AAAAAF9m/yA=")</f>
        <v>#REF!</v>
      </c>
      <c r="AH1" t="e">
        <f>AND(#REF!,"AAAAAF9m/yE=")</f>
        <v>#REF!</v>
      </c>
      <c r="AI1" t="e">
        <f>AND(#REF!,"AAAAAF9m/yI=")</f>
        <v>#REF!</v>
      </c>
      <c r="AJ1" t="e">
        <f>AND(#REF!,"AAAAAF9m/yM=")</f>
        <v>#REF!</v>
      </c>
      <c r="AK1" t="e">
        <f>AND(#REF!,"AAAAAF9m/yQ=")</f>
        <v>#REF!</v>
      </c>
      <c r="AL1" t="e">
        <f>AND(#REF!,"AAAAAF9m/yU=")</f>
        <v>#REF!</v>
      </c>
      <c r="AM1" t="e">
        <f>AND(#REF!,"AAAAAF9m/yY=")</f>
        <v>#REF!</v>
      </c>
      <c r="AN1" t="e">
        <f>AND(#REF!,"AAAAAF9m/yc=")</f>
        <v>#REF!</v>
      </c>
      <c r="AO1" t="e">
        <f>AND(#REF!,"AAAAAF9m/yg=")</f>
        <v>#REF!</v>
      </c>
      <c r="AP1" t="e">
        <f>AND(#REF!,"AAAAAF9m/yk=")</f>
        <v>#REF!</v>
      </c>
      <c r="AQ1" t="e">
        <f>AND(#REF!,"AAAAAF9m/yo=")</f>
        <v>#REF!</v>
      </c>
      <c r="AR1" t="e">
        <f>AND(#REF!,"AAAAAF9m/ys=")</f>
        <v>#REF!</v>
      </c>
      <c r="AS1" t="e">
        <f>IF(#REF!,"AAAAAF9m/yw=",0)</f>
        <v>#REF!</v>
      </c>
      <c r="AT1" t="e">
        <f>AND(#REF!,"AAAAAF9m/y0=")</f>
        <v>#REF!</v>
      </c>
      <c r="AU1" t="e">
        <f>AND(#REF!,"AAAAAF9m/y4=")</f>
        <v>#REF!</v>
      </c>
      <c r="AV1" t="e">
        <f>AND(#REF!,"AAAAAF9m/y8=")</f>
        <v>#REF!</v>
      </c>
      <c r="AW1" t="e">
        <f>AND(#REF!,"AAAAAF9m/zA=")</f>
        <v>#REF!</v>
      </c>
      <c r="AX1" t="e">
        <f>AND(#REF!,"AAAAAF9m/zE=")</f>
        <v>#REF!</v>
      </c>
      <c r="AY1" t="e">
        <f>AND(#REF!,"AAAAAF9m/zI=")</f>
        <v>#REF!</v>
      </c>
      <c r="AZ1" t="e">
        <f>AND(#REF!,"AAAAAF9m/zM=")</f>
        <v>#REF!</v>
      </c>
      <c r="BA1" t="e">
        <f>AND(#REF!,"AAAAAF9m/zQ=")</f>
        <v>#REF!</v>
      </c>
      <c r="BB1" t="e">
        <f>AND(#REF!,"AAAAAF9m/zU=")</f>
        <v>#REF!</v>
      </c>
      <c r="BC1" t="e">
        <f>AND(#REF!,"AAAAAF9m/zY=")</f>
        <v>#REF!</v>
      </c>
      <c r="BD1" t="e">
        <f>AND(#REF!,"AAAAAF9m/zc=")</f>
        <v>#REF!</v>
      </c>
      <c r="BE1" t="e">
        <f>AND(#REF!,"AAAAAF9m/zg=")</f>
        <v>#REF!</v>
      </c>
      <c r="BF1" t="e">
        <f>AND(#REF!,"AAAAAF9m/zk=")</f>
        <v>#REF!</v>
      </c>
      <c r="BG1" t="e">
        <f>AND(#REF!,"AAAAAF9m/zo=")</f>
        <v>#REF!</v>
      </c>
      <c r="BH1" t="e">
        <f>AND(#REF!,"AAAAAF9m/zs=")</f>
        <v>#REF!</v>
      </c>
      <c r="BI1" t="e">
        <f>AND(#REF!,"AAAAAF9m/zw=")</f>
        <v>#REF!</v>
      </c>
      <c r="BJ1" t="e">
        <f>AND(#REF!,"AAAAAF9m/z0=")</f>
        <v>#REF!</v>
      </c>
      <c r="BK1" t="e">
        <f>AND(#REF!,"AAAAAF9m/z4=")</f>
        <v>#REF!</v>
      </c>
      <c r="BL1" t="e">
        <f>AND(#REF!,"AAAAAF9m/z8=")</f>
        <v>#REF!</v>
      </c>
      <c r="BM1" t="e">
        <f>AND(#REF!,"AAAAAF9m/0A=")</f>
        <v>#REF!</v>
      </c>
      <c r="BN1" t="e">
        <f>AND(#REF!,"AAAAAF9m/0E=")</f>
        <v>#REF!</v>
      </c>
      <c r="BO1" t="e">
        <f>AND(#REF!,"AAAAAF9m/0I=")</f>
        <v>#REF!</v>
      </c>
      <c r="BP1" t="e">
        <f>AND(#REF!,"AAAAAF9m/0M=")</f>
        <v>#REF!</v>
      </c>
      <c r="BQ1" t="e">
        <f>AND(#REF!,"AAAAAF9m/0Q=")</f>
        <v>#REF!</v>
      </c>
      <c r="BR1" t="e">
        <f>AND(#REF!,"AAAAAF9m/0U=")</f>
        <v>#REF!</v>
      </c>
      <c r="BS1" t="e">
        <f>AND(#REF!,"AAAAAF9m/0Y=")</f>
        <v>#REF!</v>
      </c>
      <c r="BT1" t="e">
        <f>AND(#REF!,"AAAAAF9m/0c=")</f>
        <v>#REF!</v>
      </c>
      <c r="BU1" t="e">
        <f>AND(#REF!,"AAAAAF9m/0g=")</f>
        <v>#REF!</v>
      </c>
      <c r="BV1" t="e">
        <f>AND(#REF!,"AAAAAF9m/0k=")</f>
        <v>#REF!</v>
      </c>
      <c r="BW1" t="e">
        <f>AND(#REF!,"AAAAAF9m/0o=")</f>
        <v>#REF!</v>
      </c>
      <c r="BX1" t="e">
        <f>AND(#REF!,"AAAAAF9m/0s=")</f>
        <v>#REF!</v>
      </c>
      <c r="BY1" t="e">
        <f>AND(#REF!,"AAAAAF9m/0w=")</f>
        <v>#REF!</v>
      </c>
      <c r="BZ1" t="e">
        <f>AND(#REF!,"AAAAAF9m/00=")</f>
        <v>#REF!</v>
      </c>
      <c r="CA1" t="e">
        <f>AND(#REF!,"AAAAAF9m/04=")</f>
        <v>#REF!</v>
      </c>
      <c r="CB1" t="e">
        <f>AND(#REF!,"AAAAAF9m/08=")</f>
        <v>#REF!</v>
      </c>
      <c r="CC1" t="e">
        <f>AND(#REF!,"AAAAAF9m/1A=")</f>
        <v>#REF!</v>
      </c>
      <c r="CD1" t="e">
        <f>AND(#REF!,"AAAAAF9m/1E=")</f>
        <v>#REF!</v>
      </c>
      <c r="CE1" t="e">
        <f>AND(#REF!,"AAAAAF9m/1I=")</f>
        <v>#REF!</v>
      </c>
      <c r="CF1" t="e">
        <f>AND(#REF!,"AAAAAF9m/1M=")</f>
        <v>#REF!</v>
      </c>
      <c r="CG1" t="e">
        <f>AND(#REF!,"AAAAAF9m/1Q=")</f>
        <v>#REF!</v>
      </c>
      <c r="CH1" t="e">
        <f>AND(#REF!,"AAAAAF9m/1U=")</f>
        <v>#REF!</v>
      </c>
      <c r="CI1" t="e">
        <f>AND(#REF!,"AAAAAF9m/1Y=")</f>
        <v>#REF!</v>
      </c>
      <c r="CJ1" t="e">
        <f>AND(#REF!,"AAAAAF9m/1c=")</f>
        <v>#REF!</v>
      </c>
      <c r="CK1" t="e">
        <f>IF(#REF!,"AAAAAF9m/1g=",0)</f>
        <v>#REF!</v>
      </c>
      <c r="CL1" t="e">
        <f>AND(#REF!,"AAAAAF9m/1k=")</f>
        <v>#REF!</v>
      </c>
      <c r="CM1" t="e">
        <f>AND(#REF!,"AAAAAF9m/1o=")</f>
        <v>#REF!</v>
      </c>
      <c r="CN1" t="e">
        <f>AND(#REF!,"AAAAAF9m/1s=")</f>
        <v>#REF!</v>
      </c>
      <c r="CO1" t="e">
        <f>AND(#REF!,"AAAAAF9m/1w=")</f>
        <v>#REF!</v>
      </c>
      <c r="CP1" t="e">
        <f>AND(#REF!,"AAAAAF9m/10=")</f>
        <v>#REF!</v>
      </c>
      <c r="CQ1" t="e">
        <f>AND(#REF!,"AAAAAF9m/14=")</f>
        <v>#REF!</v>
      </c>
      <c r="CR1" t="e">
        <f>AND(#REF!,"AAAAAF9m/18=")</f>
        <v>#REF!</v>
      </c>
      <c r="CS1" t="e">
        <f>AND(#REF!,"AAAAAF9m/2A=")</f>
        <v>#REF!</v>
      </c>
      <c r="CT1" t="e">
        <f>AND(#REF!,"AAAAAF9m/2E=")</f>
        <v>#REF!</v>
      </c>
      <c r="CU1" t="e">
        <f>AND(#REF!,"AAAAAF9m/2I=")</f>
        <v>#REF!</v>
      </c>
      <c r="CV1" t="e">
        <f>AND(#REF!,"AAAAAF9m/2M=")</f>
        <v>#REF!</v>
      </c>
      <c r="CW1" t="e">
        <f>AND(#REF!,"AAAAAF9m/2Q=")</f>
        <v>#REF!</v>
      </c>
      <c r="CX1" t="e">
        <f>AND(#REF!,"AAAAAF9m/2U=")</f>
        <v>#REF!</v>
      </c>
      <c r="CY1" t="e">
        <f>AND(#REF!,"AAAAAF9m/2Y=")</f>
        <v>#REF!</v>
      </c>
      <c r="CZ1" t="e">
        <f>AND(#REF!,"AAAAAF9m/2c=")</f>
        <v>#REF!</v>
      </c>
      <c r="DA1" t="e">
        <f>AND(#REF!,"AAAAAF9m/2g=")</f>
        <v>#REF!</v>
      </c>
      <c r="DB1" t="e">
        <f>AND(#REF!,"AAAAAF9m/2k=")</f>
        <v>#REF!</v>
      </c>
      <c r="DC1" t="e">
        <f>AND(#REF!,"AAAAAF9m/2o=")</f>
        <v>#REF!</v>
      </c>
      <c r="DD1" t="e">
        <f>AND(#REF!,"AAAAAF9m/2s=")</f>
        <v>#REF!</v>
      </c>
      <c r="DE1" t="e">
        <f>AND(#REF!,"AAAAAF9m/2w=")</f>
        <v>#REF!</v>
      </c>
      <c r="DF1" t="e">
        <f>AND(#REF!,"AAAAAF9m/20=")</f>
        <v>#REF!</v>
      </c>
      <c r="DG1" t="e">
        <f>AND(#REF!,"AAAAAF9m/24=")</f>
        <v>#REF!</v>
      </c>
      <c r="DH1" t="e">
        <f>AND(#REF!,"AAAAAF9m/28=")</f>
        <v>#REF!</v>
      </c>
      <c r="DI1" t="e">
        <f>AND(#REF!,"AAAAAF9m/3A=")</f>
        <v>#REF!</v>
      </c>
      <c r="DJ1" t="e">
        <f>AND(#REF!,"AAAAAF9m/3E=")</f>
        <v>#REF!</v>
      </c>
      <c r="DK1" t="e">
        <f>AND(#REF!,"AAAAAF9m/3I=")</f>
        <v>#REF!</v>
      </c>
      <c r="DL1" t="e">
        <f>AND(#REF!,"AAAAAF9m/3M=")</f>
        <v>#REF!</v>
      </c>
      <c r="DM1" t="e">
        <f>AND(#REF!,"AAAAAF9m/3Q=")</f>
        <v>#REF!</v>
      </c>
      <c r="DN1" t="e">
        <f>AND(#REF!,"AAAAAF9m/3U=")</f>
        <v>#REF!</v>
      </c>
      <c r="DO1" t="e">
        <f>AND(#REF!,"AAAAAF9m/3Y=")</f>
        <v>#REF!</v>
      </c>
      <c r="DP1" t="e">
        <f>AND(#REF!,"AAAAAF9m/3c=")</f>
        <v>#REF!</v>
      </c>
      <c r="DQ1" t="e">
        <f>AND(#REF!,"AAAAAF9m/3g=")</f>
        <v>#REF!</v>
      </c>
      <c r="DR1" t="e">
        <f>AND(#REF!,"AAAAAF9m/3k=")</f>
        <v>#REF!</v>
      </c>
      <c r="DS1" t="e">
        <f>AND(#REF!,"AAAAAF9m/3o=")</f>
        <v>#REF!</v>
      </c>
      <c r="DT1" t="e">
        <f>AND(#REF!,"AAAAAF9m/3s=")</f>
        <v>#REF!</v>
      </c>
      <c r="DU1" t="e">
        <f>AND(#REF!,"AAAAAF9m/3w=")</f>
        <v>#REF!</v>
      </c>
      <c r="DV1" t="e">
        <f>AND(#REF!,"AAAAAF9m/30=")</f>
        <v>#REF!</v>
      </c>
      <c r="DW1" t="e">
        <f>AND(#REF!,"AAAAAF9m/34=")</f>
        <v>#REF!</v>
      </c>
      <c r="DX1" t="e">
        <f>AND(#REF!,"AAAAAF9m/38=")</f>
        <v>#REF!</v>
      </c>
      <c r="DY1" t="e">
        <f>AND(#REF!,"AAAAAF9m/4A=")</f>
        <v>#REF!</v>
      </c>
      <c r="DZ1" t="e">
        <f>AND(#REF!,"AAAAAF9m/4E=")</f>
        <v>#REF!</v>
      </c>
      <c r="EA1" t="e">
        <f>AND(#REF!,"AAAAAF9m/4I=")</f>
        <v>#REF!</v>
      </c>
      <c r="EB1" t="e">
        <f>AND(#REF!,"AAAAAF9m/4M=")</f>
        <v>#REF!</v>
      </c>
      <c r="EC1" t="e">
        <f>IF(#REF!,"AAAAAF9m/4Q=",0)</f>
        <v>#REF!</v>
      </c>
      <c r="ED1" t="e">
        <f>AND(#REF!,"AAAAAF9m/4U=")</f>
        <v>#REF!</v>
      </c>
      <c r="EE1" t="e">
        <f>AND(#REF!,"AAAAAF9m/4Y=")</f>
        <v>#REF!</v>
      </c>
      <c r="EF1" t="e">
        <f>AND(#REF!,"AAAAAF9m/4c=")</f>
        <v>#REF!</v>
      </c>
      <c r="EG1" t="e">
        <f>AND(#REF!,"AAAAAF9m/4g=")</f>
        <v>#REF!</v>
      </c>
      <c r="EH1" t="e">
        <f>AND(#REF!,"AAAAAF9m/4k=")</f>
        <v>#REF!</v>
      </c>
      <c r="EI1" t="e">
        <f>AND(#REF!,"AAAAAF9m/4o=")</f>
        <v>#REF!</v>
      </c>
      <c r="EJ1" t="e">
        <f>AND(#REF!,"AAAAAF9m/4s=")</f>
        <v>#REF!</v>
      </c>
      <c r="EK1" t="e">
        <f>AND(#REF!,"AAAAAF9m/4w=")</f>
        <v>#REF!</v>
      </c>
      <c r="EL1" t="e">
        <f>AND(#REF!,"AAAAAF9m/40=")</f>
        <v>#REF!</v>
      </c>
      <c r="EM1" t="e">
        <f>AND(#REF!,"AAAAAF9m/44=")</f>
        <v>#REF!</v>
      </c>
      <c r="EN1" t="e">
        <f>AND(#REF!,"AAAAAF9m/48=")</f>
        <v>#REF!</v>
      </c>
      <c r="EO1" t="e">
        <f>AND(#REF!,"AAAAAF9m/5A=")</f>
        <v>#REF!</v>
      </c>
      <c r="EP1" t="e">
        <f>AND(#REF!,"AAAAAF9m/5E=")</f>
        <v>#REF!</v>
      </c>
      <c r="EQ1" t="e">
        <f>AND(#REF!,"AAAAAF9m/5I=")</f>
        <v>#REF!</v>
      </c>
      <c r="ER1" t="e">
        <f>AND(#REF!,"AAAAAF9m/5M=")</f>
        <v>#REF!</v>
      </c>
      <c r="ES1" t="e">
        <f>AND(#REF!,"AAAAAF9m/5Q=")</f>
        <v>#REF!</v>
      </c>
      <c r="ET1" t="e">
        <f>AND(#REF!,"AAAAAF9m/5U=")</f>
        <v>#REF!</v>
      </c>
      <c r="EU1" t="e">
        <f>AND(#REF!,"AAAAAF9m/5Y=")</f>
        <v>#REF!</v>
      </c>
      <c r="EV1" t="e">
        <f>AND(#REF!,"AAAAAF9m/5c=")</f>
        <v>#REF!</v>
      </c>
      <c r="EW1" t="e">
        <f>AND(#REF!,"AAAAAF9m/5g=")</f>
        <v>#REF!</v>
      </c>
      <c r="EX1" t="e">
        <f>AND(#REF!,"AAAAAF9m/5k=")</f>
        <v>#REF!</v>
      </c>
      <c r="EY1" t="e">
        <f>AND(#REF!,"AAAAAF9m/5o=")</f>
        <v>#REF!</v>
      </c>
      <c r="EZ1" t="e">
        <f>AND(#REF!,"AAAAAF9m/5s=")</f>
        <v>#REF!</v>
      </c>
      <c r="FA1" t="e">
        <f>AND(#REF!,"AAAAAF9m/5w=")</f>
        <v>#REF!</v>
      </c>
      <c r="FB1" t="e">
        <f>AND(#REF!,"AAAAAF9m/50=")</f>
        <v>#REF!</v>
      </c>
      <c r="FC1" t="e">
        <f>AND(#REF!,"AAAAAF9m/54=")</f>
        <v>#REF!</v>
      </c>
      <c r="FD1" t="e">
        <f>AND(#REF!,"AAAAAF9m/58=")</f>
        <v>#REF!</v>
      </c>
      <c r="FE1" t="e">
        <f>AND(#REF!,"AAAAAF9m/6A=")</f>
        <v>#REF!</v>
      </c>
      <c r="FF1" t="e">
        <f>AND(#REF!,"AAAAAF9m/6E=")</f>
        <v>#REF!</v>
      </c>
      <c r="FG1" t="e">
        <f>AND(#REF!,"AAAAAF9m/6I=")</f>
        <v>#REF!</v>
      </c>
      <c r="FH1" t="e">
        <f>AND(#REF!,"AAAAAF9m/6M=")</f>
        <v>#REF!</v>
      </c>
      <c r="FI1" t="e">
        <f>AND(#REF!,"AAAAAF9m/6Q=")</f>
        <v>#REF!</v>
      </c>
      <c r="FJ1" t="e">
        <f>AND(#REF!,"AAAAAF9m/6U=")</f>
        <v>#REF!</v>
      </c>
      <c r="FK1" t="e">
        <f>AND(#REF!,"AAAAAF9m/6Y=")</f>
        <v>#REF!</v>
      </c>
      <c r="FL1" t="e">
        <f>AND(#REF!,"AAAAAF9m/6c=")</f>
        <v>#REF!</v>
      </c>
      <c r="FM1" t="e">
        <f>AND(#REF!,"AAAAAF9m/6g=")</f>
        <v>#REF!</v>
      </c>
      <c r="FN1" t="e">
        <f>AND(#REF!,"AAAAAF9m/6k=")</f>
        <v>#REF!</v>
      </c>
      <c r="FO1" t="e">
        <f>AND(#REF!,"AAAAAF9m/6o=")</f>
        <v>#REF!</v>
      </c>
      <c r="FP1" t="e">
        <f>AND(#REF!,"AAAAAF9m/6s=")</f>
        <v>#REF!</v>
      </c>
      <c r="FQ1" t="e">
        <f>AND(#REF!,"AAAAAF9m/6w=")</f>
        <v>#REF!</v>
      </c>
      <c r="FR1" t="e">
        <f>AND(#REF!,"AAAAAF9m/60=")</f>
        <v>#REF!</v>
      </c>
      <c r="FS1" t="e">
        <f>AND(#REF!,"AAAAAF9m/64=")</f>
        <v>#REF!</v>
      </c>
      <c r="FT1" t="e">
        <f>AND(#REF!,"AAAAAF9m/68=")</f>
        <v>#REF!</v>
      </c>
      <c r="FU1" t="e">
        <f>IF(#REF!,"AAAAAF9m/7A=",0)</f>
        <v>#REF!</v>
      </c>
      <c r="FV1" t="e">
        <f>AND(#REF!,"AAAAAF9m/7E=")</f>
        <v>#REF!</v>
      </c>
      <c r="FW1" t="e">
        <f>AND(#REF!,"AAAAAF9m/7I=")</f>
        <v>#REF!</v>
      </c>
      <c r="FX1" t="e">
        <f>AND(#REF!,"AAAAAF9m/7M=")</f>
        <v>#REF!</v>
      </c>
      <c r="FY1" t="e">
        <f>AND(#REF!,"AAAAAF9m/7Q=")</f>
        <v>#REF!</v>
      </c>
      <c r="FZ1" t="e">
        <f>AND(#REF!,"AAAAAF9m/7U=")</f>
        <v>#REF!</v>
      </c>
      <c r="GA1" t="e">
        <f>AND(#REF!,"AAAAAF9m/7Y=")</f>
        <v>#REF!</v>
      </c>
      <c r="GB1" t="e">
        <f>AND(#REF!,"AAAAAF9m/7c=")</f>
        <v>#REF!</v>
      </c>
      <c r="GC1" t="e">
        <f>AND(#REF!,"AAAAAF9m/7g=")</f>
        <v>#REF!</v>
      </c>
      <c r="GD1" t="e">
        <f>AND(#REF!,"AAAAAF9m/7k=")</f>
        <v>#REF!</v>
      </c>
      <c r="GE1" t="e">
        <f>AND(#REF!,"AAAAAF9m/7o=")</f>
        <v>#REF!</v>
      </c>
      <c r="GF1" t="e">
        <f>AND(#REF!,"AAAAAF9m/7s=")</f>
        <v>#REF!</v>
      </c>
      <c r="GG1" t="e">
        <f>AND(#REF!,"AAAAAF9m/7w=")</f>
        <v>#REF!</v>
      </c>
      <c r="GH1" t="e">
        <f>AND(#REF!,"AAAAAF9m/70=")</f>
        <v>#REF!</v>
      </c>
      <c r="GI1" t="e">
        <f>AND(#REF!,"AAAAAF9m/74=")</f>
        <v>#REF!</v>
      </c>
      <c r="GJ1" t="e">
        <f>AND(#REF!,"AAAAAF9m/78=")</f>
        <v>#REF!</v>
      </c>
      <c r="GK1" t="e">
        <f>AND(#REF!,"AAAAAF9m/8A=")</f>
        <v>#REF!</v>
      </c>
      <c r="GL1" t="e">
        <f>AND(#REF!,"AAAAAF9m/8E=")</f>
        <v>#REF!</v>
      </c>
      <c r="GM1" t="e">
        <f>AND(#REF!,"AAAAAF9m/8I=")</f>
        <v>#REF!</v>
      </c>
      <c r="GN1" t="e">
        <f>AND(#REF!,"AAAAAF9m/8M=")</f>
        <v>#REF!</v>
      </c>
      <c r="GO1" t="e">
        <f>AND(#REF!,"AAAAAF9m/8Q=")</f>
        <v>#REF!</v>
      </c>
      <c r="GP1" t="e">
        <f>AND(#REF!,"AAAAAF9m/8U=")</f>
        <v>#REF!</v>
      </c>
      <c r="GQ1" t="e">
        <f>AND(#REF!,"AAAAAF9m/8Y=")</f>
        <v>#REF!</v>
      </c>
      <c r="GR1" t="e">
        <f>AND(#REF!,"AAAAAF9m/8c=")</f>
        <v>#REF!</v>
      </c>
      <c r="GS1" t="e">
        <f>AND(#REF!,"AAAAAF9m/8g=")</f>
        <v>#REF!</v>
      </c>
      <c r="GT1" t="e">
        <f>AND(#REF!,"AAAAAF9m/8k=")</f>
        <v>#REF!</v>
      </c>
      <c r="GU1" t="e">
        <f>AND(#REF!,"AAAAAF9m/8o=")</f>
        <v>#REF!</v>
      </c>
      <c r="GV1" t="e">
        <f>AND(#REF!,"AAAAAF9m/8s=")</f>
        <v>#REF!</v>
      </c>
      <c r="GW1" t="e">
        <f>AND(#REF!,"AAAAAF9m/8w=")</f>
        <v>#REF!</v>
      </c>
      <c r="GX1" t="e">
        <f>AND(#REF!,"AAAAAF9m/80=")</f>
        <v>#REF!</v>
      </c>
      <c r="GY1" t="e">
        <f>AND(#REF!,"AAAAAF9m/84=")</f>
        <v>#REF!</v>
      </c>
      <c r="GZ1" t="e">
        <f>AND(#REF!,"AAAAAF9m/88=")</f>
        <v>#REF!</v>
      </c>
      <c r="HA1" t="e">
        <f>AND(#REF!,"AAAAAF9m/9A=")</f>
        <v>#REF!</v>
      </c>
      <c r="HB1" t="e">
        <f>AND(#REF!,"AAAAAF9m/9E=")</f>
        <v>#REF!</v>
      </c>
      <c r="HC1" t="e">
        <f>AND(#REF!,"AAAAAF9m/9I=")</f>
        <v>#REF!</v>
      </c>
      <c r="HD1" t="e">
        <f>AND(#REF!,"AAAAAF9m/9M=")</f>
        <v>#REF!</v>
      </c>
      <c r="HE1" t="e">
        <f>AND(#REF!,"AAAAAF9m/9Q=")</f>
        <v>#REF!</v>
      </c>
      <c r="HF1" t="e">
        <f>AND(#REF!,"AAAAAF9m/9U=")</f>
        <v>#REF!</v>
      </c>
      <c r="HG1" t="e">
        <f>AND(#REF!,"AAAAAF9m/9Y=")</f>
        <v>#REF!</v>
      </c>
      <c r="HH1" t="e">
        <f>AND(#REF!,"AAAAAF9m/9c=")</f>
        <v>#REF!</v>
      </c>
      <c r="HI1" t="e">
        <f>AND(#REF!,"AAAAAF9m/9g=")</f>
        <v>#REF!</v>
      </c>
      <c r="HJ1" t="e">
        <f>AND(#REF!,"AAAAAF9m/9k=")</f>
        <v>#REF!</v>
      </c>
      <c r="HK1" t="e">
        <f>AND(#REF!,"AAAAAF9m/9o=")</f>
        <v>#REF!</v>
      </c>
      <c r="HL1" t="e">
        <f>AND(#REF!,"AAAAAF9m/9s=")</f>
        <v>#REF!</v>
      </c>
      <c r="HM1" t="e">
        <f>IF(#REF!,"AAAAAF9m/9w=",0)</f>
        <v>#REF!</v>
      </c>
      <c r="HN1" t="e">
        <f>AND(#REF!,"AAAAAF9m/90=")</f>
        <v>#REF!</v>
      </c>
      <c r="HO1" t="e">
        <f>AND(#REF!,"AAAAAF9m/94=")</f>
        <v>#REF!</v>
      </c>
      <c r="HP1" t="e">
        <f>AND(#REF!,"AAAAAF9m/98=")</f>
        <v>#REF!</v>
      </c>
      <c r="HQ1" t="e">
        <f>AND(#REF!,"AAAAAF9m/+A=")</f>
        <v>#REF!</v>
      </c>
      <c r="HR1" t="e">
        <f>AND(#REF!,"AAAAAF9m/+E=")</f>
        <v>#REF!</v>
      </c>
      <c r="HS1" t="e">
        <f>AND(#REF!,"AAAAAF9m/+I=")</f>
        <v>#REF!</v>
      </c>
      <c r="HT1" t="e">
        <f>AND(#REF!,"AAAAAF9m/+M=")</f>
        <v>#REF!</v>
      </c>
      <c r="HU1" t="e">
        <f>AND(#REF!,"AAAAAF9m/+Q=")</f>
        <v>#REF!</v>
      </c>
      <c r="HV1" t="e">
        <f>AND(#REF!,"AAAAAF9m/+U=")</f>
        <v>#REF!</v>
      </c>
      <c r="HW1" t="e">
        <f>AND(#REF!,"AAAAAF9m/+Y=")</f>
        <v>#REF!</v>
      </c>
      <c r="HX1" t="e">
        <f>AND(#REF!,"AAAAAF9m/+c=")</f>
        <v>#REF!</v>
      </c>
      <c r="HY1" t="e">
        <f>AND(#REF!,"AAAAAF9m/+g=")</f>
        <v>#REF!</v>
      </c>
      <c r="HZ1" t="e">
        <f>AND(#REF!,"AAAAAF9m/+k=")</f>
        <v>#REF!</v>
      </c>
      <c r="IA1" t="e">
        <f>AND(#REF!,"AAAAAF9m/+o=")</f>
        <v>#REF!</v>
      </c>
      <c r="IB1" t="e">
        <f>AND(#REF!,"AAAAAF9m/+s=")</f>
        <v>#REF!</v>
      </c>
      <c r="IC1" t="e">
        <f>AND(#REF!,"AAAAAF9m/+w=")</f>
        <v>#REF!</v>
      </c>
      <c r="ID1" t="e">
        <f>AND(#REF!,"AAAAAF9m/+0=")</f>
        <v>#REF!</v>
      </c>
      <c r="IE1" t="e">
        <f>AND(#REF!,"AAAAAF9m/+4=")</f>
        <v>#REF!</v>
      </c>
      <c r="IF1" t="e">
        <f>AND(#REF!,"AAAAAF9m/+8=")</f>
        <v>#REF!</v>
      </c>
      <c r="IG1" t="e">
        <f>AND(#REF!,"AAAAAF9m//A=")</f>
        <v>#REF!</v>
      </c>
      <c r="IH1" t="e">
        <f>AND(#REF!,"AAAAAF9m//E=")</f>
        <v>#REF!</v>
      </c>
      <c r="II1" t="e">
        <f>AND(#REF!,"AAAAAF9m//I=")</f>
        <v>#REF!</v>
      </c>
      <c r="IJ1" t="e">
        <f>AND(#REF!,"AAAAAF9m//M=")</f>
        <v>#REF!</v>
      </c>
      <c r="IK1" t="e">
        <f>AND(#REF!,"AAAAAF9m//Q=")</f>
        <v>#REF!</v>
      </c>
      <c r="IL1" t="e">
        <f>AND(#REF!,"AAAAAF9m//U=")</f>
        <v>#REF!</v>
      </c>
      <c r="IM1" t="e">
        <f>AND(#REF!,"AAAAAF9m//Y=")</f>
        <v>#REF!</v>
      </c>
      <c r="IN1" t="e">
        <f>AND(#REF!,"AAAAAF9m//c=")</f>
        <v>#REF!</v>
      </c>
      <c r="IO1" t="e">
        <f>AND(#REF!,"AAAAAF9m//g=")</f>
        <v>#REF!</v>
      </c>
      <c r="IP1" t="e">
        <f>AND(#REF!,"AAAAAF9m//k=")</f>
        <v>#REF!</v>
      </c>
      <c r="IQ1" t="e">
        <f>AND(#REF!,"AAAAAF9m//o=")</f>
        <v>#REF!</v>
      </c>
      <c r="IR1" t="e">
        <f>AND(#REF!,"AAAAAF9m//s=")</f>
        <v>#REF!</v>
      </c>
      <c r="IS1" t="e">
        <f>AND(#REF!,"AAAAAF9m//w=")</f>
        <v>#REF!</v>
      </c>
      <c r="IT1" t="e">
        <f>AND(#REF!,"AAAAAF9m//0=")</f>
        <v>#REF!</v>
      </c>
      <c r="IU1" t="e">
        <f>AND(#REF!,"AAAAAF9m//4=")</f>
        <v>#REF!</v>
      </c>
      <c r="IV1" t="e">
        <f>AND(#REF!,"AAAAAF9m//8=")</f>
        <v>#REF!</v>
      </c>
    </row>
    <row r="2" spans="1:256" x14ac:dyDescent="0.25">
      <c r="A2" t="e">
        <f>AND(#REF!,"AAAAAE87fwA=")</f>
        <v>#REF!</v>
      </c>
      <c r="B2" t="e">
        <f>AND(#REF!,"AAAAAE87fwE=")</f>
        <v>#REF!</v>
      </c>
      <c r="C2" t="e">
        <f>AND(#REF!,"AAAAAE87fwI=")</f>
        <v>#REF!</v>
      </c>
      <c r="D2" t="e">
        <f>AND(#REF!,"AAAAAE87fwM=")</f>
        <v>#REF!</v>
      </c>
      <c r="E2" t="e">
        <f>AND(#REF!,"AAAAAE87fwQ=")</f>
        <v>#REF!</v>
      </c>
      <c r="F2" t="e">
        <f>AND(#REF!,"AAAAAE87fwU=")</f>
        <v>#REF!</v>
      </c>
      <c r="G2" t="e">
        <f>AND(#REF!,"AAAAAE87fwY=")</f>
        <v>#REF!</v>
      </c>
      <c r="H2" t="e">
        <f>AND(#REF!,"AAAAAE87fwc=")</f>
        <v>#REF!</v>
      </c>
      <c r="I2" t="e">
        <f>IF(#REF!,"AAAAAE87fwg=",0)</f>
        <v>#REF!</v>
      </c>
      <c r="J2" t="e">
        <f>AND(#REF!,"AAAAAE87fwk=")</f>
        <v>#REF!</v>
      </c>
      <c r="K2" t="e">
        <f>AND(#REF!,"AAAAAE87fwo=")</f>
        <v>#REF!</v>
      </c>
      <c r="L2" t="e">
        <f>AND(#REF!,"AAAAAE87fws=")</f>
        <v>#REF!</v>
      </c>
      <c r="M2" t="e">
        <f>AND(#REF!,"AAAAAE87fww=")</f>
        <v>#REF!</v>
      </c>
      <c r="N2" t="e">
        <f>AND(#REF!,"AAAAAE87fw0=")</f>
        <v>#REF!</v>
      </c>
      <c r="O2" t="e">
        <f>AND(#REF!,"AAAAAE87fw4=")</f>
        <v>#REF!</v>
      </c>
      <c r="P2" t="e">
        <f>AND(#REF!,"AAAAAE87fw8=")</f>
        <v>#REF!</v>
      </c>
      <c r="Q2" t="e">
        <f>AND(#REF!,"AAAAAE87fxA=")</f>
        <v>#REF!</v>
      </c>
      <c r="R2" t="e">
        <f>AND(#REF!,"AAAAAE87fxE=")</f>
        <v>#REF!</v>
      </c>
      <c r="S2" t="e">
        <f>AND(#REF!,"AAAAAE87fxI=")</f>
        <v>#REF!</v>
      </c>
      <c r="T2" t="e">
        <f>AND(#REF!,"AAAAAE87fxM=")</f>
        <v>#REF!</v>
      </c>
      <c r="U2" t="e">
        <f>AND(#REF!,"AAAAAE87fxQ=")</f>
        <v>#REF!</v>
      </c>
      <c r="V2" t="e">
        <f>AND(#REF!,"AAAAAE87fxU=")</f>
        <v>#REF!</v>
      </c>
      <c r="W2" t="e">
        <f>AND(#REF!,"AAAAAE87fxY=")</f>
        <v>#REF!</v>
      </c>
      <c r="X2" t="e">
        <f>AND(#REF!,"AAAAAE87fxc=")</f>
        <v>#REF!</v>
      </c>
      <c r="Y2" t="e">
        <f>AND(#REF!,"AAAAAE87fxg=")</f>
        <v>#REF!</v>
      </c>
      <c r="Z2" t="e">
        <f>AND(#REF!,"AAAAAE87fxk=")</f>
        <v>#REF!</v>
      </c>
      <c r="AA2" t="e">
        <f>AND(#REF!,"AAAAAE87fxo=")</f>
        <v>#REF!</v>
      </c>
      <c r="AB2" t="e">
        <f>AND(#REF!,"AAAAAE87fxs=")</f>
        <v>#REF!</v>
      </c>
      <c r="AC2" t="e">
        <f>AND(#REF!,"AAAAAE87fxw=")</f>
        <v>#REF!</v>
      </c>
      <c r="AD2" t="e">
        <f>AND(#REF!,"AAAAAE87fx0=")</f>
        <v>#REF!</v>
      </c>
      <c r="AE2" t="e">
        <f>AND(#REF!,"AAAAAE87fx4=")</f>
        <v>#REF!</v>
      </c>
      <c r="AF2" t="e">
        <f>AND(#REF!,"AAAAAE87fx8=")</f>
        <v>#REF!</v>
      </c>
      <c r="AG2" t="e">
        <f>AND(#REF!,"AAAAAE87fyA=")</f>
        <v>#REF!</v>
      </c>
      <c r="AH2" t="e">
        <f>AND(#REF!,"AAAAAE87fyE=")</f>
        <v>#REF!</v>
      </c>
      <c r="AI2" t="e">
        <f>AND(#REF!,"AAAAAE87fyI=")</f>
        <v>#REF!</v>
      </c>
      <c r="AJ2" t="e">
        <f>AND(#REF!,"AAAAAE87fyM=")</f>
        <v>#REF!</v>
      </c>
      <c r="AK2" t="e">
        <f>AND(#REF!,"AAAAAE87fyQ=")</f>
        <v>#REF!</v>
      </c>
      <c r="AL2" t="e">
        <f>AND(#REF!,"AAAAAE87fyU=")</f>
        <v>#REF!</v>
      </c>
      <c r="AM2" t="e">
        <f>AND(#REF!,"AAAAAE87fyY=")</f>
        <v>#REF!</v>
      </c>
      <c r="AN2" t="e">
        <f>AND(#REF!,"AAAAAE87fyc=")</f>
        <v>#REF!</v>
      </c>
      <c r="AO2" t="e">
        <f>AND(#REF!,"AAAAAE87fyg=")</f>
        <v>#REF!</v>
      </c>
      <c r="AP2" t="e">
        <f>AND(#REF!,"AAAAAE87fyk=")</f>
        <v>#REF!</v>
      </c>
      <c r="AQ2" t="e">
        <f>AND(#REF!,"AAAAAE87fyo=")</f>
        <v>#REF!</v>
      </c>
      <c r="AR2" t="e">
        <f>AND(#REF!,"AAAAAE87fys=")</f>
        <v>#REF!</v>
      </c>
      <c r="AS2" t="e">
        <f>AND(#REF!,"AAAAAE87fyw=")</f>
        <v>#REF!</v>
      </c>
      <c r="AT2" t="e">
        <f>AND(#REF!,"AAAAAE87fy0=")</f>
        <v>#REF!</v>
      </c>
      <c r="AU2" t="e">
        <f>AND(#REF!,"AAAAAE87fy4=")</f>
        <v>#REF!</v>
      </c>
      <c r="AV2" t="e">
        <f>AND(#REF!,"AAAAAE87fy8=")</f>
        <v>#REF!</v>
      </c>
      <c r="AW2" t="e">
        <f>AND(#REF!,"AAAAAE87fzA=")</f>
        <v>#REF!</v>
      </c>
      <c r="AX2" t="e">
        <f>AND(#REF!,"AAAAAE87fzE=")</f>
        <v>#REF!</v>
      </c>
      <c r="AY2" t="e">
        <f>AND(#REF!,"AAAAAE87fzI=")</f>
        <v>#REF!</v>
      </c>
      <c r="AZ2" t="e">
        <f>AND(#REF!,"AAAAAE87fzM=")</f>
        <v>#REF!</v>
      </c>
      <c r="BA2" t="e">
        <f>IF(#REF!,"AAAAAE87fzQ=",0)</f>
        <v>#REF!</v>
      </c>
      <c r="BB2" t="e">
        <f>AND(#REF!,"AAAAAE87fzU=")</f>
        <v>#REF!</v>
      </c>
      <c r="BC2" t="e">
        <f>AND(#REF!,"AAAAAE87fzY=")</f>
        <v>#REF!</v>
      </c>
      <c r="BD2" t="e">
        <f>AND(#REF!,"AAAAAE87fzc=")</f>
        <v>#REF!</v>
      </c>
      <c r="BE2" t="e">
        <f>AND(#REF!,"AAAAAE87fzg=")</f>
        <v>#REF!</v>
      </c>
      <c r="BF2" t="e">
        <f>AND(#REF!,"AAAAAE87fzk=")</f>
        <v>#REF!</v>
      </c>
      <c r="BG2" t="e">
        <f>AND(#REF!,"AAAAAE87fzo=")</f>
        <v>#REF!</v>
      </c>
      <c r="BH2" t="e">
        <f>AND(#REF!,"AAAAAE87fzs=")</f>
        <v>#REF!</v>
      </c>
      <c r="BI2" t="e">
        <f>AND(#REF!,"AAAAAE87fzw=")</f>
        <v>#REF!</v>
      </c>
      <c r="BJ2" t="e">
        <f>AND(#REF!,"AAAAAE87fz0=")</f>
        <v>#REF!</v>
      </c>
      <c r="BK2" t="e">
        <f>AND(#REF!,"AAAAAE87fz4=")</f>
        <v>#REF!</v>
      </c>
      <c r="BL2" t="e">
        <f>AND(#REF!,"AAAAAE87fz8=")</f>
        <v>#REF!</v>
      </c>
      <c r="BM2" t="e">
        <f>AND(#REF!,"AAAAAE87f0A=")</f>
        <v>#REF!</v>
      </c>
      <c r="BN2" t="e">
        <f>AND(#REF!,"AAAAAE87f0E=")</f>
        <v>#REF!</v>
      </c>
      <c r="BO2" t="e">
        <f>AND(#REF!,"AAAAAE87f0I=")</f>
        <v>#REF!</v>
      </c>
      <c r="BP2" t="e">
        <f>AND(#REF!,"AAAAAE87f0M=")</f>
        <v>#REF!</v>
      </c>
      <c r="BQ2" t="e">
        <f>AND(#REF!,"AAAAAE87f0Q=")</f>
        <v>#REF!</v>
      </c>
      <c r="BR2" t="e">
        <f>AND(#REF!,"AAAAAE87f0U=")</f>
        <v>#REF!</v>
      </c>
      <c r="BS2" t="e">
        <f>AND(#REF!,"AAAAAE87f0Y=")</f>
        <v>#REF!</v>
      </c>
      <c r="BT2" t="e">
        <f>AND(#REF!,"AAAAAE87f0c=")</f>
        <v>#REF!</v>
      </c>
      <c r="BU2" t="e">
        <f>AND(#REF!,"AAAAAE87f0g=")</f>
        <v>#REF!</v>
      </c>
      <c r="BV2" t="e">
        <f>AND(#REF!,"AAAAAE87f0k=")</f>
        <v>#REF!</v>
      </c>
      <c r="BW2" t="e">
        <f>AND(#REF!,"AAAAAE87f0o=")</f>
        <v>#REF!</v>
      </c>
      <c r="BX2" t="e">
        <f>AND(#REF!,"AAAAAE87f0s=")</f>
        <v>#REF!</v>
      </c>
      <c r="BY2" t="e">
        <f>AND(#REF!,"AAAAAE87f0w=")</f>
        <v>#REF!</v>
      </c>
      <c r="BZ2" t="e">
        <f>AND(#REF!,"AAAAAE87f00=")</f>
        <v>#REF!</v>
      </c>
      <c r="CA2" t="e">
        <f>AND(#REF!,"AAAAAE87f04=")</f>
        <v>#REF!</v>
      </c>
      <c r="CB2" t="e">
        <f>AND(#REF!,"AAAAAE87f08=")</f>
        <v>#REF!</v>
      </c>
      <c r="CC2" t="e">
        <f>AND(#REF!,"AAAAAE87f1A=")</f>
        <v>#REF!</v>
      </c>
      <c r="CD2" t="e">
        <f>AND(#REF!,"AAAAAE87f1E=")</f>
        <v>#REF!</v>
      </c>
      <c r="CE2" t="e">
        <f>AND(#REF!,"AAAAAE87f1I=")</f>
        <v>#REF!</v>
      </c>
      <c r="CF2" t="e">
        <f>AND(#REF!,"AAAAAE87f1M=")</f>
        <v>#REF!</v>
      </c>
      <c r="CG2" t="e">
        <f>AND(#REF!,"AAAAAE87f1Q=")</f>
        <v>#REF!</v>
      </c>
      <c r="CH2" t="e">
        <f>AND(#REF!,"AAAAAE87f1U=")</f>
        <v>#REF!</v>
      </c>
      <c r="CI2" t="e">
        <f>AND(#REF!,"AAAAAE87f1Y=")</f>
        <v>#REF!</v>
      </c>
      <c r="CJ2" t="e">
        <f>AND(#REF!,"AAAAAE87f1c=")</f>
        <v>#REF!</v>
      </c>
      <c r="CK2" t="e">
        <f>AND(#REF!,"AAAAAE87f1g=")</f>
        <v>#REF!</v>
      </c>
      <c r="CL2" t="e">
        <f>AND(#REF!,"AAAAAE87f1k=")</f>
        <v>#REF!</v>
      </c>
      <c r="CM2" t="e">
        <f>AND(#REF!,"AAAAAE87f1o=")</f>
        <v>#REF!</v>
      </c>
      <c r="CN2" t="e">
        <f>AND(#REF!,"AAAAAE87f1s=")</f>
        <v>#REF!</v>
      </c>
      <c r="CO2" t="e">
        <f>AND(#REF!,"AAAAAE87f1w=")</f>
        <v>#REF!</v>
      </c>
      <c r="CP2" t="e">
        <f>AND(#REF!,"AAAAAE87f10=")</f>
        <v>#REF!</v>
      </c>
      <c r="CQ2" t="e">
        <f>AND(#REF!,"AAAAAE87f14=")</f>
        <v>#REF!</v>
      </c>
      <c r="CR2" t="e">
        <f>AND(#REF!,"AAAAAE87f18=")</f>
        <v>#REF!</v>
      </c>
      <c r="CS2" t="e">
        <f>IF(#REF!,"AAAAAE87f2A=",0)</f>
        <v>#REF!</v>
      </c>
      <c r="CT2" t="e">
        <f>AND(#REF!,"AAAAAE87f2E=")</f>
        <v>#REF!</v>
      </c>
      <c r="CU2" t="e">
        <f>AND(#REF!,"AAAAAE87f2I=")</f>
        <v>#REF!</v>
      </c>
      <c r="CV2" t="e">
        <f>AND(#REF!,"AAAAAE87f2M=")</f>
        <v>#REF!</v>
      </c>
      <c r="CW2" t="e">
        <f>AND(#REF!,"AAAAAE87f2Q=")</f>
        <v>#REF!</v>
      </c>
      <c r="CX2" t="e">
        <f>AND(#REF!,"AAAAAE87f2U=")</f>
        <v>#REF!</v>
      </c>
      <c r="CY2" t="e">
        <f>AND(#REF!,"AAAAAE87f2Y=")</f>
        <v>#REF!</v>
      </c>
      <c r="CZ2" t="e">
        <f>AND(#REF!,"AAAAAE87f2c=")</f>
        <v>#REF!</v>
      </c>
      <c r="DA2" t="e">
        <f>AND(#REF!,"AAAAAE87f2g=")</f>
        <v>#REF!</v>
      </c>
      <c r="DB2" t="e">
        <f>AND(#REF!,"AAAAAE87f2k=")</f>
        <v>#REF!</v>
      </c>
      <c r="DC2" t="e">
        <f>AND(#REF!,"AAAAAE87f2o=")</f>
        <v>#REF!</v>
      </c>
      <c r="DD2" t="e">
        <f>AND(#REF!,"AAAAAE87f2s=")</f>
        <v>#REF!</v>
      </c>
      <c r="DE2" t="e">
        <f>AND(#REF!,"AAAAAE87f2w=")</f>
        <v>#REF!</v>
      </c>
      <c r="DF2" t="e">
        <f>AND(#REF!,"AAAAAE87f20=")</f>
        <v>#REF!</v>
      </c>
      <c r="DG2" t="e">
        <f>AND(#REF!,"AAAAAE87f24=")</f>
        <v>#REF!</v>
      </c>
      <c r="DH2" t="e">
        <f>AND(#REF!,"AAAAAE87f28=")</f>
        <v>#REF!</v>
      </c>
      <c r="DI2" t="e">
        <f>AND(#REF!,"AAAAAE87f3A=")</f>
        <v>#REF!</v>
      </c>
      <c r="DJ2" t="e">
        <f>AND(#REF!,"AAAAAE87f3E=")</f>
        <v>#REF!</v>
      </c>
      <c r="DK2" t="e">
        <f>AND(#REF!,"AAAAAE87f3I=")</f>
        <v>#REF!</v>
      </c>
      <c r="DL2" t="e">
        <f>AND(#REF!,"AAAAAE87f3M=")</f>
        <v>#REF!</v>
      </c>
      <c r="DM2" t="e">
        <f>AND(#REF!,"AAAAAE87f3Q=")</f>
        <v>#REF!</v>
      </c>
      <c r="DN2" t="e">
        <f>AND(#REF!,"AAAAAE87f3U=")</f>
        <v>#REF!</v>
      </c>
      <c r="DO2" t="e">
        <f>AND(#REF!,"AAAAAE87f3Y=")</f>
        <v>#REF!</v>
      </c>
      <c r="DP2" t="e">
        <f>AND(#REF!,"AAAAAE87f3c=")</f>
        <v>#REF!</v>
      </c>
      <c r="DQ2" t="e">
        <f>AND(#REF!,"AAAAAE87f3g=")</f>
        <v>#REF!</v>
      </c>
      <c r="DR2" t="e">
        <f>AND(#REF!,"AAAAAE87f3k=")</f>
        <v>#REF!</v>
      </c>
      <c r="DS2" t="e">
        <f>AND(#REF!,"AAAAAE87f3o=")</f>
        <v>#REF!</v>
      </c>
      <c r="DT2" t="e">
        <f>AND(#REF!,"AAAAAE87f3s=")</f>
        <v>#REF!</v>
      </c>
      <c r="DU2" t="e">
        <f>AND(#REF!,"AAAAAE87f3w=")</f>
        <v>#REF!</v>
      </c>
      <c r="DV2" t="e">
        <f>AND(#REF!,"AAAAAE87f30=")</f>
        <v>#REF!</v>
      </c>
      <c r="DW2" t="e">
        <f>AND(#REF!,"AAAAAE87f34=")</f>
        <v>#REF!</v>
      </c>
      <c r="DX2" t="e">
        <f>AND(#REF!,"AAAAAE87f38=")</f>
        <v>#REF!</v>
      </c>
      <c r="DY2" t="e">
        <f>AND(#REF!,"AAAAAE87f4A=")</f>
        <v>#REF!</v>
      </c>
      <c r="DZ2" t="e">
        <f>AND(#REF!,"AAAAAE87f4E=")</f>
        <v>#REF!</v>
      </c>
      <c r="EA2" t="e">
        <f>AND(#REF!,"AAAAAE87f4I=")</f>
        <v>#REF!</v>
      </c>
      <c r="EB2" t="e">
        <f>AND(#REF!,"AAAAAE87f4M=")</f>
        <v>#REF!</v>
      </c>
      <c r="EC2" t="e">
        <f>AND(#REF!,"AAAAAE87f4Q=")</f>
        <v>#REF!</v>
      </c>
      <c r="ED2" t="e">
        <f>AND(#REF!,"AAAAAE87f4U=")</f>
        <v>#REF!</v>
      </c>
      <c r="EE2" t="e">
        <f>AND(#REF!,"AAAAAE87f4Y=")</f>
        <v>#REF!</v>
      </c>
      <c r="EF2" t="e">
        <f>AND(#REF!,"AAAAAE87f4c=")</f>
        <v>#REF!</v>
      </c>
      <c r="EG2" t="e">
        <f>AND(#REF!,"AAAAAE87f4g=")</f>
        <v>#REF!</v>
      </c>
      <c r="EH2" t="e">
        <f>AND(#REF!,"AAAAAE87f4k=")</f>
        <v>#REF!</v>
      </c>
      <c r="EI2" t="e">
        <f>AND(#REF!,"AAAAAE87f4o=")</f>
        <v>#REF!</v>
      </c>
      <c r="EJ2" t="e">
        <f>AND(#REF!,"AAAAAE87f4s=")</f>
        <v>#REF!</v>
      </c>
      <c r="EK2" t="e">
        <f>IF(#REF!,"AAAAAE87f4w=",0)</f>
        <v>#REF!</v>
      </c>
      <c r="EL2" t="e">
        <f>AND(#REF!,"AAAAAE87f40=")</f>
        <v>#REF!</v>
      </c>
      <c r="EM2" t="e">
        <f>AND(#REF!,"AAAAAE87f44=")</f>
        <v>#REF!</v>
      </c>
      <c r="EN2" t="e">
        <f>AND(#REF!,"AAAAAE87f48=")</f>
        <v>#REF!</v>
      </c>
      <c r="EO2" t="e">
        <f>AND(#REF!,"AAAAAE87f5A=")</f>
        <v>#REF!</v>
      </c>
      <c r="EP2" t="e">
        <f>AND(#REF!,"AAAAAE87f5E=")</f>
        <v>#REF!</v>
      </c>
      <c r="EQ2" t="e">
        <f>AND(#REF!,"AAAAAE87f5I=")</f>
        <v>#REF!</v>
      </c>
      <c r="ER2" t="e">
        <f>AND(#REF!,"AAAAAE87f5M=")</f>
        <v>#REF!</v>
      </c>
      <c r="ES2" t="e">
        <f>AND(#REF!,"AAAAAE87f5Q=")</f>
        <v>#REF!</v>
      </c>
      <c r="ET2" t="e">
        <f>AND(#REF!,"AAAAAE87f5U=")</f>
        <v>#REF!</v>
      </c>
      <c r="EU2" t="e">
        <f>AND(#REF!,"AAAAAE87f5Y=")</f>
        <v>#REF!</v>
      </c>
      <c r="EV2" t="e">
        <f>AND(#REF!,"AAAAAE87f5c=")</f>
        <v>#REF!</v>
      </c>
      <c r="EW2" t="e">
        <f>AND(#REF!,"AAAAAE87f5g=")</f>
        <v>#REF!</v>
      </c>
      <c r="EX2" t="e">
        <f>AND(#REF!,"AAAAAE87f5k=")</f>
        <v>#REF!</v>
      </c>
      <c r="EY2" t="e">
        <f>AND(#REF!,"AAAAAE87f5o=")</f>
        <v>#REF!</v>
      </c>
      <c r="EZ2" t="e">
        <f>AND(#REF!,"AAAAAE87f5s=")</f>
        <v>#REF!</v>
      </c>
      <c r="FA2" t="e">
        <f>AND(#REF!,"AAAAAE87f5w=")</f>
        <v>#REF!</v>
      </c>
      <c r="FB2" t="e">
        <f>AND(#REF!,"AAAAAE87f50=")</f>
        <v>#REF!</v>
      </c>
      <c r="FC2" t="e">
        <f>AND(#REF!,"AAAAAE87f54=")</f>
        <v>#REF!</v>
      </c>
      <c r="FD2" t="e">
        <f>AND(#REF!,"AAAAAE87f58=")</f>
        <v>#REF!</v>
      </c>
      <c r="FE2" t="e">
        <f>AND(#REF!,"AAAAAE87f6A=")</f>
        <v>#REF!</v>
      </c>
      <c r="FF2" t="e">
        <f>AND(#REF!,"AAAAAE87f6E=")</f>
        <v>#REF!</v>
      </c>
      <c r="FG2" t="e">
        <f>AND(#REF!,"AAAAAE87f6I=")</f>
        <v>#REF!</v>
      </c>
      <c r="FH2" t="e">
        <f>AND(#REF!,"AAAAAE87f6M=")</f>
        <v>#REF!</v>
      </c>
      <c r="FI2" t="e">
        <f>AND(#REF!,"AAAAAE87f6Q=")</f>
        <v>#REF!</v>
      </c>
      <c r="FJ2" t="e">
        <f>AND(#REF!,"AAAAAE87f6U=")</f>
        <v>#REF!</v>
      </c>
      <c r="FK2" t="e">
        <f>AND(#REF!,"AAAAAE87f6Y=")</f>
        <v>#REF!</v>
      </c>
      <c r="FL2" t="e">
        <f>AND(#REF!,"AAAAAE87f6c=")</f>
        <v>#REF!</v>
      </c>
      <c r="FM2" t="e">
        <f>AND(#REF!,"AAAAAE87f6g=")</f>
        <v>#REF!</v>
      </c>
      <c r="FN2" t="e">
        <f>AND(#REF!,"AAAAAE87f6k=")</f>
        <v>#REF!</v>
      </c>
      <c r="FO2" t="e">
        <f>AND(#REF!,"AAAAAE87f6o=")</f>
        <v>#REF!</v>
      </c>
      <c r="FP2" t="e">
        <f>AND(#REF!,"AAAAAE87f6s=")</f>
        <v>#REF!</v>
      </c>
      <c r="FQ2" t="e">
        <f>AND(#REF!,"AAAAAE87f6w=")</f>
        <v>#REF!</v>
      </c>
      <c r="FR2" t="e">
        <f>AND(#REF!,"AAAAAE87f60=")</f>
        <v>#REF!</v>
      </c>
      <c r="FS2" t="e">
        <f>AND(#REF!,"AAAAAE87f64=")</f>
        <v>#REF!</v>
      </c>
      <c r="FT2" t="e">
        <f>AND(#REF!,"AAAAAE87f68=")</f>
        <v>#REF!</v>
      </c>
      <c r="FU2" t="e">
        <f>AND(#REF!,"AAAAAE87f7A=")</f>
        <v>#REF!</v>
      </c>
      <c r="FV2" t="e">
        <f>AND(#REF!,"AAAAAE87f7E=")</f>
        <v>#REF!</v>
      </c>
      <c r="FW2" t="e">
        <f>AND(#REF!,"AAAAAE87f7I=")</f>
        <v>#REF!</v>
      </c>
      <c r="FX2" t="e">
        <f>AND(#REF!,"AAAAAE87f7M=")</f>
        <v>#REF!</v>
      </c>
      <c r="FY2" t="e">
        <f>AND(#REF!,"AAAAAE87f7Q=")</f>
        <v>#REF!</v>
      </c>
      <c r="FZ2" t="e">
        <f>AND(#REF!,"AAAAAE87f7U=")</f>
        <v>#REF!</v>
      </c>
      <c r="GA2" t="e">
        <f>AND(#REF!,"AAAAAE87f7Y=")</f>
        <v>#REF!</v>
      </c>
      <c r="GB2" t="e">
        <f>AND(#REF!,"AAAAAE87f7c=")</f>
        <v>#REF!</v>
      </c>
      <c r="GC2" t="e">
        <f>IF(#REF!,"AAAAAE87f7g=",0)</f>
        <v>#REF!</v>
      </c>
      <c r="GD2" t="e">
        <f>AND(#REF!,"AAAAAE87f7k=")</f>
        <v>#REF!</v>
      </c>
      <c r="GE2" t="e">
        <f>AND(#REF!,"AAAAAE87f7o=")</f>
        <v>#REF!</v>
      </c>
      <c r="GF2" t="e">
        <f>AND(#REF!,"AAAAAE87f7s=")</f>
        <v>#REF!</v>
      </c>
      <c r="GG2" t="e">
        <f>AND(#REF!,"AAAAAE87f7w=")</f>
        <v>#REF!</v>
      </c>
      <c r="GH2" t="e">
        <f>AND(#REF!,"AAAAAE87f70=")</f>
        <v>#REF!</v>
      </c>
      <c r="GI2" t="e">
        <f>AND(#REF!,"AAAAAE87f74=")</f>
        <v>#REF!</v>
      </c>
      <c r="GJ2" t="e">
        <f>AND(#REF!,"AAAAAE87f78=")</f>
        <v>#REF!</v>
      </c>
      <c r="GK2" t="e">
        <f>AND(#REF!,"AAAAAE87f8A=")</f>
        <v>#REF!</v>
      </c>
      <c r="GL2" t="e">
        <f>AND(#REF!,"AAAAAE87f8E=")</f>
        <v>#REF!</v>
      </c>
      <c r="GM2" t="e">
        <f>AND(#REF!,"AAAAAE87f8I=")</f>
        <v>#REF!</v>
      </c>
      <c r="GN2" t="e">
        <f>AND(#REF!,"AAAAAE87f8M=")</f>
        <v>#REF!</v>
      </c>
      <c r="GO2" t="e">
        <f>AND(#REF!,"AAAAAE87f8Q=")</f>
        <v>#REF!</v>
      </c>
      <c r="GP2" t="e">
        <f>AND(#REF!,"AAAAAE87f8U=")</f>
        <v>#REF!</v>
      </c>
      <c r="GQ2" t="e">
        <f>AND(#REF!,"AAAAAE87f8Y=")</f>
        <v>#REF!</v>
      </c>
      <c r="GR2" t="e">
        <f>AND(#REF!,"AAAAAE87f8c=")</f>
        <v>#REF!</v>
      </c>
      <c r="GS2" t="e">
        <f>AND(#REF!,"AAAAAE87f8g=")</f>
        <v>#REF!</v>
      </c>
      <c r="GT2" t="e">
        <f>AND(#REF!,"AAAAAE87f8k=")</f>
        <v>#REF!</v>
      </c>
      <c r="GU2" t="e">
        <f>AND(#REF!,"AAAAAE87f8o=")</f>
        <v>#REF!</v>
      </c>
      <c r="GV2" t="e">
        <f>AND(#REF!,"AAAAAE87f8s=")</f>
        <v>#REF!</v>
      </c>
      <c r="GW2" t="e">
        <f>AND(#REF!,"AAAAAE87f8w=")</f>
        <v>#REF!</v>
      </c>
      <c r="GX2" t="e">
        <f>AND(#REF!,"AAAAAE87f80=")</f>
        <v>#REF!</v>
      </c>
      <c r="GY2" t="e">
        <f>AND(#REF!,"AAAAAE87f84=")</f>
        <v>#REF!</v>
      </c>
      <c r="GZ2" t="e">
        <f>AND(#REF!,"AAAAAE87f88=")</f>
        <v>#REF!</v>
      </c>
      <c r="HA2" t="e">
        <f>AND(#REF!,"AAAAAE87f9A=")</f>
        <v>#REF!</v>
      </c>
      <c r="HB2" t="e">
        <f>AND(#REF!,"AAAAAE87f9E=")</f>
        <v>#REF!</v>
      </c>
      <c r="HC2" t="e">
        <f>AND(#REF!,"AAAAAE87f9I=")</f>
        <v>#REF!</v>
      </c>
      <c r="HD2" t="e">
        <f>AND(#REF!,"AAAAAE87f9M=")</f>
        <v>#REF!</v>
      </c>
      <c r="HE2" t="e">
        <f>AND(#REF!,"AAAAAE87f9Q=")</f>
        <v>#REF!</v>
      </c>
      <c r="HF2" t="e">
        <f>AND(#REF!,"AAAAAE87f9U=")</f>
        <v>#REF!</v>
      </c>
      <c r="HG2" t="e">
        <f>AND(#REF!,"AAAAAE87f9Y=")</f>
        <v>#REF!</v>
      </c>
      <c r="HH2" t="e">
        <f>AND(#REF!,"AAAAAE87f9c=")</f>
        <v>#REF!</v>
      </c>
      <c r="HI2" t="e">
        <f>AND(#REF!,"AAAAAE87f9g=")</f>
        <v>#REF!</v>
      </c>
      <c r="HJ2" t="e">
        <f>AND(#REF!,"AAAAAE87f9k=")</f>
        <v>#REF!</v>
      </c>
      <c r="HK2" t="e">
        <f>AND(#REF!,"AAAAAE87f9o=")</f>
        <v>#REF!</v>
      </c>
      <c r="HL2" t="e">
        <f>AND(#REF!,"AAAAAE87f9s=")</f>
        <v>#REF!</v>
      </c>
      <c r="HM2" t="e">
        <f>AND(#REF!,"AAAAAE87f9w=")</f>
        <v>#REF!</v>
      </c>
      <c r="HN2" t="e">
        <f>AND(#REF!,"AAAAAE87f90=")</f>
        <v>#REF!</v>
      </c>
      <c r="HO2" t="e">
        <f>AND(#REF!,"AAAAAE87f94=")</f>
        <v>#REF!</v>
      </c>
      <c r="HP2" t="e">
        <f>AND(#REF!,"AAAAAE87f98=")</f>
        <v>#REF!</v>
      </c>
      <c r="HQ2" t="e">
        <f>AND(#REF!,"AAAAAE87f+A=")</f>
        <v>#REF!</v>
      </c>
      <c r="HR2" t="e">
        <f>AND(#REF!,"AAAAAE87f+E=")</f>
        <v>#REF!</v>
      </c>
      <c r="HS2" t="e">
        <f>AND(#REF!,"AAAAAE87f+I=")</f>
        <v>#REF!</v>
      </c>
      <c r="HT2" t="e">
        <f>AND(#REF!,"AAAAAE87f+M=")</f>
        <v>#REF!</v>
      </c>
      <c r="HU2" t="e">
        <f>IF(#REF!,"AAAAAE87f+Q=",0)</f>
        <v>#REF!</v>
      </c>
      <c r="HV2" t="e">
        <f>AND(#REF!,"AAAAAE87f+U=")</f>
        <v>#REF!</v>
      </c>
      <c r="HW2" t="e">
        <f>AND(#REF!,"AAAAAE87f+Y=")</f>
        <v>#REF!</v>
      </c>
      <c r="HX2" t="e">
        <f>AND(#REF!,"AAAAAE87f+c=")</f>
        <v>#REF!</v>
      </c>
      <c r="HY2" t="e">
        <f>AND(#REF!,"AAAAAE87f+g=")</f>
        <v>#REF!</v>
      </c>
      <c r="HZ2" t="e">
        <f>AND(#REF!,"AAAAAE87f+k=")</f>
        <v>#REF!</v>
      </c>
      <c r="IA2" t="e">
        <f>AND(#REF!,"AAAAAE87f+o=")</f>
        <v>#REF!</v>
      </c>
      <c r="IB2" t="e">
        <f>AND(#REF!,"AAAAAE87f+s=")</f>
        <v>#REF!</v>
      </c>
      <c r="IC2" t="e">
        <f>AND(#REF!,"AAAAAE87f+w=")</f>
        <v>#REF!</v>
      </c>
      <c r="ID2" t="e">
        <f>AND(#REF!,"AAAAAE87f+0=")</f>
        <v>#REF!</v>
      </c>
      <c r="IE2" t="e">
        <f>AND(#REF!,"AAAAAE87f+4=")</f>
        <v>#REF!</v>
      </c>
      <c r="IF2" t="e">
        <f>AND(#REF!,"AAAAAE87f+8=")</f>
        <v>#REF!</v>
      </c>
      <c r="IG2" t="e">
        <f>AND(#REF!,"AAAAAE87f/A=")</f>
        <v>#REF!</v>
      </c>
      <c r="IH2" t="e">
        <f>AND(#REF!,"AAAAAE87f/E=")</f>
        <v>#REF!</v>
      </c>
      <c r="II2" t="e">
        <f>AND(#REF!,"AAAAAE87f/I=")</f>
        <v>#REF!</v>
      </c>
      <c r="IJ2" t="e">
        <f>AND(#REF!,"AAAAAE87f/M=")</f>
        <v>#REF!</v>
      </c>
      <c r="IK2" t="e">
        <f>AND(#REF!,"AAAAAE87f/Q=")</f>
        <v>#REF!</v>
      </c>
      <c r="IL2" t="e">
        <f>AND(#REF!,"AAAAAE87f/U=")</f>
        <v>#REF!</v>
      </c>
      <c r="IM2" t="e">
        <f>AND(#REF!,"AAAAAE87f/Y=")</f>
        <v>#REF!</v>
      </c>
      <c r="IN2" t="e">
        <f>AND(#REF!,"AAAAAE87f/c=")</f>
        <v>#REF!</v>
      </c>
      <c r="IO2" t="e">
        <f>AND(#REF!,"AAAAAE87f/g=")</f>
        <v>#REF!</v>
      </c>
      <c r="IP2" t="e">
        <f>AND(#REF!,"AAAAAE87f/k=")</f>
        <v>#REF!</v>
      </c>
      <c r="IQ2" t="e">
        <f>AND(#REF!,"AAAAAE87f/o=")</f>
        <v>#REF!</v>
      </c>
      <c r="IR2" t="e">
        <f>AND(#REF!,"AAAAAE87f/s=")</f>
        <v>#REF!</v>
      </c>
      <c r="IS2" t="e">
        <f>AND(#REF!,"AAAAAE87f/w=")</f>
        <v>#REF!</v>
      </c>
      <c r="IT2" t="e">
        <f>AND(#REF!,"AAAAAE87f/0=")</f>
        <v>#REF!</v>
      </c>
      <c r="IU2" t="e">
        <f>AND(#REF!,"AAAAAE87f/4=")</f>
        <v>#REF!</v>
      </c>
      <c r="IV2" t="e">
        <f>AND(#REF!,"AAAAAE87f/8=")</f>
        <v>#REF!</v>
      </c>
    </row>
    <row r="3" spans="1:256" x14ac:dyDescent="0.25">
      <c r="A3" t="e">
        <f>AND(#REF!,"AAAAAH1f/AA=")</f>
        <v>#REF!</v>
      </c>
      <c r="B3" t="e">
        <f>AND(#REF!,"AAAAAH1f/AE=")</f>
        <v>#REF!</v>
      </c>
      <c r="C3" t="e">
        <f>AND(#REF!,"AAAAAH1f/AI=")</f>
        <v>#REF!</v>
      </c>
      <c r="D3" t="e">
        <f>AND(#REF!,"AAAAAH1f/AM=")</f>
        <v>#REF!</v>
      </c>
      <c r="E3" t="e">
        <f>AND(#REF!,"AAAAAH1f/AQ=")</f>
        <v>#REF!</v>
      </c>
      <c r="F3" t="e">
        <f>AND(#REF!,"AAAAAH1f/AU=")</f>
        <v>#REF!</v>
      </c>
      <c r="G3" t="e">
        <f>AND(#REF!,"AAAAAH1f/AY=")</f>
        <v>#REF!</v>
      </c>
      <c r="H3" t="e">
        <f>AND(#REF!,"AAAAAH1f/Ac=")</f>
        <v>#REF!</v>
      </c>
      <c r="I3" t="e">
        <f>AND(#REF!,"AAAAAH1f/Ag=")</f>
        <v>#REF!</v>
      </c>
      <c r="J3" t="e">
        <f>AND(#REF!,"AAAAAH1f/Ak=")</f>
        <v>#REF!</v>
      </c>
      <c r="K3" t="e">
        <f>AND(#REF!,"AAAAAH1f/Ao=")</f>
        <v>#REF!</v>
      </c>
      <c r="L3" t="e">
        <f>AND(#REF!,"AAAAAH1f/As=")</f>
        <v>#REF!</v>
      </c>
      <c r="M3" t="e">
        <f>AND(#REF!,"AAAAAH1f/Aw=")</f>
        <v>#REF!</v>
      </c>
      <c r="N3" t="e">
        <f>AND(#REF!,"AAAAAH1f/A0=")</f>
        <v>#REF!</v>
      </c>
      <c r="O3" t="e">
        <f>AND(#REF!,"AAAAAH1f/A4=")</f>
        <v>#REF!</v>
      </c>
      <c r="P3" t="e">
        <f>AND(#REF!,"AAAAAH1f/A8=")</f>
        <v>#REF!</v>
      </c>
      <c r="Q3" t="e">
        <f>IF(#REF!,"AAAAAH1f/BA=",0)</f>
        <v>#REF!</v>
      </c>
      <c r="R3" t="e">
        <f>AND(#REF!,"AAAAAH1f/BE=")</f>
        <v>#REF!</v>
      </c>
      <c r="S3" t="e">
        <f>AND(#REF!,"AAAAAH1f/BI=")</f>
        <v>#REF!</v>
      </c>
      <c r="T3" t="e">
        <f>AND(#REF!,"AAAAAH1f/BM=")</f>
        <v>#REF!</v>
      </c>
      <c r="U3" t="e">
        <f>AND(#REF!,"AAAAAH1f/BQ=")</f>
        <v>#REF!</v>
      </c>
      <c r="V3" t="e">
        <f>AND(#REF!,"AAAAAH1f/BU=")</f>
        <v>#REF!</v>
      </c>
      <c r="W3" t="e">
        <f>AND(#REF!,"AAAAAH1f/BY=")</f>
        <v>#REF!</v>
      </c>
      <c r="X3" t="e">
        <f>AND(#REF!,"AAAAAH1f/Bc=")</f>
        <v>#REF!</v>
      </c>
      <c r="Y3" t="e">
        <f>AND(#REF!,"AAAAAH1f/Bg=")</f>
        <v>#REF!</v>
      </c>
      <c r="Z3" t="e">
        <f>AND(#REF!,"AAAAAH1f/Bk=")</f>
        <v>#REF!</v>
      </c>
      <c r="AA3" t="e">
        <f>AND(#REF!,"AAAAAH1f/Bo=")</f>
        <v>#REF!</v>
      </c>
      <c r="AB3" t="e">
        <f>AND(#REF!,"AAAAAH1f/Bs=")</f>
        <v>#REF!</v>
      </c>
      <c r="AC3" t="e">
        <f>AND(#REF!,"AAAAAH1f/Bw=")</f>
        <v>#REF!</v>
      </c>
      <c r="AD3" t="e">
        <f>AND(#REF!,"AAAAAH1f/B0=")</f>
        <v>#REF!</v>
      </c>
      <c r="AE3" t="e">
        <f>AND(#REF!,"AAAAAH1f/B4=")</f>
        <v>#REF!</v>
      </c>
      <c r="AF3" t="e">
        <f>AND(#REF!,"AAAAAH1f/B8=")</f>
        <v>#REF!</v>
      </c>
      <c r="AG3" t="e">
        <f>AND(#REF!,"AAAAAH1f/CA=")</f>
        <v>#REF!</v>
      </c>
      <c r="AH3" t="e">
        <f>AND(#REF!,"AAAAAH1f/CE=")</f>
        <v>#REF!</v>
      </c>
      <c r="AI3" t="e">
        <f>AND(#REF!,"AAAAAH1f/CI=")</f>
        <v>#REF!</v>
      </c>
      <c r="AJ3" t="e">
        <f>AND(#REF!,"AAAAAH1f/CM=")</f>
        <v>#REF!</v>
      </c>
      <c r="AK3" t="e">
        <f>AND(#REF!,"AAAAAH1f/CQ=")</f>
        <v>#REF!</v>
      </c>
      <c r="AL3" t="e">
        <f>AND(#REF!,"AAAAAH1f/CU=")</f>
        <v>#REF!</v>
      </c>
      <c r="AM3" t="e">
        <f>AND(#REF!,"AAAAAH1f/CY=")</f>
        <v>#REF!</v>
      </c>
      <c r="AN3" t="e">
        <f>AND(#REF!,"AAAAAH1f/Cc=")</f>
        <v>#REF!</v>
      </c>
      <c r="AO3" t="e">
        <f>AND(#REF!,"AAAAAH1f/Cg=")</f>
        <v>#REF!</v>
      </c>
      <c r="AP3" t="e">
        <f>AND(#REF!,"AAAAAH1f/Ck=")</f>
        <v>#REF!</v>
      </c>
      <c r="AQ3" t="e">
        <f>AND(#REF!,"AAAAAH1f/Co=")</f>
        <v>#REF!</v>
      </c>
      <c r="AR3" t="e">
        <f>AND(#REF!,"AAAAAH1f/Cs=")</f>
        <v>#REF!</v>
      </c>
      <c r="AS3" t="e">
        <f>AND(#REF!,"AAAAAH1f/Cw=")</f>
        <v>#REF!</v>
      </c>
      <c r="AT3" t="e">
        <f>AND(#REF!,"AAAAAH1f/C0=")</f>
        <v>#REF!</v>
      </c>
      <c r="AU3" t="e">
        <f>AND(#REF!,"AAAAAH1f/C4=")</f>
        <v>#REF!</v>
      </c>
      <c r="AV3" t="e">
        <f>AND(#REF!,"AAAAAH1f/C8=")</f>
        <v>#REF!</v>
      </c>
      <c r="AW3" t="e">
        <f>AND(#REF!,"AAAAAH1f/DA=")</f>
        <v>#REF!</v>
      </c>
      <c r="AX3" t="e">
        <f>AND(#REF!,"AAAAAH1f/DE=")</f>
        <v>#REF!</v>
      </c>
      <c r="AY3" t="e">
        <f>AND(#REF!,"AAAAAH1f/DI=")</f>
        <v>#REF!</v>
      </c>
      <c r="AZ3" t="e">
        <f>AND(#REF!,"AAAAAH1f/DM=")</f>
        <v>#REF!</v>
      </c>
      <c r="BA3" t="e">
        <f>AND(#REF!,"AAAAAH1f/DQ=")</f>
        <v>#REF!</v>
      </c>
      <c r="BB3" t="e">
        <f>AND(#REF!,"AAAAAH1f/DU=")</f>
        <v>#REF!</v>
      </c>
      <c r="BC3" t="e">
        <f>AND(#REF!,"AAAAAH1f/DY=")</f>
        <v>#REF!</v>
      </c>
      <c r="BD3" t="e">
        <f>AND(#REF!,"AAAAAH1f/Dc=")</f>
        <v>#REF!</v>
      </c>
      <c r="BE3" t="e">
        <f>AND(#REF!,"AAAAAH1f/Dg=")</f>
        <v>#REF!</v>
      </c>
      <c r="BF3" t="e">
        <f>AND(#REF!,"AAAAAH1f/Dk=")</f>
        <v>#REF!</v>
      </c>
      <c r="BG3" t="e">
        <f>AND(#REF!,"AAAAAH1f/Do=")</f>
        <v>#REF!</v>
      </c>
      <c r="BH3" t="e">
        <f>AND(#REF!,"AAAAAH1f/Ds=")</f>
        <v>#REF!</v>
      </c>
      <c r="BI3" t="e">
        <f>IF(#REF!,"AAAAAH1f/Dw=",0)</f>
        <v>#REF!</v>
      </c>
      <c r="BJ3" t="e">
        <f>AND(#REF!,"AAAAAH1f/D0=")</f>
        <v>#REF!</v>
      </c>
      <c r="BK3" t="e">
        <f>AND(#REF!,"AAAAAH1f/D4=")</f>
        <v>#REF!</v>
      </c>
      <c r="BL3" t="e">
        <f>AND(#REF!,"AAAAAH1f/D8=")</f>
        <v>#REF!</v>
      </c>
      <c r="BM3" t="e">
        <f>AND(#REF!,"AAAAAH1f/EA=")</f>
        <v>#REF!</v>
      </c>
      <c r="BN3" t="e">
        <f>AND(#REF!,"AAAAAH1f/EE=")</f>
        <v>#REF!</v>
      </c>
      <c r="BO3" t="e">
        <f>AND(#REF!,"AAAAAH1f/EI=")</f>
        <v>#REF!</v>
      </c>
      <c r="BP3" t="e">
        <f>AND(#REF!,"AAAAAH1f/EM=")</f>
        <v>#REF!</v>
      </c>
      <c r="BQ3" t="e">
        <f>AND(#REF!,"AAAAAH1f/EQ=")</f>
        <v>#REF!</v>
      </c>
      <c r="BR3" t="e">
        <f>AND(#REF!,"AAAAAH1f/EU=")</f>
        <v>#REF!</v>
      </c>
      <c r="BS3" t="e">
        <f>AND(#REF!,"AAAAAH1f/EY=")</f>
        <v>#REF!</v>
      </c>
      <c r="BT3" t="e">
        <f>AND(#REF!,"AAAAAH1f/Ec=")</f>
        <v>#REF!</v>
      </c>
      <c r="BU3" t="e">
        <f>AND(#REF!,"AAAAAH1f/Eg=")</f>
        <v>#REF!</v>
      </c>
      <c r="BV3" t="e">
        <f>AND(#REF!,"AAAAAH1f/Ek=")</f>
        <v>#REF!</v>
      </c>
      <c r="BW3" t="e">
        <f>AND(#REF!,"AAAAAH1f/Eo=")</f>
        <v>#REF!</v>
      </c>
      <c r="BX3" t="e">
        <f>AND(#REF!,"AAAAAH1f/Es=")</f>
        <v>#REF!</v>
      </c>
      <c r="BY3" t="e">
        <f>AND(#REF!,"AAAAAH1f/Ew=")</f>
        <v>#REF!</v>
      </c>
      <c r="BZ3" t="e">
        <f>AND(#REF!,"AAAAAH1f/E0=")</f>
        <v>#REF!</v>
      </c>
      <c r="CA3" t="e">
        <f>AND(#REF!,"AAAAAH1f/E4=")</f>
        <v>#REF!</v>
      </c>
      <c r="CB3" t="e">
        <f>AND(#REF!,"AAAAAH1f/E8=")</f>
        <v>#REF!</v>
      </c>
      <c r="CC3" t="e">
        <f>AND(#REF!,"AAAAAH1f/FA=")</f>
        <v>#REF!</v>
      </c>
      <c r="CD3" t="e">
        <f>AND(#REF!,"AAAAAH1f/FE=")</f>
        <v>#REF!</v>
      </c>
      <c r="CE3" t="e">
        <f>AND(#REF!,"AAAAAH1f/FI=")</f>
        <v>#REF!</v>
      </c>
      <c r="CF3" t="e">
        <f>AND(#REF!,"AAAAAH1f/FM=")</f>
        <v>#REF!</v>
      </c>
      <c r="CG3" t="e">
        <f>AND(#REF!,"AAAAAH1f/FQ=")</f>
        <v>#REF!</v>
      </c>
      <c r="CH3" t="e">
        <f>AND(#REF!,"AAAAAH1f/FU=")</f>
        <v>#REF!</v>
      </c>
      <c r="CI3" t="e">
        <f>AND(#REF!,"AAAAAH1f/FY=")</f>
        <v>#REF!</v>
      </c>
      <c r="CJ3" t="e">
        <f>AND(#REF!,"AAAAAH1f/Fc=")</f>
        <v>#REF!</v>
      </c>
      <c r="CK3" t="e">
        <f>AND(#REF!,"AAAAAH1f/Fg=")</f>
        <v>#REF!</v>
      </c>
      <c r="CL3" t="e">
        <f>AND(#REF!,"AAAAAH1f/Fk=")</f>
        <v>#REF!</v>
      </c>
      <c r="CM3" t="e">
        <f>AND(#REF!,"AAAAAH1f/Fo=")</f>
        <v>#REF!</v>
      </c>
      <c r="CN3" t="e">
        <f>AND(#REF!,"AAAAAH1f/Fs=")</f>
        <v>#REF!</v>
      </c>
      <c r="CO3" t="e">
        <f>AND(#REF!,"AAAAAH1f/Fw=")</f>
        <v>#REF!</v>
      </c>
      <c r="CP3" t="e">
        <f>AND(#REF!,"AAAAAH1f/F0=")</f>
        <v>#REF!</v>
      </c>
      <c r="CQ3" t="e">
        <f>AND(#REF!,"AAAAAH1f/F4=")</f>
        <v>#REF!</v>
      </c>
      <c r="CR3" t="e">
        <f>AND(#REF!,"AAAAAH1f/F8=")</f>
        <v>#REF!</v>
      </c>
      <c r="CS3" t="e">
        <f>AND(#REF!,"AAAAAH1f/GA=")</f>
        <v>#REF!</v>
      </c>
      <c r="CT3" t="e">
        <f>AND(#REF!,"AAAAAH1f/GE=")</f>
        <v>#REF!</v>
      </c>
      <c r="CU3" t="e">
        <f>AND(#REF!,"AAAAAH1f/GI=")</f>
        <v>#REF!</v>
      </c>
      <c r="CV3" t="e">
        <f>AND(#REF!,"AAAAAH1f/GM=")</f>
        <v>#REF!</v>
      </c>
      <c r="CW3" t="e">
        <f>AND(#REF!,"AAAAAH1f/GQ=")</f>
        <v>#REF!</v>
      </c>
      <c r="CX3" t="e">
        <f>AND(#REF!,"AAAAAH1f/GU=")</f>
        <v>#REF!</v>
      </c>
      <c r="CY3" t="e">
        <f>AND(#REF!,"AAAAAH1f/GY=")</f>
        <v>#REF!</v>
      </c>
      <c r="CZ3" t="e">
        <f>AND(#REF!,"AAAAAH1f/Gc=")</f>
        <v>#REF!</v>
      </c>
      <c r="DA3" t="e">
        <f>IF(#REF!,"AAAAAH1f/Gg=",0)</f>
        <v>#REF!</v>
      </c>
      <c r="DB3" t="e">
        <f>AND(#REF!,"AAAAAH1f/Gk=")</f>
        <v>#REF!</v>
      </c>
      <c r="DC3" t="e">
        <f>AND(#REF!,"AAAAAH1f/Go=")</f>
        <v>#REF!</v>
      </c>
      <c r="DD3" t="e">
        <f>AND(#REF!,"AAAAAH1f/Gs=")</f>
        <v>#REF!</v>
      </c>
      <c r="DE3" t="e">
        <f>AND(#REF!,"AAAAAH1f/Gw=")</f>
        <v>#REF!</v>
      </c>
      <c r="DF3" t="e">
        <f>AND(#REF!,"AAAAAH1f/G0=")</f>
        <v>#REF!</v>
      </c>
      <c r="DG3" t="e">
        <f>AND(#REF!,"AAAAAH1f/G4=")</f>
        <v>#REF!</v>
      </c>
      <c r="DH3" t="e">
        <f>AND(#REF!,"AAAAAH1f/G8=")</f>
        <v>#REF!</v>
      </c>
      <c r="DI3" t="e">
        <f>AND(#REF!,"AAAAAH1f/HA=")</f>
        <v>#REF!</v>
      </c>
      <c r="DJ3" t="e">
        <f>AND(#REF!,"AAAAAH1f/HE=")</f>
        <v>#REF!</v>
      </c>
      <c r="DK3" t="e">
        <f>AND(#REF!,"AAAAAH1f/HI=")</f>
        <v>#REF!</v>
      </c>
      <c r="DL3" t="e">
        <f>AND(#REF!,"AAAAAH1f/HM=")</f>
        <v>#REF!</v>
      </c>
      <c r="DM3" t="e">
        <f>AND(#REF!,"AAAAAH1f/HQ=")</f>
        <v>#REF!</v>
      </c>
      <c r="DN3" t="e">
        <f>AND(#REF!,"AAAAAH1f/HU=")</f>
        <v>#REF!</v>
      </c>
      <c r="DO3" t="e">
        <f>AND(#REF!,"AAAAAH1f/HY=")</f>
        <v>#REF!</v>
      </c>
      <c r="DP3" t="e">
        <f>AND(#REF!,"AAAAAH1f/Hc=")</f>
        <v>#REF!</v>
      </c>
      <c r="DQ3" t="e">
        <f>AND(#REF!,"AAAAAH1f/Hg=")</f>
        <v>#REF!</v>
      </c>
      <c r="DR3" t="e">
        <f>AND(#REF!,"AAAAAH1f/Hk=")</f>
        <v>#REF!</v>
      </c>
      <c r="DS3" t="e">
        <f>AND(#REF!,"AAAAAH1f/Ho=")</f>
        <v>#REF!</v>
      </c>
      <c r="DT3" t="e">
        <f>AND(#REF!,"AAAAAH1f/Hs=")</f>
        <v>#REF!</v>
      </c>
      <c r="DU3" t="e">
        <f>AND(#REF!,"AAAAAH1f/Hw=")</f>
        <v>#REF!</v>
      </c>
      <c r="DV3" t="e">
        <f>AND(#REF!,"AAAAAH1f/H0=")</f>
        <v>#REF!</v>
      </c>
      <c r="DW3" t="e">
        <f>AND(#REF!,"AAAAAH1f/H4=")</f>
        <v>#REF!</v>
      </c>
      <c r="DX3" t="e">
        <f>AND(#REF!,"AAAAAH1f/H8=")</f>
        <v>#REF!</v>
      </c>
      <c r="DY3" t="e">
        <f>AND(#REF!,"AAAAAH1f/IA=")</f>
        <v>#REF!</v>
      </c>
      <c r="DZ3" t="e">
        <f>AND(#REF!,"AAAAAH1f/IE=")</f>
        <v>#REF!</v>
      </c>
      <c r="EA3" t="e">
        <f>AND(#REF!,"AAAAAH1f/II=")</f>
        <v>#REF!</v>
      </c>
      <c r="EB3" t="e">
        <f>AND(#REF!,"AAAAAH1f/IM=")</f>
        <v>#REF!</v>
      </c>
      <c r="EC3" t="e">
        <f>AND(#REF!,"AAAAAH1f/IQ=")</f>
        <v>#REF!</v>
      </c>
      <c r="ED3" t="e">
        <f>AND(#REF!,"AAAAAH1f/IU=")</f>
        <v>#REF!</v>
      </c>
      <c r="EE3" t="e">
        <f>AND(#REF!,"AAAAAH1f/IY=")</f>
        <v>#REF!</v>
      </c>
      <c r="EF3" t="e">
        <f>AND(#REF!,"AAAAAH1f/Ic=")</f>
        <v>#REF!</v>
      </c>
      <c r="EG3" t="e">
        <f>AND(#REF!,"AAAAAH1f/Ig=")</f>
        <v>#REF!</v>
      </c>
      <c r="EH3" t="e">
        <f>AND(#REF!,"AAAAAH1f/Ik=")</f>
        <v>#REF!</v>
      </c>
      <c r="EI3" t="e">
        <f>AND(#REF!,"AAAAAH1f/Io=")</f>
        <v>#REF!</v>
      </c>
      <c r="EJ3" t="e">
        <f>AND(#REF!,"AAAAAH1f/Is=")</f>
        <v>#REF!</v>
      </c>
      <c r="EK3" t="e">
        <f>AND(#REF!,"AAAAAH1f/Iw=")</f>
        <v>#REF!</v>
      </c>
      <c r="EL3" t="e">
        <f>AND(#REF!,"AAAAAH1f/I0=")</f>
        <v>#REF!</v>
      </c>
      <c r="EM3" t="e">
        <f>AND(#REF!,"AAAAAH1f/I4=")</f>
        <v>#REF!</v>
      </c>
      <c r="EN3" t="e">
        <f>AND(#REF!,"AAAAAH1f/I8=")</f>
        <v>#REF!</v>
      </c>
      <c r="EO3" t="e">
        <f>AND(#REF!,"AAAAAH1f/JA=")</f>
        <v>#REF!</v>
      </c>
      <c r="EP3" t="e">
        <f>AND(#REF!,"AAAAAH1f/JE=")</f>
        <v>#REF!</v>
      </c>
      <c r="EQ3" t="e">
        <f>AND(#REF!,"AAAAAH1f/JI=")</f>
        <v>#REF!</v>
      </c>
      <c r="ER3" t="e">
        <f>AND(#REF!,"AAAAAH1f/JM=")</f>
        <v>#REF!</v>
      </c>
      <c r="ES3" t="e">
        <f>IF(#REF!,"AAAAAH1f/JQ=",0)</f>
        <v>#REF!</v>
      </c>
      <c r="ET3" t="e">
        <f>AND(#REF!,"AAAAAH1f/JU=")</f>
        <v>#REF!</v>
      </c>
      <c r="EU3" t="e">
        <f>AND(#REF!,"AAAAAH1f/JY=")</f>
        <v>#REF!</v>
      </c>
      <c r="EV3" t="e">
        <f>AND(#REF!,"AAAAAH1f/Jc=")</f>
        <v>#REF!</v>
      </c>
      <c r="EW3" t="e">
        <f>AND(#REF!,"AAAAAH1f/Jg=")</f>
        <v>#REF!</v>
      </c>
      <c r="EX3" t="e">
        <f>AND(#REF!,"AAAAAH1f/Jk=")</f>
        <v>#REF!</v>
      </c>
      <c r="EY3" t="e">
        <f>AND(#REF!,"AAAAAH1f/Jo=")</f>
        <v>#REF!</v>
      </c>
      <c r="EZ3" t="e">
        <f>AND(#REF!,"AAAAAH1f/Js=")</f>
        <v>#REF!</v>
      </c>
      <c r="FA3" t="e">
        <f>AND(#REF!,"AAAAAH1f/Jw=")</f>
        <v>#REF!</v>
      </c>
      <c r="FB3" t="e">
        <f>AND(#REF!,"AAAAAH1f/J0=")</f>
        <v>#REF!</v>
      </c>
      <c r="FC3" t="e">
        <f>AND(#REF!,"AAAAAH1f/J4=")</f>
        <v>#REF!</v>
      </c>
      <c r="FD3" t="e">
        <f>AND(#REF!,"AAAAAH1f/J8=")</f>
        <v>#REF!</v>
      </c>
      <c r="FE3" t="e">
        <f>AND(#REF!,"AAAAAH1f/KA=")</f>
        <v>#REF!</v>
      </c>
      <c r="FF3" t="e">
        <f>AND(#REF!,"AAAAAH1f/KE=")</f>
        <v>#REF!</v>
      </c>
      <c r="FG3" t="e">
        <f>AND(#REF!,"AAAAAH1f/KI=")</f>
        <v>#REF!</v>
      </c>
      <c r="FH3" t="e">
        <f>AND(#REF!,"AAAAAH1f/KM=")</f>
        <v>#REF!</v>
      </c>
      <c r="FI3" t="e">
        <f>AND(#REF!,"AAAAAH1f/KQ=")</f>
        <v>#REF!</v>
      </c>
      <c r="FJ3" t="e">
        <f>AND(#REF!,"AAAAAH1f/KU=")</f>
        <v>#REF!</v>
      </c>
      <c r="FK3" t="e">
        <f>AND(#REF!,"AAAAAH1f/KY=")</f>
        <v>#REF!</v>
      </c>
      <c r="FL3" t="e">
        <f>AND(#REF!,"AAAAAH1f/Kc=")</f>
        <v>#REF!</v>
      </c>
      <c r="FM3" t="e">
        <f>AND(#REF!,"AAAAAH1f/Kg=")</f>
        <v>#REF!</v>
      </c>
      <c r="FN3" t="e">
        <f>AND(#REF!,"AAAAAH1f/Kk=")</f>
        <v>#REF!</v>
      </c>
      <c r="FO3" t="e">
        <f>AND(#REF!,"AAAAAH1f/Ko=")</f>
        <v>#REF!</v>
      </c>
      <c r="FP3" t="e">
        <f>AND(#REF!,"AAAAAH1f/Ks=")</f>
        <v>#REF!</v>
      </c>
      <c r="FQ3" t="e">
        <f>AND(#REF!,"AAAAAH1f/Kw=")</f>
        <v>#REF!</v>
      </c>
      <c r="FR3" t="e">
        <f>AND(#REF!,"AAAAAH1f/K0=")</f>
        <v>#REF!</v>
      </c>
      <c r="FS3" t="e">
        <f>AND(#REF!,"AAAAAH1f/K4=")</f>
        <v>#REF!</v>
      </c>
      <c r="FT3" t="e">
        <f>AND(#REF!,"AAAAAH1f/K8=")</f>
        <v>#REF!</v>
      </c>
      <c r="FU3" t="e">
        <f>AND(#REF!,"AAAAAH1f/LA=")</f>
        <v>#REF!</v>
      </c>
      <c r="FV3" t="e">
        <f>AND(#REF!,"AAAAAH1f/LE=")</f>
        <v>#REF!</v>
      </c>
      <c r="FW3" t="e">
        <f>AND(#REF!,"AAAAAH1f/LI=")</f>
        <v>#REF!</v>
      </c>
      <c r="FX3" t="e">
        <f>AND(#REF!,"AAAAAH1f/LM=")</f>
        <v>#REF!</v>
      </c>
      <c r="FY3" t="e">
        <f>AND(#REF!,"AAAAAH1f/LQ=")</f>
        <v>#REF!</v>
      </c>
      <c r="FZ3" t="e">
        <f>AND(#REF!,"AAAAAH1f/LU=")</f>
        <v>#REF!</v>
      </c>
      <c r="GA3" t="e">
        <f>AND(#REF!,"AAAAAH1f/LY=")</f>
        <v>#REF!</v>
      </c>
      <c r="GB3" t="e">
        <f>AND(#REF!,"AAAAAH1f/Lc=")</f>
        <v>#REF!</v>
      </c>
      <c r="GC3" t="e">
        <f>AND(#REF!,"AAAAAH1f/Lg=")</f>
        <v>#REF!</v>
      </c>
      <c r="GD3" t="e">
        <f>AND(#REF!,"AAAAAH1f/Lk=")</f>
        <v>#REF!</v>
      </c>
      <c r="GE3" t="e">
        <f>AND(#REF!,"AAAAAH1f/Lo=")</f>
        <v>#REF!</v>
      </c>
      <c r="GF3" t="e">
        <f>AND(#REF!,"AAAAAH1f/Ls=")</f>
        <v>#REF!</v>
      </c>
      <c r="GG3" t="e">
        <f>AND(#REF!,"AAAAAH1f/Lw=")</f>
        <v>#REF!</v>
      </c>
      <c r="GH3" t="e">
        <f>AND(#REF!,"AAAAAH1f/L0=")</f>
        <v>#REF!</v>
      </c>
      <c r="GI3" t="e">
        <f>AND(#REF!,"AAAAAH1f/L4=")</f>
        <v>#REF!</v>
      </c>
      <c r="GJ3" t="e">
        <f>AND(#REF!,"AAAAAH1f/L8=")</f>
        <v>#REF!</v>
      </c>
      <c r="GK3" t="e">
        <f>IF(#REF!,"AAAAAH1f/MA=",0)</f>
        <v>#REF!</v>
      </c>
      <c r="GL3" t="e">
        <f>AND(#REF!,"AAAAAH1f/ME=")</f>
        <v>#REF!</v>
      </c>
      <c r="GM3" t="e">
        <f>AND(#REF!,"AAAAAH1f/MI=")</f>
        <v>#REF!</v>
      </c>
      <c r="GN3" t="e">
        <f>AND(#REF!,"AAAAAH1f/MM=")</f>
        <v>#REF!</v>
      </c>
      <c r="GO3" t="e">
        <f>AND(#REF!,"AAAAAH1f/MQ=")</f>
        <v>#REF!</v>
      </c>
      <c r="GP3" t="e">
        <f>AND(#REF!,"AAAAAH1f/MU=")</f>
        <v>#REF!</v>
      </c>
      <c r="GQ3" t="e">
        <f>AND(#REF!,"AAAAAH1f/MY=")</f>
        <v>#REF!</v>
      </c>
      <c r="GR3" t="e">
        <f>AND(#REF!,"AAAAAH1f/Mc=")</f>
        <v>#REF!</v>
      </c>
      <c r="GS3" t="e">
        <f>AND(#REF!,"AAAAAH1f/Mg=")</f>
        <v>#REF!</v>
      </c>
      <c r="GT3" t="e">
        <f>AND(#REF!,"AAAAAH1f/Mk=")</f>
        <v>#REF!</v>
      </c>
      <c r="GU3" t="e">
        <f>AND(#REF!,"AAAAAH1f/Mo=")</f>
        <v>#REF!</v>
      </c>
      <c r="GV3" t="e">
        <f>AND(#REF!,"AAAAAH1f/Ms=")</f>
        <v>#REF!</v>
      </c>
      <c r="GW3" t="e">
        <f>AND(#REF!,"AAAAAH1f/Mw=")</f>
        <v>#REF!</v>
      </c>
      <c r="GX3" t="e">
        <f>AND(#REF!,"AAAAAH1f/M0=")</f>
        <v>#REF!</v>
      </c>
      <c r="GY3" t="e">
        <f>AND(#REF!,"AAAAAH1f/M4=")</f>
        <v>#REF!</v>
      </c>
      <c r="GZ3" t="e">
        <f>AND(#REF!,"AAAAAH1f/M8=")</f>
        <v>#REF!</v>
      </c>
      <c r="HA3" t="e">
        <f>AND(#REF!,"AAAAAH1f/NA=")</f>
        <v>#REF!</v>
      </c>
      <c r="HB3" t="e">
        <f>AND(#REF!,"AAAAAH1f/NE=")</f>
        <v>#REF!</v>
      </c>
      <c r="HC3" t="e">
        <f>AND(#REF!,"AAAAAH1f/NI=")</f>
        <v>#REF!</v>
      </c>
      <c r="HD3" t="e">
        <f>AND(#REF!,"AAAAAH1f/NM=")</f>
        <v>#REF!</v>
      </c>
      <c r="HE3" t="e">
        <f>AND(#REF!,"AAAAAH1f/NQ=")</f>
        <v>#REF!</v>
      </c>
      <c r="HF3" t="e">
        <f>AND(#REF!,"AAAAAH1f/NU=")</f>
        <v>#REF!</v>
      </c>
      <c r="HG3" t="e">
        <f>AND(#REF!,"AAAAAH1f/NY=")</f>
        <v>#REF!</v>
      </c>
      <c r="HH3" t="e">
        <f>AND(#REF!,"AAAAAH1f/Nc=")</f>
        <v>#REF!</v>
      </c>
      <c r="HI3" t="e">
        <f>AND(#REF!,"AAAAAH1f/Ng=")</f>
        <v>#REF!</v>
      </c>
      <c r="HJ3" t="e">
        <f>AND(#REF!,"AAAAAH1f/Nk=")</f>
        <v>#REF!</v>
      </c>
      <c r="HK3" t="e">
        <f>AND(#REF!,"AAAAAH1f/No=")</f>
        <v>#REF!</v>
      </c>
      <c r="HL3" t="e">
        <f>AND(#REF!,"AAAAAH1f/Ns=")</f>
        <v>#REF!</v>
      </c>
      <c r="HM3" t="e">
        <f>AND(#REF!,"AAAAAH1f/Nw=")</f>
        <v>#REF!</v>
      </c>
      <c r="HN3" t="e">
        <f>AND(#REF!,"AAAAAH1f/N0=")</f>
        <v>#REF!</v>
      </c>
      <c r="HO3" t="e">
        <f>AND(#REF!,"AAAAAH1f/N4=")</f>
        <v>#REF!</v>
      </c>
      <c r="HP3" t="e">
        <f>AND(#REF!,"AAAAAH1f/N8=")</f>
        <v>#REF!</v>
      </c>
      <c r="HQ3" t="e">
        <f>AND(#REF!,"AAAAAH1f/OA=")</f>
        <v>#REF!</v>
      </c>
      <c r="HR3" t="e">
        <f>AND(#REF!,"AAAAAH1f/OE=")</f>
        <v>#REF!</v>
      </c>
      <c r="HS3" t="e">
        <f>AND(#REF!,"AAAAAH1f/OI=")</f>
        <v>#REF!</v>
      </c>
      <c r="HT3" t="e">
        <f>AND(#REF!,"AAAAAH1f/OM=")</f>
        <v>#REF!</v>
      </c>
      <c r="HU3" t="e">
        <f>AND(#REF!,"AAAAAH1f/OQ=")</f>
        <v>#REF!</v>
      </c>
      <c r="HV3" t="e">
        <f>AND(#REF!,"AAAAAH1f/OU=")</f>
        <v>#REF!</v>
      </c>
      <c r="HW3" t="e">
        <f>AND(#REF!,"AAAAAH1f/OY=")</f>
        <v>#REF!</v>
      </c>
      <c r="HX3" t="e">
        <f>AND(#REF!,"AAAAAH1f/Oc=")</f>
        <v>#REF!</v>
      </c>
      <c r="HY3" t="e">
        <f>AND(#REF!,"AAAAAH1f/Og=")</f>
        <v>#REF!</v>
      </c>
      <c r="HZ3" t="e">
        <f>AND(#REF!,"AAAAAH1f/Ok=")</f>
        <v>#REF!</v>
      </c>
      <c r="IA3" t="e">
        <f>AND(#REF!,"AAAAAH1f/Oo=")</f>
        <v>#REF!</v>
      </c>
      <c r="IB3" t="e">
        <f>AND(#REF!,"AAAAAH1f/Os=")</f>
        <v>#REF!</v>
      </c>
      <c r="IC3" t="e">
        <f>IF(#REF!,"AAAAAH1f/Ow=",0)</f>
        <v>#REF!</v>
      </c>
      <c r="ID3" t="e">
        <f>AND(#REF!,"AAAAAH1f/O0=")</f>
        <v>#REF!</v>
      </c>
      <c r="IE3" t="e">
        <f>AND(#REF!,"AAAAAH1f/O4=")</f>
        <v>#REF!</v>
      </c>
      <c r="IF3" t="e">
        <f>AND(#REF!,"AAAAAH1f/O8=")</f>
        <v>#REF!</v>
      </c>
      <c r="IG3" t="e">
        <f>AND(#REF!,"AAAAAH1f/PA=")</f>
        <v>#REF!</v>
      </c>
      <c r="IH3" t="e">
        <f>AND(#REF!,"AAAAAH1f/PE=")</f>
        <v>#REF!</v>
      </c>
      <c r="II3" t="e">
        <f>AND(#REF!,"AAAAAH1f/PI=")</f>
        <v>#REF!</v>
      </c>
      <c r="IJ3" t="e">
        <f>AND(#REF!,"AAAAAH1f/PM=")</f>
        <v>#REF!</v>
      </c>
      <c r="IK3" t="e">
        <f>AND(#REF!,"AAAAAH1f/PQ=")</f>
        <v>#REF!</v>
      </c>
      <c r="IL3" t="e">
        <f>AND(#REF!,"AAAAAH1f/PU=")</f>
        <v>#REF!</v>
      </c>
      <c r="IM3" t="e">
        <f>AND(#REF!,"AAAAAH1f/PY=")</f>
        <v>#REF!</v>
      </c>
      <c r="IN3" t="e">
        <f>AND(#REF!,"AAAAAH1f/Pc=")</f>
        <v>#REF!</v>
      </c>
      <c r="IO3" t="e">
        <f>AND(#REF!,"AAAAAH1f/Pg=")</f>
        <v>#REF!</v>
      </c>
      <c r="IP3" t="e">
        <f>AND(#REF!,"AAAAAH1f/Pk=")</f>
        <v>#REF!</v>
      </c>
      <c r="IQ3" t="e">
        <f>AND(#REF!,"AAAAAH1f/Po=")</f>
        <v>#REF!</v>
      </c>
      <c r="IR3" t="e">
        <f>AND(#REF!,"AAAAAH1f/Ps=")</f>
        <v>#REF!</v>
      </c>
      <c r="IS3" t="e">
        <f>AND(#REF!,"AAAAAH1f/Pw=")</f>
        <v>#REF!</v>
      </c>
      <c r="IT3" t="e">
        <f>AND(#REF!,"AAAAAH1f/P0=")</f>
        <v>#REF!</v>
      </c>
      <c r="IU3" t="e">
        <f>AND(#REF!,"AAAAAH1f/P4=")</f>
        <v>#REF!</v>
      </c>
      <c r="IV3" t="e">
        <f>AND(#REF!,"AAAAAH1f/P8=")</f>
        <v>#REF!</v>
      </c>
    </row>
    <row r="4" spans="1:256" x14ac:dyDescent="0.25">
      <c r="A4" t="e">
        <f>AND(#REF!,"AAAAAHDe+wA=")</f>
        <v>#REF!</v>
      </c>
      <c r="B4" t="e">
        <f>AND(#REF!,"AAAAAHDe+wE=")</f>
        <v>#REF!</v>
      </c>
      <c r="C4" t="e">
        <f>AND(#REF!,"AAAAAHDe+wI=")</f>
        <v>#REF!</v>
      </c>
      <c r="D4" t="e">
        <f>AND(#REF!,"AAAAAHDe+wM=")</f>
        <v>#REF!</v>
      </c>
      <c r="E4" t="e">
        <f>AND(#REF!,"AAAAAHDe+wQ=")</f>
        <v>#REF!</v>
      </c>
      <c r="F4" t="e">
        <f>AND(#REF!,"AAAAAHDe+wU=")</f>
        <v>#REF!</v>
      </c>
      <c r="G4" t="e">
        <f>AND(#REF!,"AAAAAHDe+wY=")</f>
        <v>#REF!</v>
      </c>
      <c r="H4" t="e">
        <f>AND(#REF!,"AAAAAHDe+wc=")</f>
        <v>#REF!</v>
      </c>
      <c r="I4" t="e">
        <f>AND(#REF!,"AAAAAHDe+wg=")</f>
        <v>#REF!</v>
      </c>
      <c r="J4" t="e">
        <f>AND(#REF!,"AAAAAHDe+wk=")</f>
        <v>#REF!</v>
      </c>
      <c r="K4" t="e">
        <f>AND(#REF!,"AAAAAHDe+wo=")</f>
        <v>#REF!</v>
      </c>
      <c r="L4" t="e">
        <f>AND(#REF!,"AAAAAHDe+ws=")</f>
        <v>#REF!</v>
      </c>
      <c r="M4" t="e">
        <f>AND(#REF!,"AAAAAHDe+ww=")</f>
        <v>#REF!</v>
      </c>
      <c r="N4" t="e">
        <f>AND(#REF!,"AAAAAHDe+w0=")</f>
        <v>#REF!</v>
      </c>
      <c r="O4" t="e">
        <f>AND(#REF!,"AAAAAHDe+w4=")</f>
        <v>#REF!</v>
      </c>
      <c r="P4" t="e">
        <f>AND(#REF!,"AAAAAHDe+w8=")</f>
        <v>#REF!</v>
      </c>
      <c r="Q4" t="e">
        <f>AND(#REF!,"AAAAAHDe+xA=")</f>
        <v>#REF!</v>
      </c>
      <c r="R4" t="e">
        <f>AND(#REF!,"AAAAAHDe+xE=")</f>
        <v>#REF!</v>
      </c>
      <c r="S4" t="e">
        <f>AND(#REF!,"AAAAAHDe+xI=")</f>
        <v>#REF!</v>
      </c>
      <c r="T4" t="e">
        <f>AND(#REF!,"AAAAAHDe+xM=")</f>
        <v>#REF!</v>
      </c>
      <c r="U4" t="e">
        <f>AND(#REF!,"AAAAAHDe+xQ=")</f>
        <v>#REF!</v>
      </c>
      <c r="V4" t="e">
        <f>AND(#REF!,"AAAAAHDe+xU=")</f>
        <v>#REF!</v>
      </c>
      <c r="W4" t="e">
        <f>AND(#REF!,"AAAAAHDe+xY=")</f>
        <v>#REF!</v>
      </c>
      <c r="X4" t="e">
        <f>AND(#REF!,"AAAAAHDe+xc=")</f>
        <v>#REF!</v>
      </c>
      <c r="Y4" t="e">
        <f>IF(#REF!,"AAAAAHDe+xg=",0)</f>
        <v>#REF!</v>
      </c>
      <c r="Z4" t="e">
        <f>AND(#REF!,"AAAAAHDe+xk=")</f>
        <v>#REF!</v>
      </c>
      <c r="AA4" t="e">
        <f>AND(#REF!,"AAAAAHDe+xo=")</f>
        <v>#REF!</v>
      </c>
      <c r="AB4" t="e">
        <f>AND(#REF!,"AAAAAHDe+xs=")</f>
        <v>#REF!</v>
      </c>
      <c r="AC4" t="e">
        <f>AND(#REF!,"AAAAAHDe+xw=")</f>
        <v>#REF!</v>
      </c>
      <c r="AD4" t="e">
        <f>AND(#REF!,"AAAAAHDe+x0=")</f>
        <v>#REF!</v>
      </c>
      <c r="AE4" t="e">
        <f>AND(#REF!,"AAAAAHDe+x4=")</f>
        <v>#REF!</v>
      </c>
      <c r="AF4" t="e">
        <f>AND(#REF!,"AAAAAHDe+x8=")</f>
        <v>#REF!</v>
      </c>
      <c r="AG4" t="e">
        <f>AND(#REF!,"AAAAAHDe+yA=")</f>
        <v>#REF!</v>
      </c>
      <c r="AH4" t="e">
        <f>AND(#REF!,"AAAAAHDe+yE=")</f>
        <v>#REF!</v>
      </c>
      <c r="AI4" t="e">
        <f>AND(#REF!,"AAAAAHDe+yI=")</f>
        <v>#REF!</v>
      </c>
      <c r="AJ4" t="e">
        <f>AND(#REF!,"AAAAAHDe+yM=")</f>
        <v>#REF!</v>
      </c>
      <c r="AK4" t="e">
        <f>AND(#REF!,"AAAAAHDe+yQ=")</f>
        <v>#REF!</v>
      </c>
      <c r="AL4" t="e">
        <f>AND(#REF!,"AAAAAHDe+yU=")</f>
        <v>#REF!</v>
      </c>
      <c r="AM4" t="e">
        <f>AND(#REF!,"AAAAAHDe+yY=")</f>
        <v>#REF!</v>
      </c>
      <c r="AN4" t="e">
        <f>AND(#REF!,"AAAAAHDe+yc=")</f>
        <v>#REF!</v>
      </c>
      <c r="AO4" t="e">
        <f>AND(#REF!,"AAAAAHDe+yg=")</f>
        <v>#REF!</v>
      </c>
      <c r="AP4" t="e">
        <f>AND(#REF!,"AAAAAHDe+yk=")</f>
        <v>#REF!</v>
      </c>
      <c r="AQ4" t="e">
        <f>AND(#REF!,"AAAAAHDe+yo=")</f>
        <v>#REF!</v>
      </c>
      <c r="AR4" t="e">
        <f>AND(#REF!,"AAAAAHDe+ys=")</f>
        <v>#REF!</v>
      </c>
      <c r="AS4" t="e">
        <f>AND(#REF!,"AAAAAHDe+yw=")</f>
        <v>#REF!</v>
      </c>
      <c r="AT4" t="e">
        <f>AND(#REF!,"AAAAAHDe+y0=")</f>
        <v>#REF!</v>
      </c>
      <c r="AU4" t="e">
        <f>AND(#REF!,"AAAAAHDe+y4=")</f>
        <v>#REF!</v>
      </c>
      <c r="AV4" t="e">
        <f>AND(#REF!,"AAAAAHDe+y8=")</f>
        <v>#REF!</v>
      </c>
      <c r="AW4" t="e">
        <f>AND(#REF!,"AAAAAHDe+zA=")</f>
        <v>#REF!</v>
      </c>
      <c r="AX4" t="e">
        <f>AND(#REF!,"AAAAAHDe+zE=")</f>
        <v>#REF!</v>
      </c>
      <c r="AY4" t="e">
        <f>AND(#REF!,"AAAAAHDe+zI=")</f>
        <v>#REF!</v>
      </c>
      <c r="AZ4" t="e">
        <f>AND(#REF!,"AAAAAHDe+zM=")</f>
        <v>#REF!</v>
      </c>
      <c r="BA4" t="e">
        <f>AND(#REF!,"AAAAAHDe+zQ=")</f>
        <v>#REF!</v>
      </c>
      <c r="BB4" t="e">
        <f>AND(#REF!,"AAAAAHDe+zU=")</f>
        <v>#REF!</v>
      </c>
      <c r="BC4" t="e">
        <f>AND(#REF!,"AAAAAHDe+zY=")</f>
        <v>#REF!</v>
      </c>
      <c r="BD4" t="e">
        <f>AND(#REF!,"AAAAAHDe+zc=")</f>
        <v>#REF!</v>
      </c>
      <c r="BE4" t="e">
        <f>AND(#REF!,"AAAAAHDe+zg=")</f>
        <v>#REF!</v>
      </c>
      <c r="BF4" t="e">
        <f>AND(#REF!,"AAAAAHDe+zk=")</f>
        <v>#REF!</v>
      </c>
      <c r="BG4" t="e">
        <f>AND(#REF!,"AAAAAHDe+zo=")</f>
        <v>#REF!</v>
      </c>
      <c r="BH4" t="e">
        <f>AND(#REF!,"AAAAAHDe+zs=")</f>
        <v>#REF!</v>
      </c>
      <c r="BI4" t="e">
        <f>AND(#REF!,"AAAAAHDe+zw=")</f>
        <v>#REF!</v>
      </c>
      <c r="BJ4" t="e">
        <f>AND(#REF!,"AAAAAHDe+z0=")</f>
        <v>#REF!</v>
      </c>
      <c r="BK4" t="e">
        <f>AND(#REF!,"AAAAAHDe+z4=")</f>
        <v>#REF!</v>
      </c>
      <c r="BL4" t="e">
        <f>AND(#REF!,"AAAAAHDe+z8=")</f>
        <v>#REF!</v>
      </c>
      <c r="BM4" t="e">
        <f>AND(#REF!,"AAAAAHDe+0A=")</f>
        <v>#REF!</v>
      </c>
      <c r="BN4" t="e">
        <f>AND(#REF!,"AAAAAHDe+0E=")</f>
        <v>#REF!</v>
      </c>
      <c r="BO4" t="e">
        <f>AND(#REF!,"AAAAAHDe+0I=")</f>
        <v>#REF!</v>
      </c>
      <c r="BP4" t="e">
        <f>AND(#REF!,"AAAAAHDe+0M=")</f>
        <v>#REF!</v>
      </c>
      <c r="BQ4" t="e">
        <f>IF(#REF!,"AAAAAHDe+0Q=",0)</f>
        <v>#REF!</v>
      </c>
      <c r="BR4" t="e">
        <f>AND(#REF!,"AAAAAHDe+0U=")</f>
        <v>#REF!</v>
      </c>
      <c r="BS4" t="e">
        <f>AND(#REF!,"AAAAAHDe+0Y=")</f>
        <v>#REF!</v>
      </c>
      <c r="BT4" t="e">
        <f>AND(#REF!,"AAAAAHDe+0c=")</f>
        <v>#REF!</v>
      </c>
      <c r="BU4" t="e">
        <f>AND(#REF!,"AAAAAHDe+0g=")</f>
        <v>#REF!</v>
      </c>
      <c r="BV4" t="e">
        <f>AND(#REF!,"AAAAAHDe+0k=")</f>
        <v>#REF!</v>
      </c>
      <c r="BW4" t="e">
        <f>AND(#REF!,"AAAAAHDe+0o=")</f>
        <v>#REF!</v>
      </c>
      <c r="BX4" t="e">
        <f>AND(#REF!,"AAAAAHDe+0s=")</f>
        <v>#REF!</v>
      </c>
      <c r="BY4" t="e">
        <f>AND(#REF!,"AAAAAHDe+0w=")</f>
        <v>#REF!</v>
      </c>
      <c r="BZ4" t="e">
        <f>AND(#REF!,"AAAAAHDe+00=")</f>
        <v>#REF!</v>
      </c>
      <c r="CA4" t="e">
        <f>AND(#REF!,"AAAAAHDe+04=")</f>
        <v>#REF!</v>
      </c>
      <c r="CB4" t="e">
        <f>AND(#REF!,"AAAAAHDe+08=")</f>
        <v>#REF!</v>
      </c>
      <c r="CC4" t="e">
        <f>AND(#REF!,"AAAAAHDe+1A=")</f>
        <v>#REF!</v>
      </c>
      <c r="CD4" t="e">
        <f>AND(#REF!,"AAAAAHDe+1E=")</f>
        <v>#REF!</v>
      </c>
      <c r="CE4" t="e">
        <f>AND(#REF!,"AAAAAHDe+1I=")</f>
        <v>#REF!</v>
      </c>
      <c r="CF4" t="e">
        <f>AND(#REF!,"AAAAAHDe+1M=")</f>
        <v>#REF!</v>
      </c>
      <c r="CG4" t="e">
        <f>AND(#REF!,"AAAAAHDe+1Q=")</f>
        <v>#REF!</v>
      </c>
      <c r="CH4" t="e">
        <f>AND(#REF!,"AAAAAHDe+1U=")</f>
        <v>#REF!</v>
      </c>
      <c r="CI4" t="e">
        <f>AND(#REF!,"AAAAAHDe+1Y=")</f>
        <v>#REF!</v>
      </c>
      <c r="CJ4" t="e">
        <f>AND(#REF!,"AAAAAHDe+1c=")</f>
        <v>#REF!</v>
      </c>
      <c r="CK4" t="e">
        <f>AND(#REF!,"AAAAAHDe+1g=")</f>
        <v>#REF!</v>
      </c>
      <c r="CL4" t="e">
        <f>AND(#REF!,"AAAAAHDe+1k=")</f>
        <v>#REF!</v>
      </c>
      <c r="CM4" t="e">
        <f>AND(#REF!,"AAAAAHDe+1o=")</f>
        <v>#REF!</v>
      </c>
      <c r="CN4" t="e">
        <f>AND(#REF!,"AAAAAHDe+1s=")</f>
        <v>#REF!</v>
      </c>
      <c r="CO4" t="e">
        <f>AND(#REF!,"AAAAAHDe+1w=")</f>
        <v>#REF!</v>
      </c>
      <c r="CP4" t="e">
        <f>AND(#REF!,"AAAAAHDe+10=")</f>
        <v>#REF!</v>
      </c>
      <c r="CQ4" t="e">
        <f>AND(#REF!,"AAAAAHDe+14=")</f>
        <v>#REF!</v>
      </c>
      <c r="CR4" t="e">
        <f>AND(#REF!,"AAAAAHDe+18=")</f>
        <v>#REF!</v>
      </c>
      <c r="CS4" t="e">
        <f>AND(#REF!,"AAAAAHDe+2A=")</f>
        <v>#REF!</v>
      </c>
      <c r="CT4" t="e">
        <f>AND(#REF!,"AAAAAHDe+2E=")</f>
        <v>#REF!</v>
      </c>
      <c r="CU4" t="e">
        <f>AND(#REF!,"AAAAAHDe+2I=")</f>
        <v>#REF!</v>
      </c>
      <c r="CV4" t="e">
        <f>AND(#REF!,"AAAAAHDe+2M=")</f>
        <v>#REF!</v>
      </c>
      <c r="CW4" t="e">
        <f>AND(#REF!,"AAAAAHDe+2Q=")</f>
        <v>#REF!</v>
      </c>
      <c r="CX4" t="e">
        <f>AND(#REF!,"AAAAAHDe+2U=")</f>
        <v>#REF!</v>
      </c>
      <c r="CY4" t="e">
        <f>AND(#REF!,"AAAAAHDe+2Y=")</f>
        <v>#REF!</v>
      </c>
      <c r="CZ4" t="e">
        <f>AND(#REF!,"AAAAAHDe+2c=")</f>
        <v>#REF!</v>
      </c>
      <c r="DA4" t="e">
        <f>AND(#REF!,"AAAAAHDe+2g=")</f>
        <v>#REF!</v>
      </c>
      <c r="DB4" t="e">
        <f>AND(#REF!,"AAAAAHDe+2k=")</f>
        <v>#REF!</v>
      </c>
      <c r="DC4" t="e">
        <f>AND(#REF!,"AAAAAHDe+2o=")</f>
        <v>#REF!</v>
      </c>
      <c r="DD4" t="e">
        <f>AND(#REF!,"AAAAAHDe+2s=")</f>
        <v>#REF!</v>
      </c>
      <c r="DE4" t="e">
        <f>AND(#REF!,"AAAAAHDe+2w=")</f>
        <v>#REF!</v>
      </c>
      <c r="DF4" t="e">
        <f>AND(#REF!,"AAAAAHDe+20=")</f>
        <v>#REF!</v>
      </c>
      <c r="DG4" t="e">
        <f>AND(#REF!,"AAAAAHDe+24=")</f>
        <v>#REF!</v>
      </c>
      <c r="DH4" t="e">
        <f>AND(#REF!,"AAAAAHDe+28=")</f>
        <v>#REF!</v>
      </c>
      <c r="DI4" t="e">
        <f>IF(#REF!,"AAAAAHDe+3A=",0)</f>
        <v>#REF!</v>
      </c>
      <c r="DJ4" t="e">
        <f>AND(#REF!,"AAAAAHDe+3E=")</f>
        <v>#REF!</v>
      </c>
      <c r="DK4" t="e">
        <f>AND(#REF!,"AAAAAHDe+3I=")</f>
        <v>#REF!</v>
      </c>
      <c r="DL4" t="e">
        <f>AND(#REF!,"AAAAAHDe+3M=")</f>
        <v>#REF!</v>
      </c>
      <c r="DM4" t="e">
        <f>AND(#REF!,"AAAAAHDe+3Q=")</f>
        <v>#REF!</v>
      </c>
      <c r="DN4" t="e">
        <f>AND(#REF!,"AAAAAHDe+3U=")</f>
        <v>#REF!</v>
      </c>
      <c r="DO4" t="e">
        <f>AND(#REF!,"AAAAAHDe+3Y=")</f>
        <v>#REF!</v>
      </c>
      <c r="DP4" t="e">
        <f>AND(#REF!,"AAAAAHDe+3c=")</f>
        <v>#REF!</v>
      </c>
      <c r="DQ4" t="e">
        <f>AND(#REF!,"AAAAAHDe+3g=")</f>
        <v>#REF!</v>
      </c>
      <c r="DR4" t="e">
        <f>AND(#REF!,"AAAAAHDe+3k=")</f>
        <v>#REF!</v>
      </c>
      <c r="DS4" t="e">
        <f>AND(#REF!,"AAAAAHDe+3o=")</f>
        <v>#REF!</v>
      </c>
      <c r="DT4" t="e">
        <f>AND(#REF!,"AAAAAHDe+3s=")</f>
        <v>#REF!</v>
      </c>
      <c r="DU4" t="e">
        <f>AND(#REF!,"AAAAAHDe+3w=")</f>
        <v>#REF!</v>
      </c>
      <c r="DV4" t="e">
        <f>AND(#REF!,"AAAAAHDe+30=")</f>
        <v>#REF!</v>
      </c>
      <c r="DW4" t="e">
        <f>AND(#REF!,"AAAAAHDe+34=")</f>
        <v>#REF!</v>
      </c>
      <c r="DX4" t="e">
        <f>AND(#REF!,"AAAAAHDe+38=")</f>
        <v>#REF!</v>
      </c>
      <c r="DY4" t="e">
        <f>AND(#REF!,"AAAAAHDe+4A=")</f>
        <v>#REF!</v>
      </c>
      <c r="DZ4" t="e">
        <f>AND(#REF!,"AAAAAHDe+4E=")</f>
        <v>#REF!</v>
      </c>
      <c r="EA4" t="e">
        <f>AND(#REF!,"AAAAAHDe+4I=")</f>
        <v>#REF!</v>
      </c>
      <c r="EB4" t="e">
        <f>AND(#REF!,"AAAAAHDe+4M=")</f>
        <v>#REF!</v>
      </c>
      <c r="EC4" t="e">
        <f>AND(#REF!,"AAAAAHDe+4Q=")</f>
        <v>#REF!</v>
      </c>
      <c r="ED4" t="e">
        <f>AND(#REF!,"AAAAAHDe+4U=")</f>
        <v>#REF!</v>
      </c>
      <c r="EE4" t="e">
        <f>AND(#REF!,"AAAAAHDe+4Y=")</f>
        <v>#REF!</v>
      </c>
      <c r="EF4" t="e">
        <f>AND(#REF!,"AAAAAHDe+4c=")</f>
        <v>#REF!</v>
      </c>
      <c r="EG4" t="e">
        <f>AND(#REF!,"AAAAAHDe+4g=")</f>
        <v>#REF!</v>
      </c>
      <c r="EH4" t="e">
        <f>AND(#REF!,"AAAAAHDe+4k=")</f>
        <v>#REF!</v>
      </c>
      <c r="EI4" t="e">
        <f>AND(#REF!,"AAAAAHDe+4o=")</f>
        <v>#REF!</v>
      </c>
      <c r="EJ4" t="e">
        <f>AND(#REF!,"AAAAAHDe+4s=")</f>
        <v>#REF!</v>
      </c>
      <c r="EK4" t="e">
        <f>AND(#REF!,"AAAAAHDe+4w=")</f>
        <v>#REF!</v>
      </c>
      <c r="EL4" t="e">
        <f>AND(#REF!,"AAAAAHDe+40=")</f>
        <v>#REF!</v>
      </c>
      <c r="EM4" t="e">
        <f>AND(#REF!,"AAAAAHDe+44=")</f>
        <v>#REF!</v>
      </c>
      <c r="EN4" t="e">
        <f>AND(#REF!,"AAAAAHDe+48=")</f>
        <v>#REF!</v>
      </c>
      <c r="EO4" t="e">
        <f>AND(#REF!,"AAAAAHDe+5A=")</f>
        <v>#REF!</v>
      </c>
      <c r="EP4" t="e">
        <f>AND(#REF!,"AAAAAHDe+5E=")</f>
        <v>#REF!</v>
      </c>
      <c r="EQ4" t="e">
        <f>AND(#REF!,"AAAAAHDe+5I=")</f>
        <v>#REF!</v>
      </c>
      <c r="ER4" t="e">
        <f>AND(#REF!,"AAAAAHDe+5M=")</f>
        <v>#REF!</v>
      </c>
      <c r="ES4" t="e">
        <f>AND(#REF!,"AAAAAHDe+5Q=")</f>
        <v>#REF!</v>
      </c>
      <c r="ET4" t="e">
        <f>AND(#REF!,"AAAAAHDe+5U=")</f>
        <v>#REF!</v>
      </c>
      <c r="EU4" t="e">
        <f>AND(#REF!,"AAAAAHDe+5Y=")</f>
        <v>#REF!</v>
      </c>
      <c r="EV4" t="e">
        <f>AND(#REF!,"AAAAAHDe+5c=")</f>
        <v>#REF!</v>
      </c>
      <c r="EW4" t="e">
        <f>AND(#REF!,"AAAAAHDe+5g=")</f>
        <v>#REF!</v>
      </c>
      <c r="EX4" t="e">
        <f>AND(#REF!,"AAAAAHDe+5k=")</f>
        <v>#REF!</v>
      </c>
      <c r="EY4" t="e">
        <f>AND(#REF!,"AAAAAHDe+5o=")</f>
        <v>#REF!</v>
      </c>
      <c r="EZ4" t="e">
        <f>AND(#REF!,"AAAAAHDe+5s=")</f>
        <v>#REF!</v>
      </c>
      <c r="FA4" t="e">
        <f>IF(#REF!,"AAAAAHDe+5w=",0)</f>
        <v>#REF!</v>
      </c>
      <c r="FB4" t="e">
        <f>AND(#REF!,"AAAAAHDe+50=")</f>
        <v>#REF!</v>
      </c>
      <c r="FC4" t="e">
        <f>AND(#REF!,"AAAAAHDe+54=")</f>
        <v>#REF!</v>
      </c>
      <c r="FD4" t="e">
        <f>AND(#REF!,"AAAAAHDe+58=")</f>
        <v>#REF!</v>
      </c>
      <c r="FE4" t="e">
        <f>AND(#REF!,"AAAAAHDe+6A=")</f>
        <v>#REF!</v>
      </c>
      <c r="FF4" t="e">
        <f>AND(#REF!,"AAAAAHDe+6E=")</f>
        <v>#REF!</v>
      </c>
      <c r="FG4" t="e">
        <f>AND(#REF!,"AAAAAHDe+6I=")</f>
        <v>#REF!</v>
      </c>
      <c r="FH4" t="e">
        <f>AND(#REF!,"AAAAAHDe+6M=")</f>
        <v>#REF!</v>
      </c>
      <c r="FI4" t="e">
        <f>AND(#REF!,"AAAAAHDe+6Q=")</f>
        <v>#REF!</v>
      </c>
      <c r="FJ4" t="e">
        <f>AND(#REF!,"AAAAAHDe+6U=")</f>
        <v>#REF!</v>
      </c>
      <c r="FK4" t="e">
        <f>AND(#REF!,"AAAAAHDe+6Y=")</f>
        <v>#REF!</v>
      </c>
      <c r="FL4" t="e">
        <f>AND(#REF!,"AAAAAHDe+6c=")</f>
        <v>#REF!</v>
      </c>
      <c r="FM4" t="e">
        <f>AND(#REF!,"AAAAAHDe+6g=")</f>
        <v>#REF!</v>
      </c>
      <c r="FN4" t="e">
        <f>AND(#REF!,"AAAAAHDe+6k=")</f>
        <v>#REF!</v>
      </c>
      <c r="FO4" t="e">
        <f>AND(#REF!,"AAAAAHDe+6o=")</f>
        <v>#REF!</v>
      </c>
      <c r="FP4" t="e">
        <f>AND(#REF!,"AAAAAHDe+6s=")</f>
        <v>#REF!</v>
      </c>
      <c r="FQ4" t="e">
        <f>AND(#REF!,"AAAAAHDe+6w=")</f>
        <v>#REF!</v>
      </c>
      <c r="FR4" t="e">
        <f>AND(#REF!,"AAAAAHDe+60=")</f>
        <v>#REF!</v>
      </c>
      <c r="FS4" t="e">
        <f>AND(#REF!,"AAAAAHDe+64=")</f>
        <v>#REF!</v>
      </c>
      <c r="FT4" t="e">
        <f>AND(#REF!,"AAAAAHDe+68=")</f>
        <v>#REF!</v>
      </c>
      <c r="FU4" t="e">
        <f>AND(#REF!,"AAAAAHDe+7A=")</f>
        <v>#REF!</v>
      </c>
      <c r="FV4" t="e">
        <f>AND(#REF!,"AAAAAHDe+7E=")</f>
        <v>#REF!</v>
      </c>
      <c r="FW4" t="e">
        <f>AND(#REF!,"AAAAAHDe+7I=")</f>
        <v>#REF!</v>
      </c>
      <c r="FX4" t="e">
        <f>AND(#REF!,"AAAAAHDe+7M=")</f>
        <v>#REF!</v>
      </c>
      <c r="FY4" t="e">
        <f>AND(#REF!,"AAAAAHDe+7Q=")</f>
        <v>#REF!</v>
      </c>
      <c r="FZ4" t="e">
        <f>AND(#REF!,"AAAAAHDe+7U=")</f>
        <v>#REF!</v>
      </c>
      <c r="GA4" t="e">
        <f>AND(#REF!,"AAAAAHDe+7Y=")</f>
        <v>#REF!</v>
      </c>
      <c r="GB4" t="e">
        <f>AND(#REF!,"AAAAAHDe+7c=")</f>
        <v>#REF!</v>
      </c>
      <c r="GC4" t="e">
        <f>AND(#REF!,"AAAAAHDe+7g=")</f>
        <v>#REF!</v>
      </c>
      <c r="GD4" t="e">
        <f>AND(#REF!,"AAAAAHDe+7k=")</f>
        <v>#REF!</v>
      </c>
      <c r="GE4" t="e">
        <f>AND(#REF!,"AAAAAHDe+7o=")</f>
        <v>#REF!</v>
      </c>
      <c r="GF4" t="e">
        <f>AND(#REF!,"AAAAAHDe+7s=")</f>
        <v>#REF!</v>
      </c>
      <c r="GG4" t="e">
        <f>AND(#REF!,"AAAAAHDe+7w=")</f>
        <v>#REF!</v>
      </c>
      <c r="GH4" t="e">
        <f>AND(#REF!,"AAAAAHDe+70=")</f>
        <v>#REF!</v>
      </c>
      <c r="GI4" t="e">
        <f>AND(#REF!,"AAAAAHDe+74=")</f>
        <v>#REF!</v>
      </c>
      <c r="GJ4" t="e">
        <f>AND(#REF!,"AAAAAHDe+78=")</f>
        <v>#REF!</v>
      </c>
      <c r="GK4" t="e">
        <f>AND(#REF!,"AAAAAHDe+8A=")</f>
        <v>#REF!</v>
      </c>
      <c r="GL4" t="e">
        <f>AND(#REF!,"AAAAAHDe+8E=")</f>
        <v>#REF!</v>
      </c>
      <c r="GM4" t="e">
        <f>AND(#REF!,"AAAAAHDe+8I=")</f>
        <v>#REF!</v>
      </c>
      <c r="GN4" t="e">
        <f>AND(#REF!,"AAAAAHDe+8M=")</f>
        <v>#REF!</v>
      </c>
      <c r="GO4" t="e">
        <f>AND(#REF!,"AAAAAHDe+8Q=")</f>
        <v>#REF!</v>
      </c>
      <c r="GP4" t="e">
        <f>AND(#REF!,"AAAAAHDe+8U=")</f>
        <v>#REF!</v>
      </c>
      <c r="GQ4" t="e">
        <f>AND(#REF!,"AAAAAHDe+8Y=")</f>
        <v>#REF!</v>
      </c>
      <c r="GR4" t="e">
        <f>AND(#REF!,"AAAAAHDe+8c=")</f>
        <v>#REF!</v>
      </c>
      <c r="GS4" t="e">
        <f>IF(#REF!,"AAAAAHDe+8g=",0)</f>
        <v>#REF!</v>
      </c>
      <c r="GT4" t="e">
        <f>AND(#REF!,"AAAAAHDe+8k=")</f>
        <v>#REF!</v>
      </c>
      <c r="GU4" t="e">
        <f>AND(#REF!,"AAAAAHDe+8o=")</f>
        <v>#REF!</v>
      </c>
      <c r="GV4" t="e">
        <f>AND(#REF!,"AAAAAHDe+8s=")</f>
        <v>#REF!</v>
      </c>
      <c r="GW4" t="e">
        <f>AND(#REF!,"AAAAAHDe+8w=")</f>
        <v>#REF!</v>
      </c>
      <c r="GX4" t="e">
        <f>AND(#REF!,"AAAAAHDe+80=")</f>
        <v>#REF!</v>
      </c>
      <c r="GY4" t="e">
        <f>AND(#REF!,"AAAAAHDe+84=")</f>
        <v>#REF!</v>
      </c>
      <c r="GZ4" t="e">
        <f>AND(#REF!,"AAAAAHDe+88=")</f>
        <v>#REF!</v>
      </c>
      <c r="HA4" t="e">
        <f>AND(#REF!,"AAAAAHDe+9A=")</f>
        <v>#REF!</v>
      </c>
      <c r="HB4" t="e">
        <f>AND(#REF!,"AAAAAHDe+9E=")</f>
        <v>#REF!</v>
      </c>
      <c r="HC4" t="e">
        <f>AND(#REF!,"AAAAAHDe+9I=")</f>
        <v>#REF!</v>
      </c>
      <c r="HD4" t="e">
        <f>AND(#REF!,"AAAAAHDe+9M=")</f>
        <v>#REF!</v>
      </c>
      <c r="HE4" t="e">
        <f>AND(#REF!,"AAAAAHDe+9Q=")</f>
        <v>#REF!</v>
      </c>
      <c r="HF4" t="e">
        <f>AND(#REF!,"AAAAAHDe+9U=")</f>
        <v>#REF!</v>
      </c>
      <c r="HG4" t="e">
        <f>AND(#REF!,"AAAAAHDe+9Y=")</f>
        <v>#REF!</v>
      </c>
      <c r="HH4" t="e">
        <f>AND(#REF!,"AAAAAHDe+9c=")</f>
        <v>#REF!</v>
      </c>
      <c r="HI4" t="e">
        <f>AND(#REF!,"AAAAAHDe+9g=")</f>
        <v>#REF!</v>
      </c>
      <c r="HJ4" t="e">
        <f>AND(#REF!,"AAAAAHDe+9k=")</f>
        <v>#REF!</v>
      </c>
      <c r="HK4" t="e">
        <f>AND(#REF!,"AAAAAHDe+9o=")</f>
        <v>#REF!</v>
      </c>
      <c r="HL4" t="e">
        <f>AND(#REF!,"AAAAAHDe+9s=")</f>
        <v>#REF!</v>
      </c>
      <c r="HM4" t="e">
        <f>AND(#REF!,"AAAAAHDe+9w=")</f>
        <v>#REF!</v>
      </c>
      <c r="HN4" t="e">
        <f>AND(#REF!,"AAAAAHDe+90=")</f>
        <v>#REF!</v>
      </c>
      <c r="HO4" t="e">
        <f>AND(#REF!,"AAAAAHDe+94=")</f>
        <v>#REF!</v>
      </c>
      <c r="HP4" t="e">
        <f>AND(#REF!,"AAAAAHDe+98=")</f>
        <v>#REF!</v>
      </c>
      <c r="HQ4" t="e">
        <f>AND(#REF!,"AAAAAHDe++A=")</f>
        <v>#REF!</v>
      </c>
      <c r="HR4" t="e">
        <f>AND(#REF!,"AAAAAHDe++E=")</f>
        <v>#REF!</v>
      </c>
      <c r="HS4" t="e">
        <f>AND(#REF!,"AAAAAHDe++I=")</f>
        <v>#REF!</v>
      </c>
      <c r="HT4" t="e">
        <f>AND(#REF!,"AAAAAHDe++M=")</f>
        <v>#REF!</v>
      </c>
      <c r="HU4" t="e">
        <f>AND(#REF!,"AAAAAHDe++Q=")</f>
        <v>#REF!</v>
      </c>
      <c r="HV4" t="e">
        <f>AND(#REF!,"AAAAAHDe++U=")</f>
        <v>#REF!</v>
      </c>
      <c r="HW4" t="e">
        <f>AND(#REF!,"AAAAAHDe++Y=")</f>
        <v>#REF!</v>
      </c>
      <c r="HX4" t="e">
        <f>AND(#REF!,"AAAAAHDe++c=")</f>
        <v>#REF!</v>
      </c>
      <c r="HY4" t="e">
        <f>AND(#REF!,"AAAAAHDe++g=")</f>
        <v>#REF!</v>
      </c>
      <c r="HZ4" t="e">
        <f>AND(#REF!,"AAAAAHDe++k=")</f>
        <v>#REF!</v>
      </c>
      <c r="IA4" t="e">
        <f>AND(#REF!,"AAAAAHDe++o=")</f>
        <v>#REF!</v>
      </c>
      <c r="IB4" t="e">
        <f>AND(#REF!,"AAAAAHDe++s=")</f>
        <v>#REF!</v>
      </c>
      <c r="IC4" t="e">
        <f>AND(#REF!,"AAAAAHDe++w=")</f>
        <v>#REF!</v>
      </c>
      <c r="ID4" t="e">
        <f>AND(#REF!,"AAAAAHDe++0=")</f>
        <v>#REF!</v>
      </c>
      <c r="IE4" t="e">
        <f>AND(#REF!,"AAAAAHDe++4=")</f>
        <v>#REF!</v>
      </c>
      <c r="IF4" t="e">
        <f>AND(#REF!,"AAAAAHDe++8=")</f>
        <v>#REF!</v>
      </c>
      <c r="IG4" t="e">
        <f>AND(#REF!,"AAAAAHDe+/A=")</f>
        <v>#REF!</v>
      </c>
      <c r="IH4" t="e">
        <f>AND(#REF!,"AAAAAHDe+/E=")</f>
        <v>#REF!</v>
      </c>
      <c r="II4" t="e">
        <f>AND(#REF!,"AAAAAHDe+/I=")</f>
        <v>#REF!</v>
      </c>
      <c r="IJ4" t="e">
        <f>AND(#REF!,"AAAAAHDe+/M=")</f>
        <v>#REF!</v>
      </c>
      <c r="IK4" t="e">
        <f>IF(#REF!,"AAAAAHDe+/Q=",0)</f>
        <v>#REF!</v>
      </c>
      <c r="IL4" t="e">
        <f>AND(#REF!,"AAAAAHDe+/U=")</f>
        <v>#REF!</v>
      </c>
      <c r="IM4" t="e">
        <f>AND(#REF!,"AAAAAHDe+/Y=")</f>
        <v>#REF!</v>
      </c>
      <c r="IN4" t="e">
        <f>AND(#REF!,"AAAAAHDe+/c=")</f>
        <v>#REF!</v>
      </c>
      <c r="IO4" t="e">
        <f>AND(#REF!,"AAAAAHDe+/g=")</f>
        <v>#REF!</v>
      </c>
      <c r="IP4" t="e">
        <f>AND(#REF!,"AAAAAHDe+/k=")</f>
        <v>#REF!</v>
      </c>
      <c r="IQ4" t="e">
        <f>AND(#REF!,"AAAAAHDe+/o=")</f>
        <v>#REF!</v>
      </c>
      <c r="IR4" t="e">
        <f>AND(#REF!,"AAAAAHDe+/s=")</f>
        <v>#REF!</v>
      </c>
      <c r="IS4" t="e">
        <f>AND(#REF!,"AAAAAHDe+/w=")</f>
        <v>#REF!</v>
      </c>
      <c r="IT4" t="e">
        <f>AND(#REF!,"AAAAAHDe+/0=")</f>
        <v>#REF!</v>
      </c>
      <c r="IU4" t="e">
        <f>AND(#REF!,"AAAAAHDe+/4=")</f>
        <v>#REF!</v>
      </c>
      <c r="IV4" t="e">
        <f>AND(#REF!,"AAAAAHDe+/8=")</f>
        <v>#REF!</v>
      </c>
    </row>
    <row r="5" spans="1:256" x14ac:dyDescent="0.25">
      <c r="A5" t="e">
        <f>AND(#REF!,"AAAAAD37/QA=")</f>
        <v>#REF!</v>
      </c>
      <c r="B5" t="e">
        <f>AND(#REF!,"AAAAAD37/QE=")</f>
        <v>#REF!</v>
      </c>
      <c r="C5" t="e">
        <f>AND(#REF!,"AAAAAD37/QI=")</f>
        <v>#REF!</v>
      </c>
      <c r="D5" t="e">
        <f>AND(#REF!,"AAAAAD37/QM=")</f>
        <v>#REF!</v>
      </c>
      <c r="E5" t="e">
        <f>AND(#REF!,"AAAAAD37/QQ=")</f>
        <v>#REF!</v>
      </c>
      <c r="F5" t="e">
        <f>AND(#REF!,"AAAAAD37/QU=")</f>
        <v>#REF!</v>
      </c>
      <c r="G5" t="e">
        <f>AND(#REF!,"AAAAAD37/QY=")</f>
        <v>#REF!</v>
      </c>
      <c r="H5" t="e">
        <f>AND(#REF!,"AAAAAD37/Qc=")</f>
        <v>#REF!</v>
      </c>
      <c r="I5" t="e">
        <f>AND(#REF!,"AAAAAD37/Qg=")</f>
        <v>#REF!</v>
      </c>
      <c r="J5" t="e">
        <f>AND(#REF!,"AAAAAD37/Qk=")</f>
        <v>#REF!</v>
      </c>
      <c r="K5" t="e">
        <f>AND(#REF!,"AAAAAD37/Qo=")</f>
        <v>#REF!</v>
      </c>
      <c r="L5" t="e">
        <f>AND(#REF!,"AAAAAD37/Qs=")</f>
        <v>#REF!</v>
      </c>
      <c r="M5" t="e">
        <f>AND(#REF!,"AAAAAD37/Qw=")</f>
        <v>#REF!</v>
      </c>
      <c r="N5" t="e">
        <f>AND(#REF!,"AAAAAD37/Q0=")</f>
        <v>#REF!</v>
      </c>
      <c r="O5" t="e">
        <f>AND(#REF!,"AAAAAD37/Q4=")</f>
        <v>#REF!</v>
      </c>
      <c r="P5" t="e">
        <f>AND(#REF!,"AAAAAD37/Q8=")</f>
        <v>#REF!</v>
      </c>
      <c r="Q5" t="e">
        <f>AND(#REF!,"AAAAAD37/RA=")</f>
        <v>#REF!</v>
      </c>
      <c r="R5" t="e">
        <f>AND(#REF!,"AAAAAD37/RE=")</f>
        <v>#REF!</v>
      </c>
      <c r="S5" t="e">
        <f>AND(#REF!,"AAAAAD37/RI=")</f>
        <v>#REF!</v>
      </c>
      <c r="T5" t="e">
        <f>AND(#REF!,"AAAAAD37/RM=")</f>
        <v>#REF!</v>
      </c>
      <c r="U5" t="e">
        <f>AND(#REF!,"AAAAAD37/RQ=")</f>
        <v>#REF!</v>
      </c>
      <c r="V5" t="e">
        <f>AND(#REF!,"AAAAAD37/RU=")</f>
        <v>#REF!</v>
      </c>
      <c r="W5" t="e">
        <f>AND(#REF!,"AAAAAD37/RY=")</f>
        <v>#REF!</v>
      </c>
      <c r="X5" t="e">
        <f>AND(#REF!,"AAAAAD37/Rc=")</f>
        <v>#REF!</v>
      </c>
      <c r="Y5" t="e">
        <f>AND(#REF!,"AAAAAD37/Rg=")</f>
        <v>#REF!</v>
      </c>
      <c r="Z5" t="e">
        <f>AND(#REF!,"AAAAAD37/Rk=")</f>
        <v>#REF!</v>
      </c>
      <c r="AA5" t="e">
        <f>AND(#REF!,"AAAAAD37/Ro=")</f>
        <v>#REF!</v>
      </c>
      <c r="AB5" t="e">
        <f>AND(#REF!,"AAAAAD37/Rs=")</f>
        <v>#REF!</v>
      </c>
      <c r="AC5" t="e">
        <f>AND(#REF!,"AAAAAD37/Rw=")</f>
        <v>#REF!</v>
      </c>
      <c r="AD5" t="e">
        <f>AND(#REF!,"AAAAAD37/R0=")</f>
        <v>#REF!</v>
      </c>
      <c r="AE5" t="e">
        <f>AND(#REF!,"AAAAAD37/R4=")</f>
        <v>#REF!</v>
      </c>
      <c r="AF5" t="e">
        <f>AND(#REF!,"AAAAAD37/R8=")</f>
        <v>#REF!</v>
      </c>
      <c r="AG5" t="e">
        <f>IF(#REF!,"AAAAAD37/SA=",0)</f>
        <v>#REF!</v>
      </c>
      <c r="AH5" t="e">
        <f>AND(#REF!,"AAAAAD37/SE=")</f>
        <v>#REF!</v>
      </c>
      <c r="AI5" t="e">
        <f>AND(#REF!,"AAAAAD37/SI=")</f>
        <v>#REF!</v>
      </c>
      <c r="AJ5" t="e">
        <f>AND(#REF!,"AAAAAD37/SM=")</f>
        <v>#REF!</v>
      </c>
      <c r="AK5" t="e">
        <f>AND(#REF!,"AAAAAD37/SQ=")</f>
        <v>#REF!</v>
      </c>
      <c r="AL5" t="e">
        <f>AND(#REF!,"AAAAAD37/SU=")</f>
        <v>#REF!</v>
      </c>
      <c r="AM5" t="e">
        <f>AND(#REF!,"AAAAAD37/SY=")</f>
        <v>#REF!</v>
      </c>
      <c r="AN5" t="e">
        <f>AND(#REF!,"AAAAAD37/Sc=")</f>
        <v>#REF!</v>
      </c>
      <c r="AO5" t="e">
        <f>AND(#REF!,"AAAAAD37/Sg=")</f>
        <v>#REF!</v>
      </c>
      <c r="AP5" t="e">
        <f>AND(#REF!,"AAAAAD37/Sk=")</f>
        <v>#REF!</v>
      </c>
      <c r="AQ5" t="e">
        <f>AND(#REF!,"AAAAAD37/So=")</f>
        <v>#REF!</v>
      </c>
      <c r="AR5" t="e">
        <f>AND(#REF!,"AAAAAD37/Ss=")</f>
        <v>#REF!</v>
      </c>
      <c r="AS5" t="e">
        <f>AND(#REF!,"AAAAAD37/Sw=")</f>
        <v>#REF!</v>
      </c>
      <c r="AT5" t="e">
        <f>AND(#REF!,"AAAAAD37/S0=")</f>
        <v>#REF!</v>
      </c>
      <c r="AU5" t="e">
        <f>AND(#REF!,"AAAAAD37/S4=")</f>
        <v>#REF!</v>
      </c>
      <c r="AV5" t="e">
        <f>AND(#REF!,"AAAAAD37/S8=")</f>
        <v>#REF!</v>
      </c>
      <c r="AW5" t="e">
        <f>AND(#REF!,"AAAAAD37/TA=")</f>
        <v>#REF!</v>
      </c>
      <c r="AX5" t="e">
        <f>AND(#REF!,"AAAAAD37/TE=")</f>
        <v>#REF!</v>
      </c>
      <c r="AY5" t="e">
        <f>AND(#REF!,"AAAAAD37/TI=")</f>
        <v>#REF!</v>
      </c>
      <c r="AZ5" t="e">
        <f>AND(#REF!,"AAAAAD37/TM=")</f>
        <v>#REF!</v>
      </c>
      <c r="BA5" t="e">
        <f>AND(#REF!,"AAAAAD37/TQ=")</f>
        <v>#REF!</v>
      </c>
      <c r="BB5" t="e">
        <f>AND(#REF!,"AAAAAD37/TU=")</f>
        <v>#REF!</v>
      </c>
      <c r="BC5" t="e">
        <f>AND(#REF!,"AAAAAD37/TY=")</f>
        <v>#REF!</v>
      </c>
      <c r="BD5" t="e">
        <f>AND(#REF!,"AAAAAD37/Tc=")</f>
        <v>#REF!</v>
      </c>
      <c r="BE5" t="e">
        <f>AND(#REF!,"AAAAAD37/Tg=")</f>
        <v>#REF!</v>
      </c>
      <c r="BF5" t="e">
        <f>AND(#REF!,"AAAAAD37/Tk=")</f>
        <v>#REF!</v>
      </c>
      <c r="BG5" t="e">
        <f>AND(#REF!,"AAAAAD37/To=")</f>
        <v>#REF!</v>
      </c>
      <c r="BH5" t="e">
        <f>AND(#REF!,"AAAAAD37/Ts=")</f>
        <v>#REF!</v>
      </c>
      <c r="BI5" t="e">
        <f>AND(#REF!,"AAAAAD37/Tw=")</f>
        <v>#REF!</v>
      </c>
      <c r="BJ5" t="e">
        <f>AND(#REF!,"AAAAAD37/T0=")</f>
        <v>#REF!</v>
      </c>
      <c r="BK5" t="e">
        <f>AND(#REF!,"AAAAAD37/T4=")</f>
        <v>#REF!</v>
      </c>
      <c r="BL5" t="e">
        <f>AND(#REF!,"AAAAAD37/T8=")</f>
        <v>#REF!</v>
      </c>
      <c r="BM5" t="e">
        <f>AND(#REF!,"AAAAAD37/UA=")</f>
        <v>#REF!</v>
      </c>
      <c r="BN5" t="e">
        <f>AND(#REF!,"AAAAAD37/UE=")</f>
        <v>#REF!</v>
      </c>
      <c r="BO5" t="e">
        <f>AND(#REF!,"AAAAAD37/UI=")</f>
        <v>#REF!</v>
      </c>
      <c r="BP5" t="e">
        <f>AND(#REF!,"AAAAAD37/UM=")</f>
        <v>#REF!</v>
      </c>
      <c r="BQ5" t="e">
        <f>AND(#REF!,"AAAAAD37/UQ=")</f>
        <v>#REF!</v>
      </c>
      <c r="BR5" t="e">
        <f>AND(#REF!,"AAAAAD37/UU=")</f>
        <v>#REF!</v>
      </c>
      <c r="BS5" t="e">
        <f>AND(#REF!,"AAAAAD37/UY=")</f>
        <v>#REF!</v>
      </c>
      <c r="BT5" t="e">
        <f>AND(#REF!,"AAAAAD37/Uc=")</f>
        <v>#REF!</v>
      </c>
      <c r="BU5" t="e">
        <f>AND(#REF!,"AAAAAD37/Ug=")</f>
        <v>#REF!</v>
      </c>
      <c r="BV5" t="e">
        <f>AND(#REF!,"AAAAAD37/Uk=")</f>
        <v>#REF!</v>
      </c>
      <c r="BW5" t="e">
        <f>AND(#REF!,"AAAAAD37/Uo=")</f>
        <v>#REF!</v>
      </c>
      <c r="BX5" t="e">
        <f>AND(#REF!,"AAAAAD37/Us=")</f>
        <v>#REF!</v>
      </c>
      <c r="BY5" t="e">
        <f>IF(#REF!,"AAAAAD37/Uw=",0)</f>
        <v>#REF!</v>
      </c>
      <c r="BZ5" t="e">
        <f>AND(#REF!,"AAAAAD37/U0=")</f>
        <v>#REF!</v>
      </c>
      <c r="CA5" t="e">
        <f>AND(#REF!,"AAAAAD37/U4=")</f>
        <v>#REF!</v>
      </c>
      <c r="CB5" t="e">
        <f>AND(#REF!,"AAAAAD37/U8=")</f>
        <v>#REF!</v>
      </c>
      <c r="CC5" t="e">
        <f>AND(#REF!,"AAAAAD37/VA=")</f>
        <v>#REF!</v>
      </c>
      <c r="CD5" t="e">
        <f>AND(#REF!,"AAAAAD37/VE=")</f>
        <v>#REF!</v>
      </c>
      <c r="CE5" t="e">
        <f>AND(#REF!,"AAAAAD37/VI=")</f>
        <v>#REF!</v>
      </c>
      <c r="CF5" t="e">
        <f>AND(#REF!,"AAAAAD37/VM=")</f>
        <v>#REF!</v>
      </c>
      <c r="CG5" t="e">
        <f>AND(#REF!,"AAAAAD37/VQ=")</f>
        <v>#REF!</v>
      </c>
      <c r="CH5" t="e">
        <f>AND(#REF!,"AAAAAD37/VU=")</f>
        <v>#REF!</v>
      </c>
      <c r="CI5" t="e">
        <f>AND(#REF!,"AAAAAD37/VY=")</f>
        <v>#REF!</v>
      </c>
      <c r="CJ5" t="e">
        <f>AND(#REF!,"AAAAAD37/Vc=")</f>
        <v>#REF!</v>
      </c>
      <c r="CK5" t="e">
        <f>AND(#REF!,"AAAAAD37/Vg=")</f>
        <v>#REF!</v>
      </c>
      <c r="CL5" t="e">
        <f>AND(#REF!,"AAAAAD37/Vk=")</f>
        <v>#REF!</v>
      </c>
      <c r="CM5" t="e">
        <f>AND(#REF!,"AAAAAD37/Vo=")</f>
        <v>#REF!</v>
      </c>
      <c r="CN5" t="e">
        <f>AND(#REF!,"AAAAAD37/Vs=")</f>
        <v>#REF!</v>
      </c>
      <c r="CO5" t="e">
        <f>AND(#REF!,"AAAAAD37/Vw=")</f>
        <v>#REF!</v>
      </c>
      <c r="CP5" t="e">
        <f>AND(#REF!,"AAAAAD37/V0=")</f>
        <v>#REF!</v>
      </c>
      <c r="CQ5" t="e">
        <f>AND(#REF!,"AAAAAD37/V4=")</f>
        <v>#REF!</v>
      </c>
      <c r="CR5" t="e">
        <f>AND(#REF!,"AAAAAD37/V8=")</f>
        <v>#REF!</v>
      </c>
      <c r="CS5" t="e">
        <f>AND(#REF!,"AAAAAD37/WA=")</f>
        <v>#REF!</v>
      </c>
      <c r="CT5" t="e">
        <f>AND(#REF!,"AAAAAD37/WE=")</f>
        <v>#REF!</v>
      </c>
      <c r="CU5" t="e">
        <f>AND(#REF!,"AAAAAD37/WI=")</f>
        <v>#REF!</v>
      </c>
      <c r="CV5" t="e">
        <f>AND(#REF!,"AAAAAD37/WM=")</f>
        <v>#REF!</v>
      </c>
      <c r="CW5" t="e">
        <f>AND(#REF!,"AAAAAD37/WQ=")</f>
        <v>#REF!</v>
      </c>
      <c r="CX5" t="e">
        <f>AND(#REF!,"AAAAAD37/WU=")</f>
        <v>#REF!</v>
      </c>
      <c r="CY5" t="e">
        <f>AND(#REF!,"AAAAAD37/WY=")</f>
        <v>#REF!</v>
      </c>
      <c r="CZ5" t="e">
        <f>AND(#REF!,"AAAAAD37/Wc=")</f>
        <v>#REF!</v>
      </c>
      <c r="DA5" t="e">
        <f>AND(#REF!,"AAAAAD37/Wg=")</f>
        <v>#REF!</v>
      </c>
      <c r="DB5" t="e">
        <f>AND(#REF!,"AAAAAD37/Wk=")</f>
        <v>#REF!</v>
      </c>
      <c r="DC5" t="e">
        <f>AND(#REF!,"AAAAAD37/Wo=")</f>
        <v>#REF!</v>
      </c>
      <c r="DD5" t="e">
        <f>AND(#REF!,"AAAAAD37/Ws=")</f>
        <v>#REF!</v>
      </c>
      <c r="DE5" t="e">
        <f>AND(#REF!,"AAAAAD37/Ww=")</f>
        <v>#REF!</v>
      </c>
      <c r="DF5" t="e">
        <f>AND(#REF!,"AAAAAD37/W0=")</f>
        <v>#REF!</v>
      </c>
      <c r="DG5" t="e">
        <f>AND(#REF!,"AAAAAD37/W4=")</f>
        <v>#REF!</v>
      </c>
      <c r="DH5" t="e">
        <f>AND(#REF!,"AAAAAD37/W8=")</f>
        <v>#REF!</v>
      </c>
      <c r="DI5" t="e">
        <f>AND(#REF!,"AAAAAD37/XA=")</f>
        <v>#REF!</v>
      </c>
      <c r="DJ5" t="e">
        <f>AND(#REF!,"AAAAAD37/XE=")</f>
        <v>#REF!</v>
      </c>
      <c r="DK5" t="e">
        <f>AND(#REF!,"AAAAAD37/XI=")</f>
        <v>#REF!</v>
      </c>
      <c r="DL5" t="e">
        <f>AND(#REF!,"AAAAAD37/XM=")</f>
        <v>#REF!</v>
      </c>
      <c r="DM5" t="e">
        <f>AND(#REF!,"AAAAAD37/XQ=")</f>
        <v>#REF!</v>
      </c>
      <c r="DN5" t="e">
        <f>AND(#REF!,"AAAAAD37/XU=")</f>
        <v>#REF!</v>
      </c>
      <c r="DO5" t="e">
        <f>AND(#REF!,"AAAAAD37/XY=")</f>
        <v>#REF!</v>
      </c>
      <c r="DP5" t="e">
        <f>AND(#REF!,"AAAAAD37/Xc=")</f>
        <v>#REF!</v>
      </c>
      <c r="DQ5" t="e">
        <f>IF(#REF!,"AAAAAD37/Xg=",0)</f>
        <v>#REF!</v>
      </c>
      <c r="DR5" t="e">
        <f>AND(#REF!,"AAAAAD37/Xk=")</f>
        <v>#REF!</v>
      </c>
      <c r="DS5" t="e">
        <f>AND(#REF!,"AAAAAD37/Xo=")</f>
        <v>#REF!</v>
      </c>
      <c r="DT5" t="e">
        <f>AND(#REF!,"AAAAAD37/Xs=")</f>
        <v>#REF!</v>
      </c>
      <c r="DU5" t="e">
        <f>AND(#REF!,"AAAAAD37/Xw=")</f>
        <v>#REF!</v>
      </c>
      <c r="DV5" t="e">
        <f>AND(#REF!,"AAAAAD37/X0=")</f>
        <v>#REF!</v>
      </c>
      <c r="DW5" t="e">
        <f>AND(#REF!,"AAAAAD37/X4=")</f>
        <v>#REF!</v>
      </c>
      <c r="DX5" t="e">
        <f>AND(#REF!,"AAAAAD37/X8=")</f>
        <v>#REF!</v>
      </c>
      <c r="DY5" t="e">
        <f>AND(#REF!,"AAAAAD37/YA=")</f>
        <v>#REF!</v>
      </c>
      <c r="DZ5" t="e">
        <f>AND(#REF!,"AAAAAD37/YE=")</f>
        <v>#REF!</v>
      </c>
      <c r="EA5" t="e">
        <f>AND(#REF!,"AAAAAD37/YI=")</f>
        <v>#REF!</v>
      </c>
      <c r="EB5" t="e">
        <f>AND(#REF!,"AAAAAD37/YM=")</f>
        <v>#REF!</v>
      </c>
      <c r="EC5" t="e">
        <f>AND(#REF!,"AAAAAD37/YQ=")</f>
        <v>#REF!</v>
      </c>
      <c r="ED5" t="e">
        <f>AND(#REF!,"AAAAAD37/YU=")</f>
        <v>#REF!</v>
      </c>
      <c r="EE5" t="e">
        <f>AND(#REF!,"AAAAAD37/YY=")</f>
        <v>#REF!</v>
      </c>
      <c r="EF5" t="e">
        <f>AND(#REF!,"AAAAAD37/Yc=")</f>
        <v>#REF!</v>
      </c>
      <c r="EG5" t="e">
        <f>AND(#REF!,"AAAAAD37/Yg=")</f>
        <v>#REF!</v>
      </c>
      <c r="EH5" t="e">
        <f>AND(#REF!,"AAAAAD37/Yk=")</f>
        <v>#REF!</v>
      </c>
      <c r="EI5" t="e">
        <f>AND(#REF!,"AAAAAD37/Yo=")</f>
        <v>#REF!</v>
      </c>
      <c r="EJ5" t="e">
        <f>AND(#REF!,"AAAAAD37/Ys=")</f>
        <v>#REF!</v>
      </c>
      <c r="EK5" t="e">
        <f>AND(#REF!,"AAAAAD37/Yw=")</f>
        <v>#REF!</v>
      </c>
      <c r="EL5" t="e">
        <f>AND(#REF!,"AAAAAD37/Y0=")</f>
        <v>#REF!</v>
      </c>
      <c r="EM5" t="e">
        <f>AND(#REF!,"AAAAAD37/Y4=")</f>
        <v>#REF!</v>
      </c>
      <c r="EN5" t="e">
        <f>AND(#REF!,"AAAAAD37/Y8=")</f>
        <v>#REF!</v>
      </c>
      <c r="EO5" t="e">
        <f>AND(#REF!,"AAAAAD37/ZA=")</f>
        <v>#REF!</v>
      </c>
      <c r="EP5" t="e">
        <f>AND(#REF!,"AAAAAD37/ZE=")</f>
        <v>#REF!</v>
      </c>
      <c r="EQ5" t="e">
        <f>AND(#REF!,"AAAAAD37/ZI=")</f>
        <v>#REF!</v>
      </c>
      <c r="ER5" t="e">
        <f>AND(#REF!,"AAAAAD37/ZM=")</f>
        <v>#REF!</v>
      </c>
      <c r="ES5" t="e">
        <f>AND(#REF!,"AAAAAD37/ZQ=")</f>
        <v>#REF!</v>
      </c>
      <c r="ET5" t="e">
        <f>AND(#REF!,"AAAAAD37/ZU=")</f>
        <v>#REF!</v>
      </c>
      <c r="EU5" t="e">
        <f>AND(#REF!,"AAAAAD37/ZY=")</f>
        <v>#REF!</v>
      </c>
      <c r="EV5" t="e">
        <f>AND(#REF!,"AAAAAD37/Zc=")</f>
        <v>#REF!</v>
      </c>
      <c r="EW5" t="e">
        <f>AND(#REF!,"AAAAAD37/Zg=")</f>
        <v>#REF!</v>
      </c>
      <c r="EX5" t="e">
        <f>AND(#REF!,"AAAAAD37/Zk=")</f>
        <v>#REF!</v>
      </c>
      <c r="EY5" t="e">
        <f>AND(#REF!,"AAAAAD37/Zo=")</f>
        <v>#REF!</v>
      </c>
      <c r="EZ5" t="e">
        <f>AND(#REF!,"AAAAAD37/Zs=")</f>
        <v>#REF!</v>
      </c>
      <c r="FA5" t="e">
        <f>AND(#REF!,"AAAAAD37/Zw=")</f>
        <v>#REF!</v>
      </c>
      <c r="FB5" t="e">
        <f>AND(#REF!,"AAAAAD37/Z0=")</f>
        <v>#REF!</v>
      </c>
      <c r="FC5" t="e">
        <f>AND(#REF!,"AAAAAD37/Z4=")</f>
        <v>#REF!</v>
      </c>
      <c r="FD5" t="e">
        <f>AND(#REF!,"AAAAAD37/Z8=")</f>
        <v>#REF!</v>
      </c>
      <c r="FE5" t="e">
        <f>AND(#REF!,"AAAAAD37/aA=")</f>
        <v>#REF!</v>
      </c>
      <c r="FF5" t="e">
        <f>AND(#REF!,"AAAAAD37/aE=")</f>
        <v>#REF!</v>
      </c>
      <c r="FG5" t="e">
        <f>AND(#REF!,"AAAAAD37/aI=")</f>
        <v>#REF!</v>
      </c>
      <c r="FH5" t="e">
        <f>AND(#REF!,"AAAAAD37/aM=")</f>
        <v>#REF!</v>
      </c>
      <c r="FI5" t="e">
        <f>IF(#REF!,"AAAAAD37/aQ=",0)</f>
        <v>#REF!</v>
      </c>
      <c r="FJ5" t="e">
        <f>AND(#REF!,"AAAAAD37/aU=")</f>
        <v>#REF!</v>
      </c>
      <c r="FK5" t="e">
        <f>AND(#REF!,"AAAAAD37/aY=")</f>
        <v>#REF!</v>
      </c>
      <c r="FL5" t="e">
        <f>AND(#REF!,"AAAAAD37/ac=")</f>
        <v>#REF!</v>
      </c>
      <c r="FM5" t="e">
        <f>AND(#REF!,"AAAAAD37/ag=")</f>
        <v>#REF!</v>
      </c>
      <c r="FN5" t="e">
        <f>AND(#REF!,"AAAAAD37/ak=")</f>
        <v>#REF!</v>
      </c>
      <c r="FO5" t="e">
        <f>AND(#REF!,"AAAAAD37/ao=")</f>
        <v>#REF!</v>
      </c>
      <c r="FP5" t="e">
        <f>AND(#REF!,"AAAAAD37/as=")</f>
        <v>#REF!</v>
      </c>
      <c r="FQ5" t="e">
        <f>AND(#REF!,"AAAAAD37/aw=")</f>
        <v>#REF!</v>
      </c>
      <c r="FR5" t="e">
        <f>AND(#REF!,"AAAAAD37/a0=")</f>
        <v>#REF!</v>
      </c>
      <c r="FS5" t="e">
        <f>AND(#REF!,"AAAAAD37/a4=")</f>
        <v>#REF!</v>
      </c>
      <c r="FT5" t="e">
        <f>AND(#REF!,"AAAAAD37/a8=")</f>
        <v>#REF!</v>
      </c>
      <c r="FU5" t="e">
        <f>AND(#REF!,"AAAAAD37/bA=")</f>
        <v>#REF!</v>
      </c>
      <c r="FV5" t="e">
        <f>AND(#REF!,"AAAAAD37/bE=")</f>
        <v>#REF!</v>
      </c>
      <c r="FW5" t="e">
        <f>AND(#REF!,"AAAAAD37/bI=")</f>
        <v>#REF!</v>
      </c>
      <c r="FX5" t="e">
        <f>AND(#REF!,"AAAAAD37/bM=")</f>
        <v>#REF!</v>
      </c>
      <c r="FY5" t="e">
        <f>AND(#REF!,"AAAAAD37/bQ=")</f>
        <v>#REF!</v>
      </c>
      <c r="FZ5" t="e">
        <f>AND(#REF!,"AAAAAD37/bU=")</f>
        <v>#REF!</v>
      </c>
      <c r="GA5" t="e">
        <f>AND(#REF!,"AAAAAD37/bY=")</f>
        <v>#REF!</v>
      </c>
      <c r="GB5" t="e">
        <f>AND(#REF!,"AAAAAD37/bc=")</f>
        <v>#REF!</v>
      </c>
      <c r="GC5" t="e">
        <f>AND(#REF!,"AAAAAD37/bg=")</f>
        <v>#REF!</v>
      </c>
      <c r="GD5" t="e">
        <f>AND(#REF!,"AAAAAD37/bk=")</f>
        <v>#REF!</v>
      </c>
      <c r="GE5" t="e">
        <f>AND(#REF!,"AAAAAD37/bo=")</f>
        <v>#REF!</v>
      </c>
      <c r="GF5" t="e">
        <f>AND(#REF!,"AAAAAD37/bs=")</f>
        <v>#REF!</v>
      </c>
      <c r="GG5" t="e">
        <f>AND(#REF!,"AAAAAD37/bw=")</f>
        <v>#REF!</v>
      </c>
      <c r="GH5" t="e">
        <f>AND(#REF!,"AAAAAD37/b0=")</f>
        <v>#REF!</v>
      </c>
      <c r="GI5" t="e">
        <f>AND(#REF!,"AAAAAD37/b4=")</f>
        <v>#REF!</v>
      </c>
      <c r="GJ5" t="e">
        <f>AND(#REF!,"AAAAAD37/b8=")</f>
        <v>#REF!</v>
      </c>
      <c r="GK5" t="e">
        <f>AND(#REF!,"AAAAAD37/cA=")</f>
        <v>#REF!</v>
      </c>
      <c r="GL5" t="e">
        <f>AND(#REF!,"AAAAAD37/cE=")</f>
        <v>#REF!</v>
      </c>
      <c r="GM5" t="e">
        <f>AND(#REF!,"AAAAAD37/cI=")</f>
        <v>#REF!</v>
      </c>
      <c r="GN5" t="e">
        <f>AND(#REF!,"AAAAAD37/cM=")</f>
        <v>#REF!</v>
      </c>
      <c r="GO5" t="e">
        <f>AND(#REF!,"AAAAAD37/cQ=")</f>
        <v>#REF!</v>
      </c>
      <c r="GP5" t="e">
        <f>AND(#REF!,"AAAAAD37/cU=")</f>
        <v>#REF!</v>
      </c>
      <c r="GQ5" t="e">
        <f>AND(#REF!,"AAAAAD37/cY=")</f>
        <v>#REF!</v>
      </c>
      <c r="GR5" t="e">
        <f>AND(#REF!,"AAAAAD37/cc=")</f>
        <v>#REF!</v>
      </c>
      <c r="GS5" t="e">
        <f>AND(#REF!,"AAAAAD37/cg=")</f>
        <v>#REF!</v>
      </c>
      <c r="GT5" t="e">
        <f>AND(#REF!,"AAAAAD37/ck=")</f>
        <v>#REF!</v>
      </c>
      <c r="GU5" t="e">
        <f>AND(#REF!,"AAAAAD37/co=")</f>
        <v>#REF!</v>
      </c>
      <c r="GV5" t="e">
        <f>AND(#REF!,"AAAAAD37/cs=")</f>
        <v>#REF!</v>
      </c>
      <c r="GW5" t="e">
        <f>AND(#REF!,"AAAAAD37/cw=")</f>
        <v>#REF!</v>
      </c>
      <c r="GX5" t="e">
        <f>AND(#REF!,"AAAAAD37/c0=")</f>
        <v>#REF!</v>
      </c>
      <c r="GY5" t="e">
        <f>AND(#REF!,"AAAAAD37/c4=")</f>
        <v>#REF!</v>
      </c>
      <c r="GZ5" t="e">
        <f>AND(#REF!,"AAAAAD37/c8=")</f>
        <v>#REF!</v>
      </c>
      <c r="HA5" t="e">
        <f>IF(#REF!,"AAAAAD37/dA=",0)</f>
        <v>#REF!</v>
      </c>
      <c r="HB5" t="e">
        <f>AND(#REF!,"AAAAAD37/dE=")</f>
        <v>#REF!</v>
      </c>
      <c r="HC5" t="e">
        <f>AND(#REF!,"AAAAAD37/dI=")</f>
        <v>#REF!</v>
      </c>
      <c r="HD5" t="e">
        <f>AND(#REF!,"AAAAAD37/dM=")</f>
        <v>#REF!</v>
      </c>
      <c r="HE5" t="e">
        <f>AND(#REF!,"AAAAAD37/dQ=")</f>
        <v>#REF!</v>
      </c>
      <c r="HF5" t="e">
        <f>AND(#REF!,"AAAAAD37/dU=")</f>
        <v>#REF!</v>
      </c>
      <c r="HG5" t="e">
        <f>AND(#REF!,"AAAAAD37/dY=")</f>
        <v>#REF!</v>
      </c>
      <c r="HH5" t="e">
        <f>AND(#REF!,"AAAAAD37/dc=")</f>
        <v>#REF!</v>
      </c>
      <c r="HI5" t="e">
        <f>AND(#REF!,"AAAAAD37/dg=")</f>
        <v>#REF!</v>
      </c>
      <c r="HJ5" t="e">
        <f>AND(#REF!,"AAAAAD37/dk=")</f>
        <v>#REF!</v>
      </c>
      <c r="HK5" t="e">
        <f>AND(#REF!,"AAAAAD37/do=")</f>
        <v>#REF!</v>
      </c>
      <c r="HL5" t="e">
        <f>AND(#REF!,"AAAAAD37/ds=")</f>
        <v>#REF!</v>
      </c>
      <c r="HM5" t="e">
        <f>AND(#REF!,"AAAAAD37/dw=")</f>
        <v>#REF!</v>
      </c>
      <c r="HN5" t="e">
        <f>AND(#REF!,"AAAAAD37/d0=")</f>
        <v>#REF!</v>
      </c>
      <c r="HO5" t="e">
        <f>AND(#REF!,"AAAAAD37/d4=")</f>
        <v>#REF!</v>
      </c>
      <c r="HP5" t="e">
        <f>AND(#REF!,"AAAAAD37/d8=")</f>
        <v>#REF!</v>
      </c>
      <c r="HQ5" t="e">
        <f>AND(#REF!,"AAAAAD37/eA=")</f>
        <v>#REF!</v>
      </c>
      <c r="HR5" t="e">
        <f>AND(#REF!,"AAAAAD37/eE=")</f>
        <v>#REF!</v>
      </c>
      <c r="HS5" t="e">
        <f>AND(#REF!,"AAAAAD37/eI=")</f>
        <v>#REF!</v>
      </c>
      <c r="HT5" t="e">
        <f>AND(#REF!,"AAAAAD37/eM=")</f>
        <v>#REF!</v>
      </c>
      <c r="HU5" t="e">
        <f>AND(#REF!,"AAAAAD37/eQ=")</f>
        <v>#REF!</v>
      </c>
      <c r="HV5" t="e">
        <f>AND(#REF!,"AAAAAD37/eU=")</f>
        <v>#REF!</v>
      </c>
      <c r="HW5" t="e">
        <f>AND(#REF!,"AAAAAD37/eY=")</f>
        <v>#REF!</v>
      </c>
      <c r="HX5" t="e">
        <f>AND(#REF!,"AAAAAD37/ec=")</f>
        <v>#REF!</v>
      </c>
      <c r="HY5" t="e">
        <f>AND(#REF!,"AAAAAD37/eg=")</f>
        <v>#REF!</v>
      </c>
      <c r="HZ5" t="e">
        <f>AND(#REF!,"AAAAAD37/ek=")</f>
        <v>#REF!</v>
      </c>
      <c r="IA5" t="e">
        <f>AND(#REF!,"AAAAAD37/eo=")</f>
        <v>#REF!</v>
      </c>
      <c r="IB5" t="e">
        <f>AND(#REF!,"AAAAAD37/es=")</f>
        <v>#REF!</v>
      </c>
      <c r="IC5" t="e">
        <f>AND(#REF!,"AAAAAD37/ew=")</f>
        <v>#REF!</v>
      </c>
      <c r="ID5" t="e">
        <f>AND(#REF!,"AAAAAD37/e0=")</f>
        <v>#REF!</v>
      </c>
      <c r="IE5" t="e">
        <f>AND(#REF!,"AAAAAD37/e4=")</f>
        <v>#REF!</v>
      </c>
      <c r="IF5" t="e">
        <f>AND(#REF!,"AAAAAD37/e8=")</f>
        <v>#REF!</v>
      </c>
      <c r="IG5" t="e">
        <f>AND(#REF!,"AAAAAD37/fA=")</f>
        <v>#REF!</v>
      </c>
      <c r="IH5" t="e">
        <f>AND(#REF!,"AAAAAD37/fE=")</f>
        <v>#REF!</v>
      </c>
      <c r="II5" t="e">
        <f>AND(#REF!,"AAAAAD37/fI=")</f>
        <v>#REF!</v>
      </c>
      <c r="IJ5" t="e">
        <f>AND(#REF!,"AAAAAD37/fM=")</f>
        <v>#REF!</v>
      </c>
      <c r="IK5" t="e">
        <f>AND(#REF!,"AAAAAD37/fQ=")</f>
        <v>#REF!</v>
      </c>
      <c r="IL5" t="e">
        <f>AND(#REF!,"AAAAAD37/fU=")</f>
        <v>#REF!</v>
      </c>
      <c r="IM5" t="e">
        <f>AND(#REF!,"AAAAAD37/fY=")</f>
        <v>#REF!</v>
      </c>
      <c r="IN5" t="e">
        <f>AND(#REF!,"AAAAAD37/fc=")</f>
        <v>#REF!</v>
      </c>
      <c r="IO5" t="e">
        <f>AND(#REF!,"AAAAAD37/fg=")</f>
        <v>#REF!</v>
      </c>
      <c r="IP5" t="e">
        <f>AND(#REF!,"AAAAAD37/fk=")</f>
        <v>#REF!</v>
      </c>
      <c r="IQ5" t="e">
        <f>AND(#REF!,"AAAAAD37/fo=")</f>
        <v>#REF!</v>
      </c>
      <c r="IR5" t="e">
        <f>AND(#REF!,"AAAAAD37/fs=")</f>
        <v>#REF!</v>
      </c>
      <c r="IS5" t="e">
        <f>IF(#REF!,"AAAAAD37/fw=",0)</f>
        <v>#REF!</v>
      </c>
      <c r="IT5" t="e">
        <f>AND(#REF!,"AAAAAD37/f0=")</f>
        <v>#REF!</v>
      </c>
      <c r="IU5" t="e">
        <f>AND(#REF!,"AAAAAD37/f4=")</f>
        <v>#REF!</v>
      </c>
      <c r="IV5" t="e">
        <f>AND(#REF!,"AAAAAD37/f8=")</f>
        <v>#REF!</v>
      </c>
    </row>
    <row r="6" spans="1:256" x14ac:dyDescent="0.25">
      <c r="A6" t="e">
        <f>AND(#REF!,"AAAAAGPdfwA=")</f>
        <v>#REF!</v>
      </c>
      <c r="B6" t="e">
        <f>AND(#REF!,"AAAAAGPdfwE=")</f>
        <v>#REF!</v>
      </c>
      <c r="C6" t="e">
        <f>AND(#REF!,"AAAAAGPdfwI=")</f>
        <v>#REF!</v>
      </c>
      <c r="D6" t="e">
        <f>AND(#REF!,"AAAAAGPdfwM=")</f>
        <v>#REF!</v>
      </c>
      <c r="E6" t="e">
        <f>AND(#REF!,"AAAAAGPdfwQ=")</f>
        <v>#REF!</v>
      </c>
      <c r="F6" t="e">
        <f>AND(#REF!,"AAAAAGPdfwU=")</f>
        <v>#REF!</v>
      </c>
      <c r="G6" t="e">
        <f>AND(#REF!,"AAAAAGPdfwY=")</f>
        <v>#REF!</v>
      </c>
      <c r="H6" t="e">
        <f>AND(#REF!,"AAAAAGPdfwc=")</f>
        <v>#REF!</v>
      </c>
      <c r="I6" t="e">
        <f>AND(#REF!,"AAAAAGPdfwg=")</f>
        <v>#REF!</v>
      </c>
      <c r="J6" t="e">
        <f>AND(#REF!,"AAAAAGPdfwk=")</f>
        <v>#REF!</v>
      </c>
      <c r="K6" t="e">
        <f>AND(#REF!,"AAAAAGPdfwo=")</f>
        <v>#REF!</v>
      </c>
      <c r="L6" t="e">
        <f>AND(#REF!,"AAAAAGPdfws=")</f>
        <v>#REF!</v>
      </c>
      <c r="M6" t="e">
        <f>AND(#REF!,"AAAAAGPdfww=")</f>
        <v>#REF!</v>
      </c>
      <c r="N6" t="e">
        <f>AND(#REF!,"AAAAAGPdfw0=")</f>
        <v>#REF!</v>
      </c>
      <c r="O6" t="e">
        <f>AND(#REF!,"AAAAAGPdfw4=")</f>
        <v>#REF!</v>
      </c>
      <c r="P6" t="e">
        <f>AND(#REF!,"AAAAAGPdfw8=")</f>
        <v>#REF!</v>
      </c>
      <c r="Q6" t="e">
        <f>AND(#REF!,"AAAAAGPdfxA=")</f>
        <v>#REF!</v>
      </c>
      <c r="R6" t="e">
        <f>AND(#REF!,"AAAAAGPdfxE=")</f>
        <v>#REF!</v>
      </c>
      <c r="S6" t="e">
        <f>AND(#REF!,"AAAAAGPdfxI=")</f>
        <v>#REF!</v>
      </c>
      <c r="T6" t="e">
        <f>AND(#REF!,"AAAAAGPdfxM=")</f>
        <v>#REF!</v>
      </c>
      <c r="U6" t="e">
        <f>AND(#REF!,"AAAAAGPdfxQ=")</f>
        <v>#REF!</v>
      </c>
      <c r="V6" t="e">
        <f>AND(#REF!,"AAAAAGPdfxU=")</f>
        <v>#REF!</v>
      </c>
      <c r="W6" t="e">
        <f>AND(#REF!,"AAAAAGPdfxY=")</f>
        <v>#REF!</v>
      </c>
      <c r="X6" t="e">
        <f>AND(#REF!,"AAAAAGPdfxc=")</f>
        <v>#REF!</v>
      </c>
      <c r="Y6" t="e">
        <f>AND(#REF!,"AAAAAGPdfxg=")</f>
        <v>#REF!</v>
      </c>
      <c r="Z6" t="e">
        <f>AND(#REF!,"AAAAAGPdfxk=")</f>
        <v>#REF!</v>
      </c>
      <c r="AA6" t="e">
        <f>AND(#REF!,"AAAAAGPdfxo=")</f>
        <v>#REF!</v>
      </c>
      <c r="AB6" t="e">
        <f>AND(#REF!,"AAAAAGPdfxs=")</f>
        <v>#REF!</v>
      </c>
      <c r="AC6" t="e">
        <f>AND(#REF!,"AAAAAGPdfxw=")</f>
        <v>#REF!</v>
      </c>
      <c r="AD6" t="e">
        <f>AND(#REF!,"AAAAAGPdfx0=")</f>
        <v>#REF!</v>
      </c>
      <c r="AE6" t="e">
        <f>AND(#REF!,"AAAAAGPdfx4=")</f>
        <v>#REF!</v>
      </c>
      <c r="AF6" t="e">
        <f>AND(#REF!,"AAAAAGPdfx8=")</f>
        <v>#REF!</v>
      </c>
      <c r="AG6" t="e">
        <f>AND(#REF!,"AAAAAGPdfyA=")</f>
        <v>#REF!</v>
      </c>
      <c r="AH6" t="e">
        <f>AND(#REF!,"AAAAAGPdfyE=")</f>
        <v>#REF!</v>
      </c>
      <c r="AI6" t="e">
        <f>AND(#REF!,"AAAAAGPdfyI=")</f>
        <v>#REF!</v>
      </c>
      <c r="AJ6" t="e">
        <f>AND(#REF!,"AAAAAGPdfyM=")</f>
        <v>#REF!</v>
      </c>
      <c r="AK6" t="e">
        <f>AND(#REF!,"AAAAAGPdfyQ=")</f>
        <v>#REF!</v>
      </c>
      <c r="AL6" t="e">
        <f>AND(#REF!,"AAAAAGPdfyU=")</f>
        <v>#REF!</v>
      </c>
      <c r="AM6" t="e">
        <f>AND(#REF!,"AAAAAGPdfyY=")</f>
        <v>#REF!</v>
      </c>
      <c r="AN6" t="e">
        <f>AND(#REF!,"AAAAAGPdfyc=")</f>
        <v>#REF!</v>
      </c>
      <c r="AO6" t="e">
        <f>IF(#REF!,"AAAAAGPdfyg=",0)</f>
        <v>#REF!</v>
      </c>
      <c r="AP6" t="e">
        <f>AND(#REF!,"AAAAAGPdfyk=")</f>
        <v>#REF!</v>
      </c>
      <c r="AQ6" t="e">
        <f>AND(#REF!,"AAAAAGPdfyo=")</f>
        <v>#REF!</v>
      </c>
      <c r="AR6" t="e">
        <f>AND(#REF!,"AAAAAGPdfys=")</f>
        <v>#REF!</v>
      </c>
      <c r="AS6" t="e">
        <f>AND(#REF!,"AAAAAGPdfyw=")</f>
        <v>#REF!</v>
      </c>
      <c r="AT6" t="e">
        <f>AND(#REF!,"AAAAAGPdfy0=")</f>
        <v>#REF!</v>
      </c>
      <c r="AU6" t="e">
        <f>AND(#REF!,"AAAAAGPdfy4=")</f>
        <v>#REF!</v>
      </c>
      <c r="AV6" t="e">
        <f>AND(#REF!,"AAAAAGPdfy8=")</f>
        <v>#REF!</v>
      </c>
      <c r="AW6" t="e">
        <f>AND(#REF!,"AAAAAGPdfzA=")</f>
        <v>#REF!</v>
      </c>
      <c r="AX6" t="e">
        <f>AND(#REF!,"AAAAAGPdfzE=")</f>
        <v>#REF!</v>
      </c>
      <c r="AY6" t="e">
        <f>AND(#REF!,"AAAAAGPdfzI=")</f>
        <v>#REF!</v>
      </c>
      <c r="AZ6" t="e">
        <f>AND(#REF!,"AAAAAGPdfzM=")</f>
        <v>#REF!</v>
      </c>
      <c r="BA6" t="e">
        <f>AND(#REF!,"AAAAAGPdfzQ=")</f>
        <v>#REF!</v>
      </c>
      <c r="BB6" t="e">
        <f>AND(#REF!,"AAAAAGPdfzU=")</f>
        <v>#REF!</v>
      </c>
      <c r="BC6" t="e">
        <f>AND(#REF!,"AAAAAGPdfzY=")</f>
        <v>#REF!</v>
      </c>
      <c r="BD6" t="e">
        <f>AND(#REF!,"AAAAAGPdfzc=")</f>
        <v>#REF!</v>
      </c>
      <c r="BE6" t="e">
        <f>AND(#REF!,"AAAAAGPdfzg=")</f>
        <v>#REF!</v>
      </c>
      <c r="BF6" t="e">
        <f>AND(#REF!,"AAAAAGPdfzk=")</f>
        <v>#REF!</v>
      </c>
      <c r="BG6" t="e">
        <f>AND(#REF!,"AAAAAGPdfzo=")</f>
        <v>#REF!</v>
      </c>
      <c r="BH6" t="e">
        <f>AND(#REF!,"AAAAAGPdfzs=")</f>
        <v>#REF!</v>
      </c>
      <c r="BI6" t="e">
        <f>AND(#REF!,"AAAAAGPdfzw=")</f>
        <v>#REF!</v>
      </c>
      <c r="BJ6" t="e">
        <f>AND(#REF!,"AAAAAGPdfz0=")</f>
        <v>#REF!</v>
      </c>
      <c r="BK6" t="e">
        <f>AND(#REF!,"AAAAAGPdfz4=")</f>
        <v>#REF!</v>
      </c>
      <c r="BL6" t="e">
        <f>AND(#REF!,"AAAAAGPdfz8=")</f>
        <v>#REF!</v>
      </c>
      <c r="BM6" t="e">
        <f>AND(#REF!,"AAAAAGPdf0A=")</f>
        <v>#REF!</v>
      </c>
      <c r="BN6" t="e">
        <f>AND(#REF!,"AAAAAGPdf0E=")</f>
        <v>#REF!</v>
      </c>
      <c r="BO6" t="e">
        <f>AND(#REF!,"AAAAAGPdf0I=")</f>
        <v>#REF!</v>
      </c>
      <c r="BP6" t="e">
        <f>AND(#REF!,"AAAAAGPdf0M=")</f>
        <v>#REF!</v>
      </c>
      <c r="BQ6" t="e">
        <f>AND(#REF!,"AAAAAGPdf0Q=")</f>
        <v>#REF!</v>
      </c>
      <c r="BR6" t="e">
        <f>AND(#REF!,"AAAAAGPdf0U=")</f>
        <v>#REF!</v>
      </c>
      <c r="BS6" t="e">
        <f>AND(#REF!,"AAAAAGPdf0Y=")</f>
        <v>#REF!</v>
      </c>
      <c r="BT6" t="e">
        <f>AND(#REF!,"AAAAAGPdf0c=")</f>
        <v>#REF!</v>
      </c>
      <c r="BU6" t="e">
        <f>AND(#REF!,"AAAAAGPdf0g=")</f>
        <v>#REF!</v>
      </c>
      <c r="BV6" t="e">
        <f>AND(#REF!,"AAAAAGPdf0k=")</f>
        <v>#REF!</v>
      </c>
      <c r="BW6" t="e">
        <f>AND(#REF!,"AAAAAGPdf0o=")</f>
        <v>#REF!</v>
      </c>
      <c r="BX6" t="e">
        <f>AND(#REF!,"AAAAAGPdf0s=")</f>
        <v>#REF!</v>
      </c>
      <c r="BY6" t="e">
        <f>AND(#REF!,"AAAAAGPdf0w=")</f>
        <v>#REF!</v>
      </c>
      <c r="BZ6" t="e">
        <f>AND(#REF!,"AAAAAGPdf00=")</f>
        <v>#REF!</v>
      </c>
      <c r="CA6" t="e">
        <f>AND(#REF!,"AAAAAGPdf04=")</f>
        <v>#REF!</v>
      </c>
      <c r="CB6" t="e">
        <f>AND(#REF!,"AAAAAGPdf08=")</f>
        <v>#REF!</v>
      </c>
      <c r="CC6" t="e">
        <f>AND(#REF!,"AAAAAGPdf1A=")</f>
        <v>#REF!</v>
      </c>
      <c r="CD6" t="e">
        <f>AND(#REF!,"AAAAAGPdf1E=")</f>
        <v>#REF!</v>
      </c>
      <c r="CE6" t="e">
        <f>AND(#REF!,"AAAAAGPdf1I=")</f>
        <v>#REF!</v>
      </c>
      <c r="CF6" t="e">
        <f>AND(#REF!,"AAAAAGPdf1M=")</f>
        <v>#REF!</v>
      </c>
      <c r="CG6" t="e">
        <f>IF(#REF!,"AAAAAGPdf1Q=",0)</f>
        <v>#REF!</v>
      </c>
      <c r="CH6" t="e">
        <f>AND(#REF!,"AAAAAGPdf1U=")</f>
        <v>#REF!</v>
      </c>
      <c r="CI6" t="e">
        <f>AND(#REF!,"AAAAAGPdf1Y=")</f>
        <v>#REF!</v>
      </c>
      <c r="CJ6" t="e">
        <f>AND(#REF!,"AAAAAGPdf1c=")</f>
        <v>#REF!</v>
      </c>
      <c r="CK6" t="e">
        <f>AND(#REF!,"AAAAAGPdf1g=")</f>
        <v>#REF!</v>
      </c>
      <c r="CL6" t="e">
        <f>AND(#REF!,"AAAAAGPdf1k=")</f>
        <v>#REF!</v>
      </c>
      <c r="CM6" t="e">
        <f>AND(#REF!,"AAAAAGPdf1o=")</f>
        <v>#REF!</v>
      </c>
      <c r="CN6" t="e">
        <f>AND(#REF!,"AAAAAGPdf1s=")</f>
        <v>#REF!</v>
      </c>
      <c r="CO6" t="e">
        <f>AND(#REF!,"AAAAAGPdf1w=")</f>
        <v>#REF!</v>
      </c>
      <c r="CP6" t="e">
        <f>AND(#REF!,"AAAAAGPdf10=")</f>
        <v>#REF!</v>
      </c>
      <c r="CQ6" t="e">
        <f>AND(#REF!,"AAAAAGPdf14=")</f>
        <v>#REF!</v>
      </c>
      <c r="CR6" t="e">
        <f>AND(#REF!,"AAAAAGPdf18=")</f>
        <v>#REF!</v>
      </c>
      <c r="CS6" t="e">
        <f>AND(#REF!,"AAAAAGPdf2A=")</f>
        <v>#REF!</v>
      </c>
      <c r="CT6" t="e">
        <f>AND(#REF!,"AAAAAGPdf2E=")</f>
        <v>#REF!</v>
      </c>
      <c r="CU6" t="e">
        <f>AND(#REF!,"AAAAAGPdf2I=")</f>
        <v>#REF!</v>
      </c>
      <c r="CV6" t="e">
        <f>AND(#REF!,"AAAAAGPdf2M=")</f>
        <v>#REF!</v>
      </c>
      <c r="CW6" t="e">
        <f>AND(#REF!,"AAAAAGPdf2Q=")</f>
        <v>#REF!</v>
      </c>
      <c r="CX6" t="e">
        <f>AND(#REF!,"AAAAAGPdf2U=")</f>
        <v>#REF!</v>
      </c>
      <c r="CY6" t="e">
        <f>AND(#REF!,"AAAAAGPdf2Y=")</f>
        <v>#REF!</v>
      </c>
      <c r="CZ6" t="e">
        <f>AND(#REF!,"AAAAAGPdf2c=")</f>
        <v>#REF!</v>
      </c>
      <c r="DA6" t="e">
        <f>AND(#REF!,"AAAAAGPdf2g=")</f>
        <v>#REF!</v>
      </c>
      <c r="DB6" t="e">
        <f>AND(#REF!,"AAAAAGPdf2k=")</f>
        <v>#REF!</v>
      </c>
      <c r="DC6" t="e">
        <f>AND(#REF!,"AAAAAGPdf2o=")</f>
        <v>#REF!</v>
      </c>
      <c r="DD6" t="e">
        <f>AND(#REF!,"AAAAAGPdf2s=")</f>
        <v>#REF!</v>
      </c>
      <c r="DE6" t="e">
        <f>AND(#REF!,"AAAAAGPdf2w=")</f>
        <v>#REF!</v>
      </c>
      <c r="DF6" t="e">
        <f>AND(#REF!,"AAAAAGPdf20=")</f>
        <v>#REF!</v>
      </c>
      <c r="DG6" t="e">
        <f>AND(#REF!,"AAAAAGPdf24=")</f>
        <v>#REF!</v>
      </c>
      <c r="DH6" t="e">
        <f>AND(#REF!,"AAAAAGPdf28=")</f>
        <v>#REF!</v>
      </c>
      <c r="DI6" t="e">
        <f>AND(#REF!,"AAAAAGPdf3A=")</f>
        <v>#REF!</v>
      </c>
      <c r="DJ6" t="e">
        <f>AND(#REF!,"AAAAAGPdf3E=")</f>
        <v>#REF!</v>
      </c>
      <c r="DK6" t="e">
        <f>AND(#REF!,"AAAAAGPdf3I=")</f>
        <v>#REF!</v>
      </c>
      <c r="DL6" t="e">
        <f>AND(#REF!,"AAAAAGPdf3M=")</f>
        <v>#REF!</v>
      </c>
      <c r="DM6" t="e">
        <f>AND(#REF!,"AAAAAGPdf3Q=")</f>
        <v>#REF!</v>
      </c>
      <c r="DN6" t="e">
        <f>AND(#REF!,"AAAAAGPdf3U=")</f>
        <v>#REF!</v>
      </c>
      <c r="DO6" t="e">
        <f>AND(#REF!,"AAAAAGPdf3Y=")</f>
        <v>#REF!</v>
      </c>
      <c r="DP6" t="e">
        <f>AND(#REF!,"AAAAAGPdf3c=")</f>
        <v>#REF!</v>
      </c>
      <c r="DQ6" t="e">
        <f>AND(#REF!,"AAAAAGPdf3g=")</f>
        <v>#REF!</v>
      </c>
      <c r="DR6" t="e">
        <f>AND(#REF!,"AAAAAGPdf3k=")</f>
        <v>#REF!</v>
      </c>
      <c r="DS6" t="e">
        <f>AND(#REF!,"AAAAAGPdf3o=")</f>
        <v>#REF!</v>
      </c>
      <c r="DT6" t="e">
        <f>AND(#REF!,"AAAAAGPdf3s=")</f>
        <v>#REF!</v>
      </c>
      <c r="DU6" t="e">
        <f>AND(#REF!,"AAAAAGPdf3w=")</f>
        <v>#REF!</v>
      </c>
      <c r="DV6" t="e">
        <f>AND(#REF!,"AAAAAGPdf30=")</f>
        <v>#REF!</v>
      </c>
      <c r="DW6" t="e">
        <f>AND(#REF!,"AAAAAGPdf34=")</f>
        <v>#REF!</v>
      </c>
      <c r="DX6" t="e">
        <f>AND(#REF!,"AAAAAGPdf38=")</f>
        <v>#REF!</v>
      </c>
      <c r="DY6" t="e">
        <f>IF(#REF!,"AAAAAGPdf4A=",0)</f>
        <v>#REF!</v>
      </c>
      <c r="DZ6" t="e">
        <f>AND(#REF!,"AAAAAGPdf4E=")</f>
        <v>#REF!</v>
      </c>
      <c r="EA6" t="e">
        <f>AND(#REF!,"AAAAAGPdf4I=")</f>
        <v>#REF!</v>
      </c>
      <c r="EB6" t="e">
        <f>AND(#REF!,"AAAAAGPdf4M=")</f>
        <v>#REF!</v>
      </c>
      <c r="EC6" t="e">
        <f>AND(#REF!,"AAAAAGPdf4Q=")</f>
        <v>#REF!</v>
      </c>
      <c r="ED6" t="e">
        <f>AND(#REF!,"AAAAAGPdf4U=")</f>
        <v>#REF!</v>
      </c>
      <c r="EE6" t="e">
        <f>AND(#REF!,"AAAAAGPdf4Y=")</f>
        <v>#REF!</v>
      </c>
      <c r="EF6" t="e">
        <f>AND(#REF!,"AAAAAGPdf4c=")</f>
        <v>#REF!</v>
      </c>
      <c r="EG6" t="e">
        <f>AND(#REF!,"AAAAAGPdf4g=")</f>
        <v>#REF!</v>
      </c>
      <c r="EH6" t="e">
        <f>AND(#REF!,"AAAAAGPdf4k=")</f>
        <v>#REF!</v>
      </c>
      <c r="EI6" t="e">
        <f>AND(#REF!,"AAAAAGPdf4o=")</f>
        <v>#REF!</v>
      </c>
      <c r="EJ6" t="e">
        <f>AND(#REF!,"AAAAAGPdf4s=")</f>
        <v>#REF!</v>
      </c>
      <c r="EK6" t="e">
        <f>AND(#REF!,"AAAAAGPdf4w=")</f>
        <v>#REF!</v>
      </c>
      <c r="EL6" t="e">
        <f>AND(#REF!,"AAAAAGPdf40=")</f>
        <v>#REF!</v>
      </c>
      <c r="EM6" t="e">
        <f>AND(#REF!,"AAAAAGPdf44=")</f>
        <v>#REF!</v>
      </c>
      <c r="EN6" t="e">
        <f>AND(#REF!,"AAAAAGPdf48=")</f>
        <v>#REF!</v>
      </c>
      <c r="EO6" t="e">
        <f>AND(#REF!,"AAAAAGPdf5A=")</f>
        <v>#REF!</v>
      </c>
      <c r="EP6" t="e">
        <f>AND(#REF!,"AAAAAGPdf5E=")</f>
        <v>#REF!</v>
      </c>
      <c r="EQ6" t="e">
        <f>AND(#REF!,"AAAAAGPdf5I=")</f>
        <v>#REF!</v>
      </c>
      <c r="ER6" t="e">
        <f>AND(#REF!,"AAAAAGPdf5M=")</f>
        <v>#REF!</v>
      </c>
      <c r="ES6" t="e">
        <f>AND(#REF!,"AAAAAGPdf5Q=")</f>
        <v>#REF!</v>
      </c>
      <c r="ET6" t="e">
        <f>AND(#REF!,"AAAAAGPdf5U=")</f>
        <v>#REF!</v>
      </c>
      <c r="EU6" t="e">
        <f>AND(#REF!,"AAAAAGPdf5Y=")</f>
        <v>#REF!</v>
      </c>
      <c r="EV6" t="e">
        <f>AND(#REF!,"AAAAAGPdf5c=")</f>
        <v>#REF!</v>
      </c>
      <c r="EW6" t="e">
        <f>AND(#REF!,"AAAAAGPdf5g=")</f>
        <v>#REF!</v>
      </c>
      <c r="EX6" t="e">
        <f>AND(#REF!,"AAAAAGPdf5k=")</f>
        <v>#REF!</v>
      </c>
      <c r="EY6" t="e">
        <f>AND(#REF!,"AAAAAGPdf5o=")</f>
        <v>#REF!</v>
      </c>
      <c r="EZ6" t="e">
        <f>AND(#REF!,"AAAAAGPdf5s=")</f>
        <v>#REF!</v>
      </c>
      <c r="FA6" t="e">
        <f>AND(#REF!,"AAAAAGPdf5w=")</f>
        <v>#REF!</v>
      </c>
      <c r="FB6" t="e">
        <f>AND(#REF!,"AAAAAGPdf50=")</f>
        <v>#REF!</v>
      </c>
      <c r="FC6" t="e">
        <f>AND(#REF!,"AAAAAGPdf54=")</f>
        <v>#REF!</v>
      </c>
      <c r="FD6" t="e">
        <f>AND(#REF!,"AAAAAGPdf58=")</f>
        <v>#REF!</v>
      </c>
      <c r="FE6" t="e">
        <f>AND(#REF!,"AAAAAGPdf6A=")</f>
        <v>#REF!</v>
      </c>
      <c r="FF6" t="e">
        <f>AND(#REF!,"AAAAAGPdf6E=")</f>
        <v>#REF!</v>
      </c>
      <c r="FG6" t="e">
        <f>AND(#REF!,"AAAAAGPdf6I=")</f>
        <v>#REF!</v>
      </c>
      <c r="FH6" t="e">
        <f>AND(#REF!,"AAAAAGPdf6M=")</f>
        <v>#REF!</v>
      </c>
      <c r="FI6" t="e">
        <f>AND(#REF!,"AAAAAGPdf6Q=")</f>
        <v>#REF!</v>
      </c>
      <c r="FJ6" t="e">
        <f>AND(#REF!,"AAAAAGPdf6U=")</f>
        <v>#REF!</v>
      </c>
      <c r="FK6" t="e">
        <f>AND(#REF!,"AAAAAGPdf6Y=")</f>
        <v>#REF!</v>
      </c>
      <c r="FL6" t="e">
        <f>AND(#REF!,"AAAAAGPdf6c=")</f>
        <v>#REF!</v>
      </c>
      <c r="FM6" t="e">
        <f>AND(#REF!,"AAAAAGPdf6g=")</f>
        <v>#REF!</v>
      </c>
      <c r="FN6" t="e">
        <f>AND(#REF!,"AAAAAGPdf6k=")</f>
        <v>#REF!</v>
      </c>
      <c r="FO6" t="e">
        <f>AND(#REF!,"AAAAAGPdf6o=")</f>
        <v>#REF!</v>
      </c>
      <c r="FP6" t="e">
        <f>AND(#REF!,"AAAAAGPdf6s=")</f>
        <v>#REF!</v>
      </c>
      <c r="FQ6" t="e">
        <f>IF(#REF!,"AAAAAGPdf6w=",0)</f>
        <v>#REF!</v>
      </c>
      <c r="FR6" t="e">
        <f>AND(#REF!,"AAAAAGPdf60=")</f>
        <v>#REF!</v>
      </c>
      <c r="FS6" t="e">
        <f>AND(#REF!,"AAAAAGPdf64=")</f>
        <v>#REF!</v>
      </c>
      <c r="FT6" t="e">
        <f>AND(#REF!,"AAAAAGPdf68=")</f>
        <v>#REF!</v>
      </c>
      <c r="FU6" t="e">
        <f>AND(#REF!,"AAAAAGPdf7A=")</f>
        <v>#REF!</v>
      </c>
      <c r="FV6" t="e">
        <f>AND(#REF!,"AAAAAGPdf7E=")</f>
        <v>#REF!</v>
      </c>
      <c r="FW6" t="e">
        <f>AND(#REF!,"AAAAAGPdf7I=")</f>
        <v>#REF!</v>
      </c>
      <c r="FX6" t="e">
        <f>AND(#REF!,"AAAAAGPdf7M=")</f>
        <v>#REF!</v>
      </c>
      <c r="FY6" t="e">
        <f>AND(#REF!,"AAAAAGPdf7Q=")</f>
        <v>#REF!</v>
      </c>
      <c r="FZ6" t="e">
        <f>AND(#REF!,"AAAAAGPdf7U=")</f>
        <v>#REF!</v>
      </c>
      <c r="GA6" t="e">
        <f>AND(#REF!,"AAAAAGPdf7Y=")</f>
        <v>#REF!</v>
      </c>
      <c r="GB6" t="e">
        <f>AND(#REF!,"AAAAAGPdf7c=")</f>
        <v>#REF!</v>
      </c>
      <c r="GC6" t="e">
        <f>AND(#REF!,"AAAAAGPdf7g=")</f>
        <v>#REF!</v>
      </c>
      <c r="GD6" t="e">
        <f>AND(#REF!,"AAAAAGPdf7k=")</f>
        <v>#REF!</v>
      </c>
      <c r="GE6" t="e">
        <f>AND(#REF!,"AAAAAGPdf7o=")</f>
        <v>#REF!</v>
      </c>
      <c r="GF6" t="e">
        <f>AND(#REF!,"AAAAAGPdf7s=")</f>
        <v>#REF!</v>
      </c>
      <c r="GG6" t="e">
        <f>AND(#REF!,"AAAAAGPdf7w=")</f>
        <v>#REF!</v>
      </c>
      <c r="GH6" t="e">
        <f>AND(#REF!,"AAAAAGPdf70=")</f>
        <v>#REF!</v>
      </c>
      <c r="GI6" t="e">
        <f>AND(#REF!,"AAAAAGPdf74=")</f>
        <v>#REF!</v>
      </c>
      <c r="GJ6" t="e">
        <f>AND(#REF!,"AAAAAGPdf78=")</f>
        <v>#REF!</v>
      </c>
      <c r="GK6" t="e">
        <f>AND(#REF!,"AAAAAGPdf8A=")</f>
        <v>#REF!</v>
      </c>
      <c r="GL6" t="e">
        <f>AND(#REF!,"AAAAAGPdf8E=")</f>
        <v>#REF!</v>
      </c>
      <c r="GM6" t="e">
        <f>AND(#REF!,"AAAAAGPdf8I=")</f>
        <v>#REF!</v>
      </c>
      <c r="GN6" t="e">
        <f>AND(#REF!,"AAAAAGPdf8M=")</f>
        <v>#REF!</v>
      </c>
      <c r="GO6" t="e">
        <f>AND(#REF!,"AAAAAGPdf8Q=")</f>
        <v>#REF!</v>
      </c>
      <c r="GP6" t="e">
        <f>AND(#REF!,"AAAAAGPdf8U=")</f>
        <v>#REF!</v>
      </c>
      <c r="GQ6" t="e">
        <f>AND(#REF!,"AAAAAGPdf8Y=")</f>
        <v>#REF!</v>
      </c>
      <c r="GR6" t="e">
        <f>AND(#REF!,"AAAAAGPdf8c=")</f>
        <v>#REF!</v>
      </c>
      <c r="GS6" t="e">
        <f>AND(#REF!,"AAAAAGPdf8g=")</f>
        <v>#REF!</v>
      </c>
      <c r="GT6" t="e">
        <f>AND(#REF!,"AAAAAGPdf8k=")</f>
        <v>#REF!</v>
      </c>
      <c r="GU6" t="e">
        <f>AND(#REF!,"AAAAAGPdf8o=")</f>
        <v>#REF!</v>
      </c>
      <c r="GV6" t="e">
        <f>AND(#REF!,"AAAAAGPdf8s=")</f>
        <v>#REF!</v>
      </c>
      <c r="GW6" t="e">
        <f>AND(#REF!,"AAAAAGPdf8w=")</f>
        <v>#REF!</v>
      </c>
      <c r="GX6" t="e">
        <f>AND(#REF!,"AAAAAGPdf80=")</f>
        <v>#REF!</v>
      </c>
      <c r="GY6" t="e">
        <f>AND(#REF!,"AAAAAGPdf84=")</f>
        <v>#REF!</v>
      </c>
      <c r="GZ6" t="e">
        <f>AND(#REF!,"AAAAAGPdf88=")</f>
        <v>#REF!</v>
      </c>
      <c r="HA6" t="e">
        <f>AND(#REF!,"AAAAAGPdf9A=")</f>
        <v>#REF!</v>
      </c>
      <c r="HB6" t="e">
        <f>AND(#REF!,"AAAAAGPdf9E=")</f>
        <v>#REF!</v>
      </c>
      <c r="HC6" t="e">
        <f>AND(#REF!,"AAAAAGPdf9I=")</f>
        <v>#REF!</v>
      </c>
      <c r="HD6" t="e">
        <f>AND(#REF!,"AAAAAGPdf9M=")</f>
        <v>#REF!</v>
      </c>
      <c r="HE6" t="e">
        <f>AND(#REF!,"AAAAAGPdf9Q=")</f>
        <v>#REF!</v>
      </c>
      <c r="HF6" t="e">
        <f>AND(#REF!,"AAAAAGPdf9U=")</f>
        <v>#REF!</v>
      </c>
      <c r="HG6" t="e">
        <f>AND(#REF!,"AAAAAGPdf9Y=")</f>
        <v>#REF!</v>
      </c>
      <c r="HH6" t="e">
        <f>AND(#REF!,"AAAAAGPdf9c=")</f>
        <v>#REF!</v>
      </c>
      <c r="HI6" t="e">
        <f>IF(#REF!,"AAAAAGPdf9g=",0)</f>
        <v>#REF!</v>
      </c>
      <c r="HJ6" t="e">
        <f>AND(#REF!,"AAAAAGPdf9k=")</f>
        <v>#REF!</v>
      </c>
      <c r="HK6" t="e">
        <f>AND(#REF!,"AAAAAGPdf9o=")</f>
        <v>#REF!</v>
      </c>
      <c r="HL6" t="e">
        <f>AND(#REF!,"AAAAAGPdf9s=")</f>
        <v>#REF!</v>
      </c>
      <c r="HM6" t="e">
        <f>AND(#REF!,"AAAAAGPdf9w=")</f>
        <v>#REF!</v>
      </c>
      <c r="HN6" t="e">
        <f>AND(#REF!,"AAAAAGPdf90=")</f>
        <v>#REF!</v>
      </c>
      <c r="HO6" t="e">
        <f>AND(#REF!,"AAAAAGPdf94=")</f>
        <v>#REF!</v>
      </c>
      <c r="HP6" t="e">
        <f>AND(#REF!,"AAAAAGPdf98=")</f>
        <v>#REF!</v>
      </c>
      <c r="HQ6" t="e">
        <f>AND(#REF!,"AAAAAGPdf+A=")</f>
        <v>#REF!</v>
      </c>
      <c r="HR6" t="e">
        <f>AND(#REF!,"AAAAAGPdf+E=")</f>
        <v>#REF!</v>
      </c>
      <c r="HS6" t="e">
        <f>AND(#REF!,"AAAAAGPdf+I=")</f>
        <v>#REF!</v>
      </c>
      <c r="HT6" t="e">
        <f>AND(#REF!,"AAAAAGPdf+M=")</f>
        <v>#REF!</v>
      </c>
      <c r="HU6" t="e">
        <f>AND(#REF!,"AAAAAGPdf+Q=")</f>
        <v>#REF!</v>
      </c>
      <c r="HV6" t="e">
        <f>AND(#REF!,"AAAAAGPdf+U=")</f>
        <v>#REF!</v>
      </c>
      <c r="HW6" t="e">
        <f>AND(#REF!,"AAAAAGPdf+Y=")</f>
        <v>#REF!</v>
      </c>
      <c r="HX6" t="e">
        <f>AND(#REF!,"AAAAAGPdf+c=")</f>
        <v>#REF!</v>
      </c>
      <c r="HY6" t="e">
        <f>AND(#REF!,"AAAAAGPdf+g=")</f>
        <v>#REF!</v>
      </c>
      <c r="HZ6" t="e">
        <f>AND(#REF!,"AAAAAGPdf+k=")</f>
        <v>#REF!</v>
      </c>
      <c r="IA6" t="e">
        <f>AND(#REF!,"AAAAAGPdf+o=")</f>
        <v>#REF!</v>
      </c>
      <c r="IB6" t="e">
        <f>AND(#REF!,"AAAAAGPdf+s=")</f>
        <v>#REF!</v>
      </c>
      <c r="IC6" t="e">
        <f>AND(#REF!,"AAAAAGPdf+w=")</f>
        <v>#REF!</v>
      </c>
      <c r="ID6" t="e">
        <f>AND(#REF!,"AAAAAGPdf+0=")</f>
        <v>#REF!</v>
      </c>
      <c r="IE6" t="e">
        <f>AND(#REF!,"AAAAAGPdf+4=")</f>
        <v>#REF!</v>
      </c>
      <c r="IF6" t="e">
        <f>AND(#REF!,"AAAAAGPdf+8=")</f>
        <v>#REF!</v>
      </c>
      <c r="IG6" t="e">
        <f>AND(#REF!,"AAAAAGPdf/A=")</f>
        <v>#REF!</v>
      </c>
      <c r="IH6" t="e">
        <f>AND(#REF!,"AAAAAGPdf/E=")</f>
        <v>#REF!</v>
      </c>
      <c r="II6" t="e">
        <f>AND(#REF!,"AAAAAGPdf/I=")</f>
        <v>#REF!</v>
      </c>
      <c r="IJ6" t="e">
        <f>AND(#REF!,"AAAAAGPdf/M=")</f>
        <v>#REF!</v>
      </c>
      <c r="IK6" t="e">
        <f>AND(#REF!,"AAAAAGPdf/Q=")</f>
        <v>#REF!</v>
      </c>
      <c r="IL6" t="e">
        <f>AND(#REF!,"AAAAAGPdf/U=")</f>
        <v>#REF!</v>
      </c>
      <c r="IM6" t="e">
        <f>AND(#REF!,"AAAAAGPdf/Y=")</f>
        <v>#REF!</v>
      </c>
      <c r="IN6" t="e">
        <f>AND(#REF!,"AAAAAGPdf/c=")</f>
        <v>#REF!</v>
      </c>
      <c r="IO6" t="e">
        <f>AND(#REF!,"AAAAAGPdf/g=")</f>
        <v>#REF!</v>
      </c>
      <c r="IP6" t="e">
        <f>AND(#REF!,"AAAAAGPdf/k=")</f>
        <v>#REF!</v>
      </c>
      <c r="IQ6" t="e">
        <f>AND(#REF!,"AAAAAGPdf/o=")</f>
        <v>#REF!</v>
      </c>
      <c r="IR6" t="e">
        <f>AND(#REF!,"AAAAAGPdf/s=")</f>
        <v>#REF!</v>
      </c>
      <c r="IS6" t="e">
        <f>AND(#REF!,"AAAAAGPdf/w=")</f>
        <v>#REF!</v>
      </c>
      <c r="IT6" t="e">
        <f>AND(#REF!,"AAAAAGPdf/0=")</f>
        <v>#REF!</v>
      </c>
      <c r="IU6" t="e">
        <f>AND(#REF!,"AAAAAGPdf/4=")</f>
        <v>#REF!</v>
      </c>
      <c r="IV6" t="e">
        <f>AND(#REF!,"AAAAAGPdf/8=")</f>
        <v>#REF!</v>
      </c>
    </row>
    <row r="7" spans="1:256" x14ac:dyDescent="0.25">
      <c r="A7" t="e">
        <f>AND(#REF!,"AAAAADvZqwA=")</f>
        <v>#REF!</v>
      </c>
      <c r="B7" t="e">
        <f>AND(#REF!,"AAAAADvZqwE=")</f>
        <v>#REF!</v>
      </c>
      <c r="C7" t="e">
        <f>AND(#REF!,"AAAAADvZqwI=")</f>
        <v>#REF!</v>
      </c>
      <c r="D7" t="e">
        <f>AND(#REF!,"AAAAADvZqwM=")</f>
        <v>#REF!</v>
      </c>
      <c r="E7" t="e">
        <f>IF(#REF!,"AAAAADvZqwQ=",0)</f>
        <v>#REF!</v>
      </c>
      <c r="F7" t="e">
        <f>AND(#REF!,"AAAAADvZqwU=")</f>
        <v>#REF!</v>
      </c>
      <c r="G7" t="e">
        <f>AND(#REF!,"AAAAADvZqwY=")</f>
        <v>#REF!</v>
      </c>
      <c r="H7" t="e">
        <f>AND(#REF!,"AAAAADvZqwc=")</f>
        <v>#REF!</v>
      </c>
      <c r="I7" t="e">
        <f>AND(#REF!,"AAAAADvZqwg=")</f>
        <v>#REF!</v>
      </c>
      <c r="J7" t="e">
        <f>AND(#REF!,"AAAAADvZqwk=")</f>
        <v>#REF!</v>
      </c>
      <c r="K7" t="e">
        <f>AND(#REF!,"AAAAADvZqwo=")</f>
        <v>#REF!</v>
      </c>
      <c r="L7" t="e">
        <f>AND(#REF!,"AAAAADvZqws=")</f>
        <v>#REF!</v>
      </c>
      <c r="M7" t="e">
        <f>AND(#REF!,"AAAAADvZqww=")</f>
        <v>#REF!</v>
      </c>
      <c r="N7" t="e">
        <f>AND(#REF!,"AAAAADvZqw0=")</f>
        <v>#REF!</v>
      </c>
      <c r="O7" t="e">
        <f>AND(#REF!,"AAAAADvZqw4=")</f>
        <v>#REF!</v>
      </c>
      <c r="P7" t="e">
        <f>AND(#REF!,"AAAAADvZqw8=")</f>
        <v>#REF!</v>
      </c>
      <c r="Q7" t="e">
        <f>AND(#REF!,"AAAAADvZqxA=")</f>
        <v>#REF!</v>
      </c>
      <c r="R7" t="e">
        <f>AND(#REF!,"AAAAADvZqxE=")</f>
        <v>#REF!</v>
      </c>
      <c r="S7" t="e">
        <f>AND(#REF!,"AAAAADvZqxI=")</f>
        <v>#REF!</v>
      </c>
      <c r="T7" t="e">
        <f>AND(#REF!,"AAAAADvZqxM=")</f>
        <v>#REF!</v>
      </c>
      <c r="U7" t="e">
        <f>AND(#REF!,"AAAAADvZqxQ=")</f>
        <v>#REF!</v>
      </c>
      <c r="V7" t="e">
        <f>AND(#REF!,"AAAAADvZqxU=")</f>
        <v>#REF!</v>
      </c>
      <c r="W7" t="e">
        <f>AND(#REF!,"AAAAADvZqxY=")</f>
        <v>#REF!</v>
      </c>
      <c r="X7" t="e">
        <f>AND(#REF!,"AAAAADvZqxc=")</f>
        <v>#REF!</v>
      </c>
      <c r="Y7" t="e">
        <f>AND(#REF!,"AAAAADvZqxg=")</f>
        <v>#REF!</v>
      </c>
      <c r="Z7" t="e">
        <f>AND(#REF!,"AAAAADvZqxk=")</f>
        <v>#REF!</v>
      </c>
      <c r="AA7" t="e">
        <f>AND(#REF!,"AAAAADvZqxo=")</f>
        <v>#REF!</v>
      </c>
      <c r="AB7" t="e">
        <f>AND(#REF!,"AAAAADvZqxs=")</f>
        <v>#REF!</v>
      </c>
      <c r="AC7" t="e">
        <f>AND(#REF!,"AAAAADvZqxw=")</f>
        <v>#REF!</v>
      </c>
      <c r="AD7" t="e">
        <f>AND(#REF!,"AAAAADvZqx0=")</f>
        <v>#REF!</v>
      </c>
      <c r="AE7" t="e">
        <f>AND(#REF!,"AAAAADvZqx4=")</f>
        <v>#REF!</v>
      </c>
      <c r="AF7" t="e">
        <f>AND(#REF!,"AAAAADvZqx8=")</f>
        <v>#REF!</v>
      </c>
      <c r="AG7" t="e">
        <f>AND(#REF!,"AAAAADvZqyA=")</f>
        <v>#REF!</v>
      </c>
      <c r="AH7" t="e">
        <f>AND(#REF!,"AAAAADvZqyE=")</f>
        <v>#REF!</v>
      </c>
      <c r="AI7" t="e">
        <f>AND(#REF!,"AAAAADvZqyI=")</f>
        <v>#REF!</v>
      </c>
      <c r="AJ7" t="e">
        <f>AND(#REF!,"AAAAADvZqyM=")</f>
        <v>#REF!</v>
      </c>
      <c r="AK7" t="e">
        <f>AND(#REF!,"AAAAADvZqyQ=")</f>
        <v>#REF!</v>
      </c>
      <c r="AL7" t="e">
        <f>AND(#REF!,"AAAAADvZqyU=")</f>
        <v>#REF!</v>
      </c>
      <c r="AM7" t="e">
        <f>AND(#REF!,"AAAAADvZqyY=")</f>
        <v>#REF!</v>
      </c>
      <c r="AN7" t="e">
        <f>AND(#REF!,"AAAAADvZqyc=")</f>
        <v>#REF!</v>
      </c>
      <c r="AO7" t="e">
        <f>AND(#REF!,"AAAAADvZqyg=")</f>
        <v>#REF!</v>
      </c>
      <c r="AP7" t="e">
        <f>AND(#REF!,"AAAAADvZqyk=")</f>
        <v>#REF!</v>
      </c>
      <c r="AQ7" t="e">
        <f>AND(#REF!,"AAAAADvZqyo=")</f>
        <v>#REF!</v>
      </c>
      <c r="AR7" t="e">
        <f>AND(#REF!,"AAAAADvZqys=")</f>
        <v>#REF!</v>
      </c>
      <c r="AS7" t="e">
        <f>AND(#REF!,"AAAAADvZqyw=")</f>
        <v>#REF!</v>
      </c>
      <c r="AT7" t="e">
        <f>AND(#REF!,"AAAAADvZqy0=")</f>
        <v>#REF!</v>
      </c>
      <c r="AU7" t="e">
        <f>AND(#REF!,"AAAAADvZqy4=")</f>
        <v>#REF!</v>
      </c>
      <c r="AV7" t="e">
        <f>AND(#REF!,"AAAAADvZqy8=")</f>
        <v>#REF!</v>
      </c>
      <c r="AW7" t="e">
        <f>IF(#REF!,"AAAAADvZqzA=",0)</f>
        <v>#REF!</v>
      </c>
      <c r="AX7" t="e">
        <f>AND(#REF!,"AAAAADvZqzE=")</f>
        <v>#REF!</v>
      </c>
      <c r="AY7" t="e">
        <f>AND(#REF!,"AAAAADvZqzI=")</f>
        <v>#REF!</v>
      </c>
      <c r="AZ7" t="e">
        <f>AND(#REF!,"AAAAADvZqzM=")</f>
        <v>#REF!</v>
      </c>
      <c r="BA7" t="e">
        <f>AND(#REF!,"AAAAADvZqzQ=")</f>
        <v>#REF!</v>
      </c>
      <c r="BB7" t="e">
        <f>AND(#REF!,"AAAAADvZqzU=")</f>
        <v>#REF!</v>
      </c>
      <c r="BC7" t="e">
        <f>AND(#REF!,"AAAAADvZqzY=")</f>
        <v>#REF!</v>
      </c>
      <c r="BD7" t="e">
        <f>AND(#REF!,"AAAAADvZqzc=")</f>
        <v>#REF!</v>
      </c>
      <c r="BE7" t="e">
        <f>AND(#REF!,"AAAAADvZqzg=")</f>
        <v>#REF!</v>
      </c>
      <c r="BF7" t="e">
        <f>AND(#REF!,"AAAAADvZqzk=")</f>
        <v>#REF!</v>
      </c>
      <c r="BG7" t="e">
        <f>AND(#REF!,"AAAAADvZqzo=")</f>
        <v>#REF!</v>
      </c>
      <c r="BH7" t="e">
        <f>AND(#REF!,"AAAAADvZqzs=")</f>
        <v>#REF!</v>
      </c>
      <c r="BI7" t="e">
        <f>AND(#REF!,"AAAAADvZqzw=")</f>
        <v>#REF!</v>
      </c>
      <c r="BJ7" t="e">
        <f>AND(#REF!,"AAAAADvZqz0=")</f>
        <v>#REF!</v>
      </c>
      <c r="BK7" t="e">
        <f>AND(#REF!,"AAAAADvZqz4=")</f>
        <v>#REF!</v>
      </c>
      <c r="BL7" t="e">
        <f>AND(#REF!,"AAAAADvZqz8=")</f>
        <v>#REF!</v>
      </c>
      <c r="BM7" t="e">
        <f>AND(#REF!,"AAAAADvZq0A=")</f>
        <v>#REF!</v>
      </c>
      <c r="BN7" t="e">
        <f>AND(#REF!,"AAAAADvZq0E=")</f>
        <v>#REF!</v>
      </c>
      <c r="BO7" t="e">
        <f>AND(#REF!,"AAAAADvZq0I=")</f>
        <v>#REF!</v>
      </c>
      <c r="BP7" t="e">
        <f>AND(#REF!,"AAAAADvZq0M=")</f>
        <v>#REF!</v>
      </c>
      <c r="BQ7" t="e">
        <f>AND(#REF!,"AAAAADvZq0Q=")</f>
        <v>#REF!</v>
      </c>
      <c r="BR7" t="e">
        <f>AND(#REF!,"AAAAADvZq0U=")</f>
        <v>#REF!</v>
      </c>
      <c r="BS7" t="e">
        <f>AND(#REF!,"AAAAADvZq0Y=")</f>
        <v>#REF!</v>
      </c>
      <c r="BT7" t="e">
        <f>AND(#REF!,"AAAAADvZq0c=")</f>
        <v>#REF!</v>
      </c>
      <c r="BU7" t="e">
        <f>AND(#REF!,"AAAAADvZq0g=")</f>
        <v>#REF!</v>
      </c>
      <c r="BV7" t="e">
        <f>AND(#REF!,"AAAAADvZq0k=")</f>
        <v>#REF!</v>
      </c>
      <c r="BW7" t="e">
        <f>AND(#REF!,"AAAAADvZq0o=")</f>
        <v>#REF!</v>
      </c>
      <c r="BX7" t="e">
        <f>AND(#REF!,"AAAAADvZq0s=")</f>
        <v>#REF!</v>
      </c>
      <c r="BY7" t="e">
        <f>AND(#REF!,"AAAAADvZq0w=")</f>
        <v>#REF!</v>
      </c>
      <c r="BZ7" t="e">
        <f>AND(#REF!,"AAAAADvZq00=")</f>
        <v>#REF!</v>
      </c>
      <c r="CA7" t="e">
        <f>AND(#REF!,"AAAAADvZq04=")</f>
        <v>#REF!</v>
      </c>
      <c r="CB7" t="e">
        <f>AND(#REF!,"AAAAADvZq08=")</f>
        <v>#REF!</v>
      </c>
      <c r="CC7" t="e">
        <f>AND(#REF!,"AAAAADvZq1A=")</f>
        <v>#REF!</v>
      </c>
      <c r="CD7" t="e">
        <f>AND(#REF!,"AAAAADvZq1E=")</f>
        <v>#REF!</v>
      </c>
      <c r="CE7" t="e">
        <f>AND(#REF!,"AAAAADvZq1I=")</f>
        <v>#REF!</v>
      </c>
      <c r="CF7" t="e">
        <f>AND(#REF!,"AAAAADvZq1M=")</f>
        <v>#REF!</v>
      </c>
      <c r="CG7" t="e">
        <f>AND(#REF!,"AAAAADvZq1Q=")</f>
        <v>#REF!</v>
      </c>
      <c r="CH7" t="e">
        <f>AND(#REF!,"AAAAADvZq1U=")</f>
        <v>#REF!</v>
      </c>
      <c r="CI7" t="e">
        <f>AND(#REF!,"AAAAADvZq1Y=")</f>
        <v>#REF!</v>
      </c>
      <c r="CJ7" t="e">
        <f>AND(#REF!,"AAAAADvZq1c=")</f>
        <v>#REF!</v>
      </c>
      <c r="CK7" t="e">
        <f>AND(#REF!,"AAAAADvZq1g=")</f>
        <v>#REF!</v>
      </c>
      <c r="CL7" t="e">
        <f>AND(#REF!,"AAAAADvZq1k=")</f>
        <v>#REF!</v>
      </c>
      <c r="CM7" t="e">
        <f>AND(#REF!,"AAAAADvZq1o=")</f>
        <v>#REF!</v>
      </c>
      <c r="CN7" t="e">
        <f>AND(#REF!,"AAAAADvZq1s=")</f>
        <v>#REF!</v>
      </c>
      <c r="CO7" t="e">
        <f>IF(#REF!,"AAAAADvZq1w=",0)</f>
        <v>#REF!</v>
      </c>
      <c r="CP7" t="e">
        <f>AND(#REF!,"AAAAADvZq10=")</f>
        <v>#REF!</v>
      </c>
      <c r="CQ7" t="e">
        <f>AND(#REF!,"AAAAADvZq14=")</f>
        <v>#REF!</v>
      </c>
      <c r="CR7" t="e">
        <f>AND(#REF!,"AAAAADvZq18=")</f>
        <v>#REF!</v>
      </c>
      <c r="CS7" t="e">
        <f>AND(#REF!,"AAAAADvZq2A=")</f>
        <v>#REF!</v>
      </c>
      <c r="CT7" t="e">
        <f>AND(#REF!,"AAAAADvZq2E=")</f>
        <v>#REF!</v>
      </c>
      <c r="CU7" t="e">
        <f>AND(#REF!,"AAAAADvZq2I=")</f>
        <v>#REF!</v>
      </c>
      <c r="CV7" t="e">
        <f>AND(#REF!,"AAAAADvZq2M=")</f>
        <v>#REF!</v>
      </c>
      <c r="CW7" t="e">
        <f>AND(#REF!,"AAAAADvZq2Q=")</f>
        <v>#REF!</v>
      </c>
      <c r="CX7" t="e">
        <f>AND(#REF!,"AAAAADvZq2U=")</f>
        <v>#REF!</v>
      </c>
      <c r="CY7" t="e">
        <f>AND(#REF!,"AAAAADvZq2Y=")</f>
        <v>#REF!</v>
      </c>
      <c r="CZ7" t="e">
        <f>AND(#REF!,"AAAAADvZq2c=")</f>
        <v>#REF!</v>
      </c>
      <c r="DA7" t="e">
        <f>AND(#REF!,"AAAAADvZq2g=")</f>
        <v>#REF!</v>
      </c>
      <c r="DB7" t="e">
        <f>AND(#REF!,"AAAAADvZq2k=")</f>
        <v>#REF!</v>
      </c>
      <c r="DC7" t="e">
        <f>AND(#REF!,"AAAAADvZq2o=")</f>
        <v>#REF!</v>
      </c>
      <c r="DD7" t="e">
        <f>AND(#REF!,"AAAAADvZq2s=")</f>
        <v>#REF!</v>
      </c>
      <c r="DE7" t="e">
        <f>AND(#REF!,"AAAAADvZq2w=")</f>
        <v>#REF!</v>
      </c>
      <c r="DF7" t="e">
        <f>AND(#REF!,"AAAAADvZq20=")</f>
        <v>#REF!</v>
      </c>
      <c r="DG7" t="e">
        <f>AND(#REF!,"AAAAADvZq24=")</f>
        <v>#REF!</v>
      </c>
      <c r="DH7" t="e">
        <f>AND(#REF!,"AAAAADvZq28=")</f>
        <v>#REF!</v>
      </c>
      <c r="DI7" t="e">
        <f>AND(#REF!,"AAAAADvZq3A=")</f>
        <v>#REF!</v>
      </c>
      <c r="DJ7" t="e">
        <f>AND(#REF!,"AAAAADvZq3E=")</f>
        <v>#REF!</v>
      </c>
      <c r="DK7" t="e">
        <f>AND(#REF!,"AAAAADvZq3I=")</f>
        <v>#REF!</v>
      </c>
      <c r="DL7" t="e">
        <f>AND(#REF!,"AAAAADvZq3M=")</f>
        <v>#REF!</v>
      </c>
      <c r="DM7" t="e">
        <f>AND(#REF!,"AAAAADvZq3Q=")</f>
        <v>#REF!</v>
      </c>
      <c r="DN7" t="e">
        <f>AND(#REF!,"AAAAADvZq3U=")</f>
        <v>#REF!</v>
      </c>
      <c r="DO7" t="e">
        <f>AND(#REF!,"AAAAADvZq3Y=")</f>
        <v>#REF!</v>
      </c>
      <c r="DP7" t="e">
        <f>AND(#REF!,"AAAAADvZq3c=")</f>
        <v>#REF!</v>
      </c>
      <c r="DQ7" t="e">
        <f>AND(#REF!,"AAAAADvZq3g=")</f>
        <v>#REF!</v>
      </c>
      <c r="DR7" t="e">
        <f>AND(#REF!,"AAAAADvZq3k=")</f>
        <v>#REF!</v>
      </c>
      <c r="DS7" t="e">
        <f>AND(#REF!,"AAAAADvZq3o=")</f>
        <v>#REF!</v>
      </c>
      <c r="DT7" t="e">
        <f>AND(#REF!,"AAAAADvZq3s=")</f>
        <v>#REF!</v>
      </c>
      <c r="DU7" t="e">
        <f>AND(#REF!,"AAAAADvZq3w=")</f>
        <v>#REF!</v>
      </c>
      <c r="DV7" t="e">
        <f>AND(#REF!,"AAAAADvZq30=")</f>
        <v>#REF!</v>
      </c>
      <c r="DW7" t="e">
        <f>AND(#REF!,"AAAAADvZq34=")</f>
        <v>#REF!</v>
      </c>
      <c r="DX7" t="e">
        <f>AND(#REF!,"AAAAADvZq38=")</f>
        <v>#REF!</v>
      </c>
      <c r="DY7" t="e">
        <f>AND(#REF!,"AAAAADvZq4A=")</f>
        <v>#REF!</v>
      </c>
      <c r="DZ7" t="e">
        <f>AND(#REF!,"AAAAADvZq4E=")</f>
        <v>#REF!</v>
      </c>
      <c r="EA7" t="e">
        <f>AND(#REF!,"AAAAADvZq4I=")</f>
        <v>#REF!</v>
      </c>
      <c r="EB7" t="e">
        <f>AND(#REF!,"AAAAADvZq4M=")</f>
        <v>#REF!</v>
      </c>
      <c r="EC7" t="e">
        <f>AND(#REF!,"AAAAADvZq4Q=")</f>
        <v>#REF!</v>
      </c>
      <c r="ED7" t="e">
        <f>AND(#REF!,"AAAAADvZq4U=")</f>
        <v>#REF!</v>
      </c>
      <c r="EE7" t="e">
        <f>AND(#REF!,"AAAAADvZq4Y=")</f>
        <v>#REF!</v>
      </c>
      <c r="EF7" t="e">
        <f>AND(#REF!,"AAAAADvZq4c=")</f>
        <v>#REF!</v>
      </c>
      <c r="EG7" t="e">
        <f>IF(#REF!,"AAAAADvZq4g=",0)</f>
        <v>#REF!</v>
      </c>
      <c r="EH7" t="e">
        <f>AND(#REF!,"AAAAADvZq4k=")</f>
        <v>#REF!</v>
      </c>
      <c r="EI7" t="e">
        <f>AND(#REF!,"AAAAADvZq4o=")</f>
        <v>#REF!</v>
      </c>
      <c r="EJ7" t="e">
        <f>AND(#REF!,"AAAAADvZq4s=")</f>
        <v>#REF!</v>
      </c>
      <c r="EK7" t="e">
        <f>AND(#REF!,"AAAAADvZq4w=")</f>
        <v>#REF!</v>
      </c>
      <c r="EL7" t="e">
        <f>AND(#REF!,"AAAAADvZq40=")</f>
        <v>#REF!</v>
      </c>
      <c r="EM7" t="e">
        <f>AND(#REF!,"AAAAADvZq44=")</f>
        <v>#REF!</v>
      </c>
      <c r="EN7" t="e">
        <f>AND(#REF!,"AAAAADvZq48=")</f>
        <v>#REF!</v>
      </c>
      <c r="EO7" t="e">
        <f>AND(#REF!,"AAAAADvZq5A=")</f>
        <v>#REF!</v>
      </c>
      <c r="EP7" t="e">
        <f>AND(#REF!,"AAAAADvZq5E=")</f>
        <v>#REF!</v>
      </c>
      <c r="EQ7" t="e">
        <f>AND(#REF!,"AAAAADvZq5I=")</f>
        <v>#REF!</v>
      </c>
      <c r="ER7" t="e">
        <f>AND(#REF!,"AAAAADvZq5M=")</f>
        <v>#REF!</v>
      </c>
      <c r="ES7" t="e">
        <f>AND(#REF!,"AAAAADvZq5Q=")</f>
        <v>#REF!</v>
      </c>
      <c r="ET7" t="e">
        <f>AND(#REF!,"AAAAADvZq5U=")</f>
        <v>#REF!</v>
      </c>
      <c r="EU7" t="e">
        <f>AND(#REF!,"AAAAADvZq5Y=")</f>
        <v>#REF!</v>
      </c>
      <c r="EV7" t="e">
        <f>AND(#REF!,"AAAAADvZq5c=")</f>
        <v>#REF!</v>
      </c>
      <c r="EW7" t="e">
        <f>AND(#REF!,"AAAAADvZq5g=")</f>
        <v>#REF!</v>
      </c>
      <c r="EX7" t="e">
        <f>AND(#REF!,"AAAAADvZq5k=")</f>
        <v>#REF!</v>
      </c>
      <c r="EY7" t="e">
        <f>AND(#REF!,"AAAAADvZq5o=")</f>
        <v>#REF!</v>
      </c>
      <c r="EZ7" t="e">
        <f>AND(#REF!,"AAAAADvZq5s=")</f>
        <v>#REF!</v>
      </c>
      <c r="FA7" t="e">
        <f>AND(#REF!,"AAAAADvZq5w=")</f>
        <v>#REF!</v>
      </c>
      <c r="FB7" t="e">
        <f>AND(#REF!,"AAAAADvZq50=")</f>
        <v>#REF!</v>
      </c>
      <c r="FC7" t="e">
        <f>AND(#REF!,"AAAAADvZq54=")</f>
        <v>#REF!</v>
      </c>
      <c r="FD7" t="e">
        <f>AND(#REF!,"AAAAADvZq58=")</f>
        <v>#REF!</v>
      </c>
      <c r="FE7" t="e">
        <f>AND(#REF!,"AAAAADvZq6A=")</f>
        <v>#REF!</v>
      </c>
      <c r="FF7" t="e">
        <f>AND(#REF!,"AAAAADvZq6E=")</f>
        <v>#REF!</v>
      </c>
      <c r="FG7" t="e">
        <f>AND(#REF!,"AAAAADvZq6I=")</f>
        <v>#REF!</v>
      </c>
      <c r="FH7" t="e">
        <f>AND(#REF!,"AAAAADvZq6M=")</f>
        <v>#REF!</v>
      </c>
      <c r="FI7" t="e">
        <f>AND(#REF!,"AAAAADvZq6Q=")</f>
        <v>#REF!</v>
      </c>
      <c r="FJ7" t="e">
        <f>AND(#REF!,"AAAAADvZq6U=")</f>
        <v>#REF!</v>
      </c>
      <c r="FK7" t="e">
        <f>AND(#REF!,"AAAAADvZq6Y=")</f>
        <v>#REF!</v>
      </c>
      <c r="FL7" t="e">
        <f>AND(#REF!,"AAAAADvZq6c=")</f>
        <v>#REF!</v>
      </c>
      <c r="FM7" t="e">
        <f>AND(#REF!,"AAAAADvZq6g=")</f>
        <v>#REF!</v>
      </c>
      <c r="FN7" t="e">
        <f>AND(#REF!,"AAAAADvZq6k=")</f>
        <v>#REF!</v>
      </c>
      <c r="FO7" t="e">
        <f>AND(#REF!,"AAAAADvZq6o=")</f>
        <v>#REF!</v>
      </c>
      <c r="FP7" t="e">
        <f>AND(#REF!,"AAAAADvZq6s=")</f>
        <v>#REF!</v>
      </c>
      <c r="FQ7" t="e">
        <f>AND(#REF!,"AAAAADvZq6w=")</f>
        <v>#REF!</v>
      </c>
      <c r="FR7" t="e">
        <f>AND(#REF!,"AAAAADvZq60=")</f>
        <v>#REF!</v>
      </c>
      <c r="FS7" t="e">
        <f>AND(#REF!,"AAAAADvZq64=")</f>
        <v>#REF!</v>
      </c>
      <c r="FT7" t="e">
        <f>AND(#REF!,"AAAAADvZq68=")</f>
        <v>#REF!</v>
      </c>
      <c r="FU7" t="e">
        <f>AND(#REF!,"AAAAADvZq7A=")</f>
        <v>#REF!</v>
      </c>
      <c r="FV7" t="e">
        <f>AND(#REF!,"AAAAADvZq7E=")</f>
        <v>#REF!</v>
      </c>
      <c r="FW7" t="e">
        <f>AND(#REF!,"AAAAADvZq7I=")</f>
        <v>#REF!</v>
      </c>
      <c r="FX7" t="e">
        <f>AND(#REF!,"AAAAADvZq7M=")</f>
        <v>#REF!</v>
      </c>
      <c r="FY7" t="e">
        <f>IF(#REF!,"AAAAADvZq7Q=",0)</f>
        <v>#REF!</v>
      </c>
      <c r="FZ7" t="e">
        <f>AND(#REF!,"AAAAADvZq7U=")</f>
        <v>#REF!</v>
      </c>
      <c r="GA7" t="e">
        <f>AND(#REF!,"AAAAADvZq7Y=")</f>
        <v>#REF!</v>
      </c>
      <c r="GB7" t="e">
        <f>AND(#REF!,"AAAAADvZq7c=")</f>
        <v>#REF!</v>
      </c>
      <c r="GC7" t="e">
        <f>AND(#REF!,"AAAAADvZq7g=")</f>
        <v>#REF!</v>
      </c>
      <c r="GD7" t="e">
        <f>AND(#REF!,"AAAAADvZq7k=")</f>
        <v>#REF!</v>
      </c>
      <c r="GE7" t="e">
        <f>AND(#REF!,"AAAAADvZq7o=")</f>
        <v>#REF!</v>
      </c>
      <c r="GF7" t="e">
        <f>AND(#REF!,"AAAAADvZq7s=")</f>
        <v>#REF!</v>
      </c>
      <c r="GG7" t="e">
        <f>AND(#REF!,"AAAAADvZq7w=")</f>
        <v>#REF!</v>
      </c>
      <c r="GH7" t="e">
        <f>AND(#REF!,"AAAAADvZq70=")</f>
        <v>#REF!</v>
      </c>
      <c r="GI7" t="e">
        <f>AND(#REF!,"AAAAADvZq74=")</f>
        <v>#REF!</v>
      </c>
      <c r="GJ7" t="e">
        <f>AND(#REF!,"AAAAADvZq78=")</f>
        <v>#REF!</v>
      </c>
      <c r="GK7" t="e">
        <f>AND(#REF!,"AAAAADvZq8A=")</f>
        <v>#REF!</v>
      </c>
      <c r="GL7" t="e">
        <f>AND(#REF!,"AAAAADvZq8E=")</f>
        <v>#REF!</v>
      </c>
      <c r="GM7" t="e">
        <f>AND(#REF!,"AAAAADvZq8I=")</f>
        <v>#REF!</v>
      </c>
      <c r="GN7" t="e">
        <f>AND(#REF!,"AAAAADvZq8M=")</f>
        <v>#REF!</v>
      </c>
      <c r="GO7" t="e">
        <f>AND(#REF!,"AAAAADvZq8Q=")</f>
        <v>#REF!</v>
      </c>
      <c r="GP7" t="e">
        <f>AND(#REF!,"AAAAADvZq8U=")</f>
        <v>#REF!</v>
      </c>
      <c r="GQ7" t="e">
        <f>AND(#REF!,"AAAAADvZq8Y=")</f>
        <v>#REF!</v>
      </c>
      <c r="GR7" t="e">
        <f>AND(#REF!,"AAAAADvZq8c=")</f>
        <v>#REF!</v>
      </c>
      <c r="GS7" t="e">
        <f>AND(#REF!,"AAAAADvZq8g=")</f>
        <v>#REF!</v>
      </c>
      <c r="GT7" t="e">
        <f>AND(#REF!,"AAAAADvZq8k=")</f>
        <v>#REF!</v>
      </c>
      <c r="GU7" t="e">
        <f>AND(#REF!,"AAAAADvZq8o=")</f>
        <v>#REF!</v>
      </c>
      <c r="GV7" t="e">
        <f>AND(#REF!,"AAAAADvZq8s=")</f>
        <v>#REF!</v>
      </c>
      <c r="GW7" t="e">
        <f>AND(#REF!,"AAAAADvZq8w=")</f>
        <v>#REF!</v>
      </c>
      <c r="GX7" t="e">
        <f>AND(#REF!,"AAAAADvZq80=")</f>
        <v>#REF!</v>
      </c>
      <c r="GY7" t="e">
        <f>AND(#REF!,"AAAAADvZq84=")</f>
        <v>#REF!</v>
      </c>
      <c r="GZ7" t="e">
        <f>AND(#REF!,"AAAAADvZq88=")</f>
        <v>#REF!</v>
      </c>
      <c r="HA7" t="e">
        <f>AND(#REF!,"AAAAADvZq9A=")</f>
        <v>#REF!</v>
      </c>
      <c r="HB7" t="e">
        <f>AND(#REF!,"AAAAADvZq9E=")</f>
        <v>#REF!</v>
      </c>
      <c r="HC7" t="e">
        <f>AND(#REF!,"AAAAADvZq9I=")</f>
        <v>#REF!</v>
      </c>
      <c r="HD7" t="e">
        <f>AND(#REF!,"AAAAADvZq9M=")</f>
        <v>#REF!</v>
      </c>
      <c r="HE7" t="e">
        <f>AND(#REF!,"AAAAADvZq9Q=")</f>
        <v>#REF!</v>
      </c>
      <c r="HF7" t="e">
        <f>AND(#REF!,"AAAAADvZq9U=")</f>
        <v>#REF!</v>
      </c>
      <c r="HG7" t="e">
        <f>AND(#REF!,"AAAAADvZq9Y=")</f>
        <v>#REF!</v>
      </c>
      <c r="HH7" t="e">
        <f>AND(#REF!,"AAAAADvZq9c=")</f>
        <v>#REF!</v>
      </c>
      <c r="HI7" t="e">
        <f>AND(#REF!,"AAAAADvZq9g=")</f>
        <v>#REF!</v>
      </c>
      <c r="HJ7" t="e">
        <f>AND(#REF!,"AAAAADvZq9k=")</f>
        <v>#REF!</v>
      </c>
      <c r="HK7" t="e">
        <f>AND(#REF!,"AAAAADvZq9o=")</f>
        <v>#REF!</v>
      </c>
      <c r="HL7" t="e">
        <f>AND(#REF!,"AAAAADvZq9s=")</f>
        <v>#REF!</v>
      </c>
      <c r="HM7" t="e">
        <f>AND(#REF!,"AAAAADvZq9w=")</f>
        <v>#REF!</v>
      </c>
      <c r="HN7" t="e">
        <f>AND(#REF!,"AAAAADvZq90=")</f>
        <v>#REF!</v>
      </c>
      <c r="HO7" t="e">
        <f>AND(#REF!,"AAAAADvZq94=")</f>
        <v>#REF!</v>
      </c>
      <c r="HP7" t="e">
        <f>AND(#REF!,"AAAAADvZq98=")</f>
        <v>#REF!</v>
      </c>
      <c r="HQ7" t="e">
        <f>IF(#REF!,"AAAAADvZq+A=",0)</f>
        <v>#REF!</v>
      </c>
      <c r="HR7" t="e">
        <f>AND(#REF!,"AAAAADvZq+E=")</f>
        <v>#REF!</v>
      </c>
      <c r="HS7" t="e">
        <f>AND(#REF!,"AAAAADvZq+I=")</f>
        <v>#REF!</v>
      </c>
      <c r="HT7" t="e">
        <f>AND(#REF!,"AAAAADvZq+M=")</f>
        <v>#REF!</v>
      </c>
      <c r="HU7" t="e">
        <f>AND(#REF!,"AAAAADvZq+Q=")</f>
        <v>#REF!</v>
      </c>
      <c r="HV7" t="e">
        <f>AND(#REF!,"AAAAADvZq+U=")</f>
        <v>#REF!</v>
      </c>
      <c r="HW7" t="e">
        <f>AND(#REF!,"AAAAADvZq+Y=")</f>
        <v>#REF!</v>
      </c>
      <c r="HX7" t="e">
        <f>AND(#REF!,"AAAAADvZq+c=")</f>
        <v>#REF!</v>
      </c>
      <c r="HY7" t="e">
        <f>AND(#REF!,"AAAAADvZq+g=")</f>
        <v>#REF!</v>
      </c>
      <c r="HZ7" t="e">
        <f>AND(#REF!,"AAAAADvZq+k=")</f>
        <v>#REF!</v>
      </c>
      <c r="IA7" t="e">
        <f>AND(#REF!,"AAAAADvZq+o=")</f>
        <v>#REF!</v>
      </c>
      <c r="IB7" t="e">
        <f>AND(#REF!,"AAAAADvZq+s=")</f>
        <v>#REF!</v>
      </c>
      <c r="IC7" t="e">
        <f>AND(#REF!,"AAAAADvZq+w=")</f>
        <v>#REF!</v>
      </c>
      <c r="ID7" t="e">
        <f>AND(#REF!,"AAAAADvZq+0=")</f>
        <v>#REF!</v>
      </c>
      <c r="IE7" t="e">
        <f>AND(#REF!,"AAAAADvZq+4=")</f>
        <v>#REF!</v>
      </c>
      <c r="IF7" t="e">
        <f>AND(#REF!,"AAAAADvZq+8=")</f>
        <v>#REF!</v>
      </c>
      <c r="IG7" t="e">
        <f>AND(#REF!,"AAAAADvZq/A=")</f>
        <v>#REF!</v>
      </c>
      <c r="IH7" t="e">
        <f>AND(#REF!,"AAAAADvZq/E=")</f>
        <v>#REF!</v>
      </c>
      <c r="II7" t="e">
        <f>AND(#REF!,"AAAAADvZq/I=")</f>
        <v>#REF!</v>
      </c>
      <c r="IJ7" t="e">
        <f>AND(#REF!,"AAAAADvZq/M=")</f>
        <v>#REF!</v>
      </c>
      <c r="IK7" t="e">
        <f>AND(#REF!,"AAAAADvZq/Q=")</f>
        <v>#REF!</v>
      </c>
      <c r="IL7" t="e">
        <f>AND(#REF!,"AAAAADvZq/U=")</f>
        <v>#REF!</v>
      </c>
      <c r="IM7" t="e">
        <f>AND(#REF!,"AAAAADvZq/Y=")</f>
        <v>#REF!</v>
      </c>
      <c r="IN7" t="e">
        <f>AND(#REF!,"AAAAADvZq/c=")</f>
        <v>#REF!</v>
      </c>
      <c r="IO7" t="e">
        <f>AND(#REF!,"AAAAADvZq/g=")</f>
        <v>#REF!</v>
      </c>
      <c r="IP7" t="e">
        <f>AND(#REF!,"AAAAADvZq/k=")</f>
        <v>#REF!</v>
      </c>
      <c r="IQ7" t="e">
        <f>AND(#REF!,"AAAAADvZq/o=")</f>
        <v>#REF!</v>
      </c>
      <c r="IR7" t="e">
        <f>AND(#REF!,"AAAAADvZq/s=")</f>
        <v>#REF!</v>
      </c>
      <c r="IS7" t="e">
        <f>AND(#REF!,"AAAAADvZq/w=")</f>
        <v>#REF!</v>
      </c>
      <c r="IT7" t="e">
        <f>AND(#REF!,"AAAAADvZq/0=")</f>
        <v>#REF!</v>
      </c>
      <c r="IU7" t="e">
        <f>AND(#REF!,"AAAAADvZq/4=")</f>
        <v>#REF!</v>
      </c>
      <c r="IV7" t="e">
        <f>AND(#REF!,"AAAAADvZq/8=")</f>
        <v>#REF!</v>
      </c>
    </row>
    <row r="8" spans="1:256" x14ac:dyDescent="0.25">
      <c r="A8" t="e">
        <f>AND(#REF!,"AAAAAH7w1wA=")</f>
        <v>#REF!</v>
      </c>
      <c r="B8" t="e">
        <f>AND(#REF!,"AAAAAH7w1wE=")</f>
        <v>#REF!</v>
      </c>
      <c r="C8" t="e">
        <f>AND(#REF!,"AAAAAH7w1wI=")</f>
        <v>#REF!</v>
      </c>
      <c r="D8" t="e">
        <f>AND(#REF!,"AAAAAH7w1wM=")</f>
        <v>#REF!</v>
      </c>
      <c r="E8" t="e">
        <f>AND(#REF!,"AAAAAH7w1wQ=")</f>
        <v>#REF!</v>
      </c>
      <c r="F8" t="e">
        <f>AND(#REF!,"AAAAAH7w1wU=")</f>
        <v>#REF!</v>
      </c>
      <c r="G8" t="e">
        <f>AND(#REF!,"AAAAAH7w1wY=")</f>
        <v>#REF!</v>
      </c>
      <c r="H8" t="e">
        <f>AND(#REF!,"AAAAAH7w1wc=")</f>
        <v>#REF!</v>
      </c>
      <c r="I8" t="e">
        <f>AND(#REF!,"AAAAAH7w1wg=")</f>
        <v>#REF!</v>
      </c>
      <c r="J8" t="e">
        <f>AND(#REF!,"AAAAAH7w1wk=")</f>
        <v>#REF!</v>
      </c>
      <c r="K8" t="e">
        <f>AND(#REF!,"AAAAAH7w1wo=")</f>
        <v>#REF!</v>
      </c>
      <c r="L8" t="e">
        <f>AND(#REF!,"AAAAAH7w1ws=")</f>
        <v>#REF!</v>
      </c>
      <c r="M8" t="e">
        <f>IF(#REF!,"AAAAAH7w1ww=",0)</f>
        <v>#REF!</v>
      </c>
      <c r="N8" t="e">
        <f>AND(#REF!,"AAAAAH7w1w0=")</f>
        <v>#REF!</v>
      </c>
      <c r="O8" t="e">
        <f>AND(#REF!,"AAAAAH7w1w4=")</f>
        <v>#REF!</v>
      </c>
      <c r="P8" t="e">
        <f>AND(#REF!,"AAAAAH7w1w8=")</f>
        <v>#REF!</v>
      </c>
      <c r="Q8" t="e">
        <f>AND(#REF!,"AAAAAH7w1xA=")</f>
        <v>#REF!</v>
      </c>
      <c r="R8" t="e">
        <f>AND(#REF!,"AAAAAH7w1xE=")</f>
        <v>#REF!</v>
      </c>
      <c r="S8" t="e">
        <f>AND(#REF!,"AAAAAH7w1xI=")</f>
        <v>#REF!</v>
      </c>
      <c r="T8" t="e">
        <f>AND(#REF!,"AAAAAH7w1xM=")</f>
        <v>#REF!</v>
      </c>
      <c r="U8" t="e">
        <f>AND(#REF!,"AAAAAH7w1xQ=")</f>
        <v>#REF!</v>
      </c>
      <c r="V8" t="e">
        <f>AND(#REF!,"AAAAAH7w1xU=")</f>
        <v>#REF!</v>
      </c>
      <c r="W8" t="e">
        <f>AND(#REF!,"AAAAAH7w1xY=")</f>
        <v>#REF!</v>
      </c>
      <c r="X8" t="e">
        <f>AND(#REF!,"AAAAAH7w1xc=")</f>
        <v>#REF!</v>
      </c>
      <c r="Y8" t="e">
        <f>AND(#REF!,"AAAAAH7w1xg=")</f>
        <v>#REF!</v>
      </c>
      <c r="Z8" t="e">
        <f>AND(#REF!,"AAAAAH7w1xk=")</f>
        <v>#REF!</v>
      </c>
      <c r="AA8" t="e">
        <f>AND(#REF!,"AAAAAH7w1xo=")</f>
        <v>#REF!</v>
      </c>
      <c r="AB8" t="e">
        <f>AND(#REF!,"AAAAAH7w1xs=")</f>
        <v>#REF!</v>
      </c>
      <c r="AC8" t="e">
        <f>AND(#REF!,"AAAAAH7w1xw=")</f>
        <v>#REF!</v>
      </c>
      <c r="AD8" t="e">
        <f>AND(#REF!,"AAAAAH7w1x0=")</f>
        <v>#REF!</v>
      </c>
      <c r="AE8" t="e">
        <f>AND(#REF!,"AAAAAH7w1x4=")</f>
        <v>#REF!</v>
      </c>
      <c r="AF8" t="e">
        <f>AND(#REF!,"AAAAAH7w1x8=")</f>
        <v>#REF!</v>
      </c>
      <c r="AG8" t="e">
        <f>AND(#REF!,"AAAAAH7w1yA=")</f>
        <v>#REF!</v>
      </c>
      <c r="AH8" t="e">
        <f>AND(#REF!,"AAAAAH7w1yE=")</f>
        <v>#REF!</v>
      </c>
      <c r="AI8" t="e">
        <f>AND(#REF!,"AAAAAH7w1yI=")</f>
        <v>#REF!</v>
      </c>
      <c r="AJ8" t="e">
        <f>AND(#REF!,"AAAAAH7w1yM=")</f>
        <v>#REF!</v>
      </c>
      <c r="AK8" t="e">
        <f>AND(#REF!,"AAAAAH7w1yQ=")</f>
        <v>#REF!</v>
      </c>
      <c r="AL8" t="e">
        <f>AND(#REF!,"AAAAAH7w1yU=")</f>
        <v>#REF!</v>
      </c>
      <c r="AM8" t="e">
        <f>AND(#REF!,"AAAAAH7w1yY=")</f>
        <v>#REF!</v>
      </c>
      <c r="AN8" t="e">
        <f>AND(#REF!,"AAAAAH7w1yc=")</f>
        <v>#REF!</v>
      </c>
      <c r="AO8" t="e">
        <f>AND(#REF!,"AAAAAH7w1yg=")</f>
        <v>#REF!</v>
      </c>
      <c r="AP8" t="e">
        <f>AND(#REF!,"AAAAAH7w1yk=")</f>
        <v>#REF!</v>
      </c>
      <c r="AQ8" t="e">
        <f>AND(#REF!,"AAAAAH7w1yo=")</f>
        <v>#REF!</v>
      </c>
      <c r="AR8" t="e">
        <f>AND(#REF!,"AAAAAH7w1ys=")</f>
        <v>#REF!</v>
      </c>
      <c r="AS8" t="e">
        <f>AND(#REF!,"AAAAAH7w1yw=")</f>
        <v>#REF!</v>
      </c>
      <c r="AT8" t="e">
        <f>AND(#REF!,"AAAAAH7w1y0=")</f>
        <v>#REF!</v>
      </c>
      <c r="AU8" t="e">
        <f>AND(#REF!,"AAAAAH7w1y4=")</f>
        <v>#REF!</v>
      </c>
      <c r="AV8" t="e">
        <f>AND(#REF!,"AAAAAH7w1y8=")</f>
        <v>#REF!</v>
      </c>
      <c r="AW8" t="e">
        <f>AND(#REF!,"AAAAAH7w1zA=")</f>
        <v>#REF!</v>
      </c>
      <c r="AX8" t="e">
        <f>AND(#REF!,"AAAAAH7w1zE=")</f>
        <v>#REF!</v>
      </c>
      <c r="AY8" t="e">
        <f>AND(#REF!,"AAAAAH7w1zI=")</f>
        <v>#REF!</v>
      </c>
      <c r="AZ8" t="e">
        <f>AND(#REF!,"AAAAAH7w1zM=")</f>
        <v>#REF!</v>
      </c>
      <c r="BA8" t="e">
        <f>AND(#REF!,"AAAAAH7w1zQ=")</f>
        <v>#REF!</v>
      </c>
      <c r="BB8" t="e">
        <f>AND(#REF!,"AAAAAH7w1zU=")</f>
        <v>#REF!</v>
      </c>
      <c r="BC8" t="e">
        <f>AND(#REF!,"AAAAAH7w1zY=")</f>
        <v>#REF!</v>
      </c>
      <c r="BD8" t="e">
        <f>AND(#REF!,"AAAAAH7w1zc=")</f>
        <v>#REF!</v>
      </c>
      <c r="BE8" t="e">
        <f>IF(#REF!,"AAAAAH7w1zg=",0)</f>
        <v>#REF!</v>
      </c>
      <c r="BF8" t="e">
        <f>AND(#REF!,"AAAAAH7w1zk=")</f>
        <v>#REF!</v>
      </c>
      <c r="BG8" t="e">
        <f>AND(#REF!,"AAAAAH7w1zo=")</f>
        <v>#REF!</v>
      </c>
      <c r="BH8" t="e">
        <f>AND(#REF!,"AAAAAH7w1zs=")</f>
        <v>#REF!</v>
      </c>
      <c r="BI8" t="e">
        <f>AND(#REF!,"AAAAAH7w1zw=")</f>
        <v>#REF!</v>
      </c>
      <c r="BJ8" t="e">
        <f>AND(#REF!,"AAAAAH7w1z0=")</f>
        <v>#REF!</v>
      </c>
      <c r="BK8" t="e">
        <f>AND(#REF!,"AAAAAH7w1z4=")</f>
        <v>#REF!</v>
      </c>
      <c r="BL8" t="e">
        <f>AND(#REF!,"AAAAAH7w1z8=")</f>
        <v>#REF!</v>
      </c>
      <c r="BM8" t="e">
        <f>AND(#REF!,"AAAAAH7w10A=")</f>
        <v>#REF!</v>
      </c>
      <c r="BN8" t="e">
        <f>AND(#REF!,"AAAAAH7w10E=")</f>
        <v>#REF!</v>
      </c>
      <c r="BO8" t="e">
        <f>AND(#REF!,"AAAAAH7w10I=")</f>
        <v>#REF!</v>
      </c>
      <c r="BP8" t="e">
        <f>AND(#REF!,"AAAAAH7w10M=")</f>
        <v>#REF!</v>
      </c>
      <c r="BQ8" t="e">
        <f>AND(#REF!,"AAAAAH7w10Q=")</f>
        <v>#REF!</v>
      </c>
      <c r="BR8" t="e">
        <f>AND(#REF!,"AAAAAH7w10U=")</f>
        <v>#REF!</v>
      </c>
      <c r="BS8" t="e">
        <f>AND(#REF!,"AAAAAH7w10Y=")</f>
        <v>#REF!</v>
      </c>
      <c r="BT8" t="e">
        <f>AND(#REF!,"AAAAAH7w10c=")</f>
        <v>#REF!</v>
      </c>
      <c r="BU8" t="e">
        <f>AND(#REF!,"AAAAAH7w10g=")</f>
        <v>#REF!</v>
      </c>
      <c r="BV8" t="e">
        <f>AND(#REF!,"AAAAAH7w10k=")</f>
        <v>#REF!</v>
      </c>
      <c r="BW8" t="e">
        <f>AND(#REF!,"AAAAAH7w10o=")</f>
        <v>#REF!</v>
      </c>
      <c r="BX8" t="e">
        <f>AND(#REF!,"AAAAAH7w10s=")</f>
        <v>#REF!</v>
      </c>
      <c r="BY8" t="e">
        <f>AND(#REF!,"AAAAAH7w10w=")</f>
        <v>#REF!</v>
      </c>
      <c r="BZ8" t="e">
        <f>AND(#REF!,"AAAAAH7w100=")</f>
        <v>#REF!</v>
      </c>
      <c r="CA8" t="e">
        <f>AND(#REF!,"AAAAAH7w104=")</f>
        <v>#REF!</v>
      </c>
      <c r="CB8" t="e">
        <f>AND(#REF!,"AAAAAH7w108=")</f>
        <v>#REF!</v>
      </c>
      <c r="CC8" t="e">
        <f>AND(#REF!,"AAAAAH7w11A=")</f>
        <v>#REF!</v>
      </c>
      <c r="CD8" t="e">
        <f>AND(#REF!,"AAAAAH7w11E=")</f>
        <v>#REF!</v>
      </c>
      <c r="CE8" t="e">
        <f>AND(#REF!,"AAAAAH7w11I=")</f>
        <v>#REF!</v>
      </c>
      <c r="CF8" t="e">
        <f>AND(#REF!,"AAAAAH7w11M=")</f>
        <v>#REF!</v>
      </c>
      <c r="CG8" t="e">
        <f>AND(#REF!,"AAAAAH7w11Q=")</f>
        <v>#REF!</v>
      </c>
      <c r="CH8" t="e">
        <f>AND(#REF!,"AAAAAH7w11U=")</f>
        <v>#REF!</v>
      </c>
      <c r="CI8" t="e">
        <f>AND(#REF!,"AAAAAH7w11Y=")</f>
        <v>#REF!</v>
      </c>
      <c r="CJ8" t="e">
        <f>AND(#REF!,"AAAAAH7w11c=")</f>
        <v>#REF!</v>
      </c>
      <c r="CK8" t="e">
        <f>AND(#REF!,"AAAAAH7w11g=")</f>
        <v>#REF!</v>
      </c>
      <c r="CL8" t="e">
        <f>AND(#REF!,"AAAAAH7w11k=")</f>
        <v>#REF!</v>
      </c>
      <c r="CM8" t="e">
        <f>AND(#REF!,"AAAAAH7w11o=")</f>
        <v>#REF!</v>
      </c>
      <c r="CN8" t="e">
        <f>AND(#REF!,"AAAAAH7w11s=")</f>
        <v>#REF!</v>
      </c>
      <c r="CO8" t="e">
        <f>AND(#REF!,"AAAAAH7w11w=")</f>
        <v>#REF!</v>
      </c>
      <c r="CP8" t="e">
        <f>AND(#REF!,"AAAAAH7w110=")</f>
        <v>#REF!</v>
      </c>
      <c r="CQ8" t="e">
        <f>AND(#REF!,"AAAAAH7w114=")</f>
        <v>#REF!</v>
      </c>
      <c r="CR8" t="e">
        <f>AND(#REF!,"AAAAAH7w118=")</f>
        <v>#REF!</v>
      </c>
      <c r="CS8" t="e">
        <f>AND(#REF!,"AAAAAH7w12A=")</f>
        <v>#REF!</v>
      </c>
      <c r="CT8" t="e">
        <f>AND(#REF!,"AAAAAH7w12E=")</f>
        <v>#REF!</v>
      </c>
      <c r="CU8" t="e">
        <f>AND(#REF!,"AAAAAH7w12I=")</f>
        <v>#REF!</v>
      </c>
      <c r="CV8" t="e">
        <f>AND(#REF!,"AAAAAH7w12M=")</f>
        <v>#REF!</v>
      </c>
      <c r="CW8" t="e">
        <f>IF(#REF!,"AAAAAH7w12Q=",0)</f>
        <v>#REF!</v>
      </c>
      <c r="CX8" t="e">
        <f>AND(#REF!,"AAAAAH7w12U=")</f>
        <v>#REF!</v>
      </c>
      <c r="CY8" t="e">
        <f>AND(#REF!,"AAAAAH7w12Y=")</f>
        <v>#REF!</v>
      </c>
      <c r="CZ8" t="e">
        <f>AND(#REF!,"AAAAAH7w12c=")</f>
        <v>#REF!</v>
      </c>
      <c r="DA8" t="e">
        <f>AND(#REF!,"AAAAAH7w12g=")</f>
        <v>#REF!</v>
      </c>
      <c r="DB8" t="e">
        <f>AND(#REF!,"AAAAAH7w12k=")</f>
        <v>#REF!</v>
      </c>
      <c r="DC8" t="e">
        <f>AND(#REF!,"AAAAAH7w12o=")</f>
        <v>#REF!</v>
      </c>
      <c r="DD8" t="e">
        <f>AND(#REF!,"AAAAAH7w12s=")</f>
        <v>#REF!</v>
      </c>
      <c r="DE8" t="e">
        <f>AND(#REF!,"AAAAAH7w12w=")</f>
        <v>#REF!</v>
      </c>
      <c r="DF8" t="e">
        <f>AND(#REF!,"AAAAAH7w120=")</f>
        <v>#REF!</v>
      </c>
      <c r="DG8" t="e">
        <f>AND(#REF!,"AAAAAH7w124=")</f>
        <v>#REF!</v>
      </c>
      <c r="DH8" t="e">
        <f>AND(#REF!,"AAAAAH7w128=")</f>
        <v>#REF!</v>
      </c>
      <c r="DI8" t="e">
        <f>AND(#REF!,"AAAAAH7w13A=")</f>
        <v>#REF!</v>
      </c>
      <c r="DJ8" t="e">
        <f>AND(#REF!,"AAAAAH7w13E=")</f>
        <v>#REF!</v>
      </c>
      <c r="DK8" t="e">
        <f>AND(#REF!,"AAAAAH7w13I=")</f>
        <v>#REF!</v>
      </c>
      <c r="DL8" t="e">
        <f>AND(#REF!,"AAAAAH7w13M=")</f>
        <v>#REF!</v>
      </c>
      <c r="DM8" t="e">
        <f>AND(#REF!,"AAAAAH7w13Q=")</f>
        <v>#REF!</v>
      </c>
      <c r="DN8" t="e">
        <f>AND(#REF!,"AAAAAH7w13U=")</f>
        <v>#REF!</v>
      </c>
      <c r="DO8" t="e">
        <f>AND(#REF!,"AAAAAH7w13Y=")</f>
        <v>#REF!</v>
      </c>
      <c r="DP8" t="e">
        <f>AND(#REF!,"AAAAAH7w13c=")</f>
        <v>#REF!</v>
      </c>
      <c r="DQ8" t="e">
        <f>AND(#REF!,"AAAAAH7w13g=")</f>
        <v>#REF!</v>
      </c>
      <c r="DR8" t="e">
        <f>AND(#REF!,"AAAAAH7w13k=")</f>
        <v>#REF!</v>
      </c>
      <c r="DS8" t="e">
        <f>AND(#REF!,"AAAAAH7w13o=")</f>
        <v>#REF!</v>
      </c>
      <c r="DT8" t="e">
        <f>AND(#REF!,"AAAAAH7w13s=")</f>
        <v>#REF!</v>
      </c>
      <c r="DU8" t="e">
        <f>AND(#REF!,"AAAAAH7w13w=")</f>
        <v>#REF!</v>
      </c>
      <c r="DV8" t="e">
        <f>AND(#REF!,"AAAAAH7w130=")</f>
        <v>#REF!</v>
      </c>
      <c r="DW8" t="e">
        <f>AND(#REF!,"AAAAAH7w134=")</f>
        <v>#REF!</v>
      </c>
      <c r="DX8" t="e">
        <f>AND(#REF!,"AAAAAH7w138=")</f>
        <v>#REF!</v>
      </c>
      <c r="DY8" t="e">
        <f>AND(#REF!,"AAAAAH7w14A=")</f>
        <v>#REF!</v>
      </c>
      <c r="DZ8" t="e">
        <f>AND(#REF!,"AAAAAH7w14E=")</f>
        <v>#REF!</v>
      </c>
      <c r="EA8" t="e">
        <f>AND(#REF!,"AAAAAH7w14I=")</f>
        <v>#REF!</v>
      </c>
      <c r="EB8" t="e">
        <f>AND(#REF!,"AAAAAH7w14M=")</f>
        <v>#REF!</v>
      </c>
      <c r="EC8" t="e">
        <f>AND(#REF!,"AAAAAH7w14Q=")</f>
        <v>#REF!</v>
      </c>
      <c r="ED8" t="e">
        <f>AND(#REF!,"AAAAAH7w14U=")</f>
        <v>#REF!</v>
      </c>
      <c r="EE8" t="e">
        <f>AND(#REF!,"AAAAAH7w14Y=")</f>
        <v>#REF!</v>
      </c>
      <c r="EF8" t="e">
        <f>AND(#REF!,"AAAAAH7w14c=")</f>
        <v>#REF!</v>
      </c>
      <c r="EG8" t="e">
        <f>AND(#REF!,"AAAAAH7w14g=")</f>
        <v>#REF!</v>
      </c>
      <c r="EH8" t="e">
        <f>AND(#REF!,"AAAAAH7w14k=")</f>
        <v>#REF!</v>
      </c>
      <c r="EI8" t="e">
        <f>AND(#REF!,"AAAAAH7w14o=")</f>
        <v>#REF!</v>
      </c>
      <c r="EJ8" t="e">
        <f>AND(#REF!,"AAAAAH7w14s=")</f>
        <v>#REF!</v>
      </c>
      <c r="EK8" t="e">
        <f>AND(#REF!,"AAAAAH7w14w=")</f>
        <v>#REF!</v>
      </c>
      <c r="EL8" t="e">
        <f>AND(#REF!,"AAAAAH7w140=")</f>
        <v>#REF!</v>
      </c>
      <c r="EM8" t="e">
        <f>AND(#REF!,"AAAAAH7w144=")</f>
        <v>#REF!</v>
      </c>
      <c r="EN8" t="e">
        <f>AND(#REF!,"AAAAAH7w148=")</f>
        <v>#REF!</v>
      </c>
      <c r="EO8" t="e">
        <f>IF(#REF!,"AAAAAH7w15A=",0)</f>
        <v>#REF!</v>
      </c>
      <c r="EP8" t="e">
        <f>AND(#REF!,"AAAAAH7w15E=")</f>
        <v>#REF!</v>
      </c>
      <c r="EQ8" t="e">
        <f>AND(#REF!,"AAAAAH7w15I=")</f>
        <v>#REF!</v>
      </c>
      <c r="ER8" t="e">
        <f>AND(#REF!,"AAAAAH7w15M=")</f>
        <v>#REF!</v>
      </c>
      <c r="ES8" t="e">
        <f>AND(#REF!,"AAAAAH7w15Q=")</f>
        <v>#REF!</v>
      </c>
      <c r="ET8" t="e">
        <f>AND(#REF!,"AAAAAH7w15U=")</f>
        <v>#REF!</v>
      </c>
      <c r="EU8" t="e">
        <f>AND(#REF!,"AAAAAH7w15Y=")</f>
        <v>#REF!</v>
      </c>
      <c r="EV8" t="e">
        <f>AND(#REF!,"AAAAAH7w15c=")</f>
        <v>#REF!</v>
      </c>
      <c r="EW8" t="e">
        <f>AND(#REF!,"AAAAAH7w15g=")</f>
        <v>#REF!</v>
      </c>
      <c r="EX8" t="e">
        <f>AND(#REF!,"AAAAAH7w15k=")</f>
        <v>#REF!</v>
      </c>
      <c r="EY8" t="e">
        <f>AND(#REF!,"AAAAAH7w15o=")</f>
        <v>#REF!</v>
      </c>
      <c r="EZ8" t="e">
        <f>AND(#REF!,"AAAAAH7w15s=")</f>
        <v>#REF!</v>
      </c>
      <c r="FA8" t="e">
        <f>AND(#REF!,"AAAAAH7w15w=")</f>
        <v>#REF!</v>
      </c>
      <c r="FB8" t="e">
        <f>AND(#REF!,"AAAAAH7w150=")</f>
        <v>#REF!</v>
      </c>
      <c r="FC8" t="e">
        <f>AND(#REF!,"AAAAAH7w154=")</f>
        <v>#REF!</v>
      </c>
      <c r="FD8" t="e">
        <f>AND(#REF!,"AAAAAH7w158=")</f>
        <v>#REF!</v>
      </c>
      <c r="FE8" t="e">
        <f>AND(#REF!,"AAAAAH7w16A=")</f>
        <v>#REF!</v>
      </c>
      <c r="FF8" t="e">
        <f>AND(#REF!,"AAAAAH7w16E=")</f>
        <v>#REF!</v>
      </c>
      <c r="FG8" t="e">
        <f>AND(#REF!,"AAAAAH7w16I=")</f>
        <v>#REF!</v>
      </c>
      <c r="FH8" t="e">
        <f>AND(#REF!,"AAAAAH7w16M=")</f>
        <v>#REF!</v>
      </c>
      <c r="FI8" t="e">
        <f>AND(#REF!,"AAAAAH7w16Q=")</f>
        <v>#REF!</v>
      </c>
      <c r="FJ8" t="e">
        <f>AND(#REF!,"AAAAAH7w16U=")</f>
        <v>#REF!</v>
      </c>
      <c r="FK8" t="e">
        <f>AND(#REF!,"AAAAAH7w16Y=")</f>
        <v>#REF!</v>
      </c>
      <c r="FL8" t="e">
        <f>AND(#REF!,"AAAAAH7w16c=")</f>
        <v>#REF!</v>
      </c>
      <c r="FM8" t="e">
        <f>AND(#REF!,"AAAAAH7w16g=")</f>
        <v>#REF!</v>
      </c>
      <c r="FN8" t="e">
        <f>AND(#REF!,"AAAAAH7w16k=")</f>
        <v>#REF!</v>
      </c>
      <c r="FO8" t="e">
        <f>AND(#REF!,"AAAAAH7w16o=")</f>
        <v>#REF!</v>
      </c>
      <c r="FP8" t="e">
        <f>AND(#REF!,"AAAAAH7w16s=")</f>
        <v>#REF!</v>
      </c>
      <c r="FQ8" t="e">
        <f>AND(#REF!,"AAAAAH7w16w=")</f>
        <v>#REF!</v>
      </c>
      <c r="FR8" t="e">
        <f>AND(#REF!,"AAAAAH7w160=")</f>
        <v>#REF!</v>
      </c>
      <c r="FS8" t="e">
        <f>AND(#REF!,"AAAAAH7w164=")</f>
        <v>#REF!</v>
      </c>
      <c r="FT8" t="e">
        <f>AND(#REF!,"AAAAAH7w168=")</f>
        <v>#REF!</v>
      </c>
      <c r="FU8" t="e">
        <f>AND(#REF!,"AAAAAH7w17A=")</f>
        <v>#REF!</v>
      </c>
      <c r="FV8" t="e">
        <f>AND(#REF!,"AAAAAH7w17E=")</f>
        <v>#REF!</v>
      </c>
      <c r="FW8" t="e">
        <f>AND(#REF!,"AAAAAH7w17I=")</f>
        <v>#REF!</v>
      </c>
      <c r="FX8" t="e">
        <f>AND(#REF!,"AAAAAH7w17M=")</f>
        <v>#REF!</v>
      </c>
      <c r="FY8" t="e">
        <f>AND(#REF!,"AAAAAH7w17Q=")</f>
        <v>#REF!</v>
      </c>
      <c r="FZ8" t="e">
        <f>AND(#REF!,"AAAAAH7w17U=")</f>
        <v>#REF!</v>
      </c>
      <c r="GA8" t="e">
        <f>AND(#REF!,"AAAAAH7w17Y=")</f>
        <v>#REF!</v>
      </c>
      <c r="GB8" t="e">
        <f>AND(#REF!,"AAAAAH7w17c=")</f>
        <v>#REF!</v>
      </c>
      <c r="GC8" t="e">
        <f>AND(#REF!,"AAAAAH7w17g=")</f>
        <v>#REF!</v>
      </c>
      <c r="GD8" t="e">
        <f>AND(#REF!,"AAAAAH7w17k=")</f>
        <v>#REF!</v>
      </c>
      <c r="GE8" t="e">
        <f>AND(#REF!,"AAAAAH7w17o=")</f>
        <v>#REF!</v>
      </c>
      <c r="GF8" t="e">
        <f>AND(#REF!,"AAAAAH7w17s=")</f>
        <v>#REF!</v>
      </c>
      <c r="GG8" t="e">
        <f>IF(#REF!,"AAAAAH7w17w=",0)</f>
        <v>#REF!</v>
      </c>
      <c r="GH8" t="e">
        <f>AND(#REF!,"AAAAAH7w170=")</f>
        <v>#REF!</v>
      </c>
      <c r="GI8" t="e">
        <f>AND(#REF!,"AAAAAH7w174=")</f>
        <v>#REF!</v>
      </c>
      <c r="GJ8" t="e">
        <f>AND(#REF!,"AAAAAH7w178=")</f>
        <v>#REF!</v>
      </c>
      <c r="GK8" t="e">
        <f>AND(#REF!,"AAAAAH7w18A=")</f>
        <v>#REF!</v>
      </c>
      <c r="GL8" t="e">
        <f>AND(#REF!,"AAAAAH7w18E=")</f>
        <v>#REF!</v>
      </c>
      <c r="GM8" t="e">
        <f>AND(#REF!,"AAAAAH7w18I=")</f>
        <v>#REF!</v>
      </c>
      <c r="GN8" t="e">
        <f>AND(#REF!,"AAAAAH7w18M=")</f>
        <v>#REF!</v>
      </c>
      <c r="GO8" t="e">
        <f>AND(#REF!,"AAAAAH7w18Q=")</f>
        <v>#REF!</v>
      </c>
      <c r="GP8" t="e">
        <f>AND(#REF!,"AAAAAH7w18U=")</f>
        <v>#REF!</v>
      </c>
      <c r="GQ8" t="e">
        <f>AND(#REF!,"AAAAAH7w18Y=")</f>
        <v>#REF!</v>
      </c>
      <c r="GR8" t="e">
        <f>AND(#REF!,"AAAAAH7w18c=")</f>
        <v>#REF!</v>
      </c>
      <c r="GS8" t="e">
        <f>AND(#REF!,"AAAAAH7w18g=")</f>
        <v>#REF!</v>
      </c>
      <c r="GT8" t="e">
        <f>AND(#REF!,"AAAAAH7w18k=")</f>
        <v>#REF!</v>
      </c>
      <c r="GU8" t="e">
        <f>AND(#REF!,"AAAAAH7w18o=")</f>
        <v>#REF!</v>
      </c>
      <c r="GV8" t="e">
        <f>AND(#REF!,"AAAAAH7w18s=")</f>
        <v>#REF!</v>
      </c>
      <c r="GW8" t="e">
        <f>AND(#REF!,"AAAAAH7w18w=")</f>
        <v>#REF!</v>
      </c>
      <c r="GX8" t="e">
        <f>AND(#REF!,"AAAAAH7w180=")</f>
        <v>#REF!</v>
      </c>
      <c r="GY8" t="e">
        <f>AND(#REF!,"AAAAAH7w184=")</f>
        <v>#REF!</v>
      </c>
      <c r="GZ8" t="e">
        <f>AND(#REF!,"AAAAAH7w188=")</f>
        <v>#REF!</v>
      </c>
      <c r="HA8" t="e">
        <f>AND(#REF!,"AAAAAH7w19A=")</f>
        <v>#REF!</v>
      </c>
      <c r="HB8" t="e">
        <f>AND(#REF!,"AAAAAH7w19E=")</f>
        <v>#REF!</v>
      </c>
      <c r="HC8" t="e">
        <f>AND(#REF!,"AAAAAH7w19I=")</f>
        <v>#REF!</v>
      </c>
      <c r="HD8" t="e">
        <f>AND(#REF!,"AAAAAH7w19M=")</f>
        <v>#REF!</v>
      </c>
      <c r="HE8" t="e">
        <f>AND(#REF!,"AAAAAH7w19Q=")</f>
        <v>#REF!</v>
      </c>
      <c r="HF8" t="e">
        <f>AND(#REF!,"AAAAAH7w19U=")</f>
        <v>#REF!</v>
      </c>
      <c r="HG8" t="e">
        <f>AND(#REF!,"AAAAAH7w19Y=")</f>
        <v>#REF!</v>
      </c>
      <c r="HH8" t="e">
        <f>AND(#REF!,"AAAAAH7w19c=")</f>
        <v>#REF!</v>
      </c>
      <c r="HI8" t="e">
        <f>AND(#REF!,"AAAAAH7w19g=")</f>
        <v>#REF!</v>
      </c>
      <c r="HJ8" t="e">
        <f>AND(#REF!,"AAAAAH7w19k=")</f>
        <v>#REF!</v>
      </c>
      <c r="HK8" t="e">
        <f>AND(#REF!,"AAAAAH7w19o=")</f>
        <v>#REF!</v>
      </c>
      <c r="HL8" t="e">
        <f>AND(#REF!,"AAAAAH7w19s=")</f>
        <v>#REF!</v>
      </c>
      <c r="HM8" t="e">
        <f>AND(#REF!,"AAAAAH7w19w=")</f>
        <v>#REF!</v>
      </c>
      <c r="HN8" t="e">
        <f>AND(#REF!,"AAAAAH7w190=")</f>
        <v>#REF!</v>
      </c>
      <c r="HO8" t="e">
        <f>AND(#REF!,"AAAAAH7w194=")</f>
        <v>#REF!</v>
      </c>
      <c r="HP8" t="e">
        <f>AND(#REF!,"AAAAAH7w198=")</f>
        <v>#REF!</v>
      </c>
      <c r="HQ8" t="e">
        <f>AND(#REF!,"AAAAAH7w1+A=")</f>
        <v>#REF!</v>
      </c>
      <c r="HR8" t="e">
        <f>AND(#REF!,"AAAAAH7w1+E=")</f>
        <v>#REF!</v>
      </c>
      <c r="HS8" t="e">
        <f>AND(#REF!,"AAAAAH7w1+I=")</f>
        <v>#REF!</v>
      </c>
      <c r="HT8" t="e">
        <f>AND(#REF!,"AAAAAH7w1+M=")</f>
        <v>#REF!</v>
      </c>
      <c r="HU8" t="e">
        <f>AND(#REF!,"AAAAAH7w1+Q=")</f>
        <v>#REF!</v>
      </c>
      <c r="HV8" t="e">
        <f>AND(#REF!,"AAAAAH7w1+U=")</f>
        <v>#REF!</v>
      </c>
      <c r="HW8" t="e">
        <f>AND(#REF!,"AAAAAH7w1+Y=")</f>
        <v>#REF!</v>
      </c>
      <c r="HX8" t="e">
        <f>AND(#REF!,"AAAAAH7w1+c=")</f>
        <v>#REF!</v>
      </c>
      <c r="HY8" t="e">
        <f>IF(#REF!,"AAAAAH7w1+g=",0)</f>
        <v>#REF!</v>
      </c>
      <c r="HZ8" t="e">
        <f>AND(#REF!,"AAAAAH7w1+k=")</f>
        <v>#REF!</v>
      </c>
      <c r="IA8" t="e">
        <f>AND(#REF!,"AAAAAH7w1+o=")</f>
        <v>#REF!</v>
      </c>
      <c r="IB8" t="e">
        <f>AND(#REF!,"AAAAAH7w1+s=")</f>
        <v>#REF!</v>
      </c>
      <c r="IC8" t="e">
        <f>AND(#REF!,"AAAAAH7w1+w=")</f>
        <v>#REF!</v>
      </c>
      <c r="ID8" t="e">
        <f>AND(#REF!,"AAAAAH7w1+0=")</f>
        <v>#REF!</v>
      </c>
      <c r="IE8" t="e">
        <f>AND(#REF!,"AAAAAH7w1+4=")</f>
        <v>#REF!</v>
      </c>
      <c r="IF8" t="e">
        <f>AND(#REF!,"AAAAAH7w1+8=")</f>
        <v>#REF!</v>
      </c>
      <c r="IG8" t="e">
        <f>AND(#REF!,"AAAAAH7w1/A=")</f>
        <v>#REF!</v>
      </c>
      <c r="IH8" t="e">
        <f>AND(#REF!,"AAAAAH7w1/E=")</f>
        <v>#REF!</v>
      </c>
      <c r="II8" t="e">
        <f>AND(#REF!,"AAAAAH7w1/I=")</f>
        <v>#REF!</v>
      </c>
      <c r="IJ8" t="e">
        <f>AND(#REF!,"AAAAAH7w1/M=")</f>
        <v>#REF!</v>
      </c>
      <c r="IK8" t="e">
        <f>AND(#REF!,"AAAAAH7w1/Q=")</f>
        <v>#REF!</v>
      </c>
      <c r="IL8" t="e">
        <f>AND(#REF!,"AAAAAH7w1/U=")</f>
        <v>#REF!</v>
      </c>
      <c r="IM8" t="e">
        <f>AND(#REF!,"AAAAAH7w1/Y=")</f>
        <v>#REF!</v>
      </c>
      <c r="IN8" t="e">
        <f>AND(#REF!,"AAAAAH7w1/c=")</f>
        <v>#REF!</v>
      </c>
      <c r="IO8" t="e">
        <f>AND(#REF!,"AAAAAH7w1/g=")</f>
        <v>#REF!</v>
      </c>
      <c r="IP8" t="e">
        <f>AND(#REF!,"AAAAAH7w1/k=")</f>
        <v>#REF!</v>
      </c>
      <c r="IQ8" t="e">
        <f>AND(#REF!,"AAAAAH7w1/o=")</f>
        <v>#REF!</v>
      </c>
      <c r="IR8" t="e">
        <f>AND(#REF!,"AAAAAH7w1/s=")</f>
        <v>#REF!</v>
      </c>
      <c r="IS8" t="e">
        <f>AND(#REF!,"AAAAAH7w1/w=")</f>
        <v>#REF!</v>
      </c>
      <c r="IT8" t="e">
        <f>AND(#REF!,"AAAAAH7w1/0=")</f>
        <v>#REF!</v>
      </c>
      <c r="IU8" t="e">
        <f>AND(#REF!,"AAAAAH7w1/4=")</f>
        <v>#REF!</v>
      </c>
      <c r="IV8" t="e">
        <f>AND(#REF!,"AAAAAH7w1/8=")</f>
        <v>#REF!</v>
      </c>
    </row>
    <row r="9" spans="1:256" x14ac:dyDescent="0.25">
      <c r="A9" t="e">
        <f>AND(#REF!,"AAAAAH+53QA=")</f>
        <v>#REF!</v>
      </c>
      <c r="B9" t="e">
        <f>AND(#REF!,"AAAAAH+53QE=")</f>
        <v>#REF!</v>
      </c>
      <c r="C9" t="e">
        <f>AND(#REF!,"AAAAAH+53QI=")</f>
        <v>#REF!</v>
      </c>
      <c r="D9" t="e">
        <f>AND(#REF!,"AAAAAH+53QM=")</f>
        <v>#REF!</v>
      </c>
      <c r="E9" t="e">
        <f>AND(#REF!,"AAAAAH+53QQ=")</f>
        <v>#REF!</v>
      </c>
      <c r="F9" t="e">
        <f>AND(#REF!,"AAAAAH+53QU=")</f>
        <v>#REF!</v>
      </c>
      <c r="G9" t="e">
        <f>AND(#REF!,"AAAAAH+53QY=")</f>
        <v>#REF!</v>
      </c>
      <c r="H9" t="e">
        <f>AND(#REF!,"AAAAAH+53Qc=")</f>
        <v>#REF!</v>
      </c>
      <c r="I9" t="e">
        <f>AND(#REF!,"AAAAAH+53Qg=")</f>
        <v>#REF!</v>
      </c>
      <c r="J9" t="e">
        <f>AND(#REF!,"AAAAAH+53Qk=")</f>
        <v>#REF!</v>
      </c>
      <c r="K9" t="e">
        <f>AND(#REF!,"AAAAAH+53Qo=")</f>
        <v>#REF!</v>
      </c>
      <c r="L9" t="e">
        <f>AND(#REF!,"AAAAAH+53Qs=")</f>
        <v>#REF!</v>
      </c>
      <c r="M9" t="e">
        <f>AND(#REF!,"AAAAAH+53Qw=")</f>
        <v>#REF!</v>
      </c>
      <c r="N9" t="e">
        <f>AND(#REF!,"AAAAAH+53Q0=")</f>
        <v>#REF!</v>
      </c>
      <c r="O9" t="e">
        <f>AND(#REF!,"AAAAAH+53Q4=")</f>
        <v>#REF!</v>
      </c>
      <c r="P9" t="e">
        <f>AND(#REF!,"AAAAAH+53Q8=")</f>
        <v>#REF!</v>
      </c>
      <c r="Q9" t="e">
        <f>AND(#REF!,"AAAAAH+53RA=")</f>
        <v>#REF!</v>
      </c>
      <c r="R9" t="e">
        <f>AND(#REF!,"AAAAAH+53RE=")</f>
        <v>#REF!</v>
      </c>
      <c r="S9" t="e">
        <f>AND(#REF!,"AAAAAH+53RI=")</f>
        <v>#REF!</v>
      </c>
      <c r="T9" t="e">
        <f>AND(#REF!,"AAAAAH+53RM=")</f>
        <v>#REF!</v>
      </c>
      <c r="U9" t="e">
        <f>IF(#REF!,"AAAAAH+53RQ=",0)</f>
        <v>#REF!</v>
      </c>
      <c r="V9" t="e">
        <f>AND(#REF!,"AAAAAH+53RU=")</f>
        <v>#REF!</v>
      </c>
      <c r="W9" t="e">
        <f>AND(#REF!,"AAAAAH+53RY=")</f>
        <v>#REF!</v>
      </c>
      <c r="X9" t="e">
        <f>AND(#REF!,"AAAAAH+53Rc=")</f>
        <v>#REF!</v>
      </c>
      <c r="Y9" t="e">
        <f>AND(#REF!,"AAAAAH+53Rg=")</f>
        <v>#REF!</v>
      </c>
      <c r="Z9" t="e">
        <f>AND(#REF!,"AAAAAH+53Rk=")</f>
        <v>#REF!</v>
      </c>
      <c r="AA9" t="e">
        <f>AND(#REF!,"AAAAAH+53Ro=")</f>
        <v>#REF!</v>
      </c>
      <c r="AB9" t="e">
        <f>AND(#REF!,"AAAAAH+53Rs=")</f>
        <v>#REF!</v>
      </c>
      <c r="AC9" t="e">
        <f>AND(#REF!,"AAAAAH+53Rw=")</f>
        <v>#REF!</v>
      </c>
      <c r="AD9" t="e">
        <f>AND(#REF!,"AAAAAH+53R0=")</f>
        <v>#REF!</v>
      </c>
      <c r="AE9" t="e">
        <f>AND(#REF!,"AAAAAH+53R4=")</f>
        <v>#REF!</v>
      </c>
      <c r="AF9" t="e">
        <f>AND(#REF!,"AAAAAH+53R8=")</f>
        <v>#REF!</v>
      </c>
      <c r="AG9" t="e">
        <f>AND(#REF!,"AAAAAH+53SA=")</f>
        <v>#REF!</v>
      </c>
      <c r="AH9" t="e">
        <f>AND(#REF!,"AAAAAH+53SE=")</f>
        <v>#REF!</v>
      </c>
      <c r="AI9" t="e">
        <f>AND(#REF!,"AAAAAH+53SI=")</f>
        <v>#REF!</v>
      </c>
      <c r="AJ9" t="e">
        <f>AND(#REF!,"AAAAAH+53SM=")</f>
        <v>#REF!</v>
      </c>
      <c r="AK9" t="e">
        <f>AND(#REF!,"AAAAAH+53SQ=")</f>
        <v>#REF!</v>
      </c>
      <c r="AL9" t="e">
        <f>AND(#REF!,"AAAAAH+53SU=")</f>
        <v>#REF!</v>
      </c>
      <c r="AM9" t="e">
        <f>AND(#REF!,"AAAAAH+53SY=")</f>
        <v>#REF!</v>
      </c>
      <c r="AN9" t="e">
        <f>AND(#REF!,"AAAAAH+53Sc=")</f>
        <v>#REF!</v>
      </c>
      <c r="AO9" t="e">
        <f>AND(#REF!,"AAAAAH+53Sg=")</f>
        <v>#REF!</v>
      </c>
      <c r="AP9" t="e">
        <f>AND(#REF!,"AAAAAH+53Sk=")</f>
        <v>#REF!</v>
      </c>
      <c r="AQ9" t="e">
        <f>AND(#REF!,"AAAAAH+53So=")</f>
        <v>#REF!</v>
      </c>
      <c r="AR9" t="e">
        <f>AND(#REF!,"AAAAAH+53Ss=")</f>
        <v>#REF!</v>
      </c>
      <c r="AS9" t="e">
        <f>AND(#REF!,"AAAAAH+53Sw=")</f>
        <v>#REF!</v>
      </c>
      <c r="AT9" t="e">
        <f>AND(#REF!,"AAAAAH+53S0=")</f>
        <v>#REF!</v>
      </c>
      <c r="AU9" t="e">
        <f>AND(#REF!,"AAAAAH+53S4=")</f>
        <v>#REF!</v>
      </c>
      <c r="AV9" t="e">
        <f>AND(#REF!,"AAAAAH+53S8=")</f>
        <v>#REF!</v>
      </c>
      <c r="AW9" t="e">
        <f>AND(#REF!,"AAAAAH+53TA=")</f>
        <v>#REF!</v>
      </c>
      <c r="AX9" t="e">
        <f>AND(#REF!,"AAAAAH+53TE=")</f>
        <v>#REF!</v>
      </c>
      <c r="AY9" t="e">
        <f>AND(#REF!,"AAAAAH+53TI=")</f>
        <v>#REF!</v>
      </c>
      <c r="AZ9" t="e">
        <f>AND(#REF!,"AAAAAH+53TM=")</f>
        <v>#REF!</v>
      </c>
      <c r="BA9" t="e">
        <f>AND(#REF!,"AAAAAH+53TQ=")</f>
        <v>#REF!</v>
      </c>
      <c r="BB9" t="e">
        <f>AND(#REF!,"AAAAAH+53TU=")</f>
        <v>#REF!</v>
      </c>
      <c r="BC9" t="e">
        <f>AND(#REF!,"AAAAAH+53TY=")</f>
        <v>#REF!</v>
      </c>
      <c r="BD9" t="e">
        <f>AND(#REF!,"AAAAAH+53Tc=")</f>
        <v>#REF!</v>
      </c>
      <c r="BE9" t="e">
        <f>AND(#REF!,"AAAAAH+53Tg=")</f>
        <v>#REF!</v>
      </c>
      <c r="BF9" t="e">
        <f>AND(#REF!,"AAAAAH+53Tk=")</f>
        <v>#REF!</v>
      </c>
      <c r="BG9" t="e">
        <f>AND(#REF!,"AAAAAH+53To=")</f>
        <v>#REF!</v>
      </c>
      <c r="BH9" t="e">
        <f>AND(#REF!,"AAAAAH+53Ts=")</f>
        <v>#REF!</v>
      </c>
      <c r="BI9" t="e">
        <f>AND(#REF!,"AAAAAH+53Tw=")</f>
        <v>#REF!</v>
      </c>
      <c r="BJ9" t="e">
        <f>AND(#REF!,"AAAAAH+53T0=")</f>
        <v>#REF!</v>
      </c>
      <c r="BK9" t="e">
        <f>AND(#REF!,"AAAAAH+53T4=")</f>
        <v>#REF!</v>
      </c>
      <c r="BL9" t="e">
        <f>AND(#REF!,"AAAAAH+53T8=")</f>
        <v>#REF!</v>
      </c>
      <c r="BM9" t="e">
        <f>IF(#REF!,"AAAAAH+53UA=",0)</f>
        <v>#REF!</v>
      </c>
      <c r="BN9" t="e">
        <f>AND(#REF!,"AAAAAH+53UE=")</f>
        <v>#REF!</v>
      </c>
      <c r="BO9" t="e">
        <f>AND(#REF!,"AAAAAH+53UI=")</f>
        <v>#REF!</v>
      </c>
      <c r="BP9" t="e">
        <f>AND(#REF!,"AAAAAH+53UM=")</f>
        <v>#REF!</v>
      </c>
      <c r="BQ9" t="e">
        <f>AND(#REF!,"AAAAAH+53UQ=")</f>
        <v>#REF!</v>
      </c>
      <c r="BR9" t="e">
        <f>AND(#REF!,"AAAAAH+53UU=")</f>
        <v>#REF!</v>
      </c>
      <c r="BS9" t="e">
        <f>AND(#REF!,"AAAAAH+53UY=")</f>
        <v>#REF!</v>
      </c>
      <c r="BT9" t="e">
        <f>AND(#REF!,"AAAAAH+53Uc=")</f>
        <v>#REF!</v>
      </c>
      <c r="BU9" t="e">
        <f>AND(#REF!,"AAAAAH+53Ug=")</f>
        <v>#REF!</v>
      </c>
      <c r="BV9" t="e">
        <f>AND(#REF!,"AAAAAH+53Uk=")</f>
        <v>#REF!</v>
      </c>
      <c r="BW9" t="e">
        <f>AND(#REF!,"AAAAAH+53Uo=")</f>
        <v>#REF!</v>
      </c>
      <c r="BX9" t="e">
        <f>AND(#REF!,"AAAAAH+53Us=")</f>
        <v>#REF!</v>
      </c>
      <c r="BY9" t="e">
        <f>AND(#REF!,"AAAAAH+53Uw=")</f>
        <v>#REF!</v>
      </c>
      <c r="BZ9" t="e">
        <f>AND(#REF!,"AAAAAH+53U0=")</f>
        <v>#REF!</v>
      </c>
      <c r="CA9" t="e">
        <f>AND(#REF!,"AAAAAH+53U4=")</f>
        <v>#REF!</v>
      </c>
      <c r="CB9" t="e">
        <f>AND(#REF!,"AAAAAH+53U8=")</f>
        <v>#REF!</v>
      </c>
      <c r="CC9" t="e">
        <f>AND(#REF!,"AAAAAH+53VA=")</f>
        <v>#REF!</v>
      </c>
      <c r="CD9" t="e">
        <f>AND(#REF!,"AAAAAH+53VE=")</f>
        <v>#REF!</v>
      </c>
      <c r="CE9" t="e">
        <f>AND(#REF!,"AAAAAH+53VI=")</f>
        <v>#REF!</v>
      </c>
      <c r="CF9" t="e">
        <f>AND(#REF!,"AAAAAH+53VM=")</f>
        <v>#REF!</v>
      </c>
      <c r="CG9" t="e">
        <f>AND(#REF!,"AAAAAH+53VQ=")</f>
        <v>#REF!</v>
      </c>
      <c r="CH9" t="e">
        <f>AND(#REF!,"AAAAAH+53VU=")</f>
        <v>#REF!</v>
      </c>
      <c r="CI9" t="e">
        <f>AND(#REF!,"AAAAAH+53VY=")</f>
        <v>#REF!</v>
      </c>
      <c r="CJ9" t="e">
        <f>AND(#REF!,"AAAAAH+53Vc=")</f>
        <v>#REF!</v>
      </c>
      <c r="CK9" t="e">
        <f>AND(#REF!,"AAAAAH+53Vg=")</f>
        <v>#REF!</v>
      </c>
      <c r="CL9" t="e">
        <f>AND(#REF!,"AAAAAH+53Vk=")</f>
        <v>#REF!</v>
      </c>
      <c r="CM9" t="e">
        <f>AND(#REF!,"AAAAAH+53Vo=")</f>
        <v>#REF!</v>
      </c>
      <c r="CN9" t="e">
        <f>AND(#REF!,"AAAAAH+53Vs=")</f>
        <v>#REF!</v>
      </c>
      <c r="CO9" t="e">
        <f>AND(#REF!,"AAAAAH+53Vw=")</f>
        <v>#REF!</v>
      </c>
      <c r="CP9" t="e">
        <f>AND(#REF!,"AAAAAH+53V0=")</f>
        <v>#REF!</v>
      </c>
      <c r="CQ9" t="e">
        <f>AND(#REF!,"AAAAAH+53V4=")</f>
        <v>#REF!</v>
      </c>
      <c r="CR9" t="e">
        <f>AND(#REF!,"AAAAAH+53V8=")</f>
        <v>#REF!</v>
      </c>
      <c r="CS9" t="e">
        <f>AND(#REF!,"AAAAAH+53WA=")</f>
        <v>#REF!</v>
      </c>
      <c r="CT9" t="e">
        <f>AND(#REF!,"AAAAAH+53WE=")</f>
        <v>#REF!</v>
      </c>
      <c r="CU9" t="e">
        <f>AND(#REF!,"AAAAAH+53WI=")</f>
        <v>#REF!</v>
      </c>
      <c r="CV9" t="e">
        <f>AND(#REF!,"AAAAAH+53WM=")</f>
        <v>#REF!</v>
      </c>
      <c r="CW9" t="e">
        <f>AND(#REF!,"AAAAAH+53WQ=")</f>
        <v>#REF!</v>
      </c>
      <c r="CX9" t="e">
        <f>AND(#REF!,"AAAAAH+53WU=")</f>
        <v>#REF!</v>
      </c>
      <c r="CY9" t="e">
        <f>AND(#REF!,"AAAAAH+53WY=")</f>
        <v>#REF!</v>
      </c>
      <c r="CZ9" t="e">
        <f>AND(#REF!,"AAAAAH+53Wc=")</f>
        <v>#REF!</v>
      </c>
      <c r="DA9" t="e">
        <f>AND(#REF!,"AAAAAH+53Wg=")</f>
        <v>#REF!</v>
      </c>
      <c r="DB9" t="e">
        <f>AND(#REF!,"AAAAAH+53Wk=")</f>
        <v>#REF!</v>
      </c>
      <c r="DC9" t="e">
        <f>AND(#REF!,"AAAAAH+53Wo=")</f>
        <v>#REF!</v>
      </c>
      <c r="DD9" t="e">
        <f>AND(#REF!,"AAAAAH+53Ws=")</f>
        <v>#REF!</v>
      </c>
      <c r="DE9" t="e">
        <f>IF(#REF!,"AAAAAH+53Ww=",0)</f>
        <v>#REF!</v>
      </c>
      <c r="DF9" t="e">
        <f>AND(#REF!,"AAAAAH+53W0=")</f>
        <v>#REF!</v>
      </c>
      <c r="DG9" t="e">
        <f>AND(#REF!,"AAAAAH+53W4=")</f>
        <v>#REF!</v>
      </c>
      <c r="DH9" t="e">
        <f>AND(#REF!,"AAAAAH+53W8=")</f>
        <v>#REF!</v>
      </c>
      <c r="DI9" t="e">
        <f>AND(#REF!,"AAAAAH+53XA=")</f>
        <v>#REF!</v>
      </c>
      <c r="DJ9" t="e">
        <f>AND(#REF!,"AAAAAH+53XE=")</f>
        <v>#REF!</v>
      </c>
      <c r="DK9" t="e">
        <f>AND(#REF!,"AAAAAH+53XI=")</f>
        <v>#REF!</v>
      </c>
      <c r="DL9" t="e">
        <f>AND(#REF!,"AAAAAH+53XM=")</f>
        <v>#REF!</v>
      </c>
      <c r="DM9" t="e">
        <f>AND(#REF!,"AAAAAH+53XQ=")</f>
        <v>#REF!</v>
      </c>
      <c r="DN9" t="e">
        <f>AND(#REF!,"AAAAAH+53XU=")</f>
        <v>#REF!</v>
      </c>
      <c r="DO9" t="e">
        <f>AND(#REF!,"AAAAAH+53XY=")</f>
        <v>#REF!</v>
      </c>
      <c r="DP9" t="e">
        <f>AND(#REF!,"AAAAAH+53Xc=")</f>
        <v>#REF!</v>
      </c>
      <c r="DQ9" t="e">
        <f>AND(#REF!,"AAAAAH+53Xg=")</f>
        <v>#REF!</v>
      </c>
      <c r="DR9" t="e">
        <f>AND(#REF!,"AAAAAH+53Xk=")</f>
        <v>#REF!</v>
      </c>
      <c r="DS9" t="e">
        <f>AND(#REF!,"AAAAAH+53Xo=")</f>
        <v>#REF!</v>
      </c>
      <c r="DT9" t="e">
        <f>AND(#REF!,"AAAAAH+53Xs=")</f>
        <v>#REF!</v>
      </c>
      <c r="DU9" t="e">
        <f>AND(#REF!,"AAAAAH+53Xw=")</f>
        <v>#REF!</v>
      </c>
      <c r="DV9" t="e">
        <f>AND(#REF!,"AAAAAH+53X0=")</f>
        <v>#REF!</v>
      </c>
      <c r="DW9" t="e">
        <f>AND(#REF!,"AAAAAH+53X4=")</f>
        <v>#REF!</v>
      </c>
      <c r="DX9" t="e">
        <f>AND(#REF!,"AAAAAH+53X8=")</f>
        <v>#REF!</v>
      </c>
      <c r="DY9" t="e">
        <f>AND(#REF!,"AAAAAH+53YA=")</f>
        <v>#REF!</v>
      </c>
      <c r="DZ9" t="e">
        <f>AND(#REF!,"AAAAAH+53YE=")</f>
        <v>#REF!</v>
      </c>
      <c r="EA9" t="e">
        <f>AND(#REF!,"AAAAAH+53YI=")</f>
        <v>#REF!</v>
      </c>
      <c r="EB9" t="e">
        <f>AND(#REF!,"AAAAAH+53YM=")</f>
        <v>#REF!</v>
      </c>
      <c r="EC9" t="e">
        <f>AND(#REF!,"AAAAAH+53YQ=")</f>
        <v>#REF!</v>
      </c>
      <c r="ED9" t="e">
        <f>AND(#REF!,"AAAAAH+53YU=")</f>
        <v>#REF!</v>
      </c>
      <c r="EE9" t="e">
        <f>AND(#REF!,"AAAAAH+53YY=")</f>
        <v>#REF!</v>
      </c>
      <c r="EF9" t="e">
        <f>AND(#REF!,"AAAAAH+53Yc=")</f>
        <v>#REF!</v>
      </c>
      <c r="EG9" t="e">
        <f>AND(#REF!,"AAAAAH+53Yg=")</f>
        <v>#REF!</v>
      </c>
      <c r="EH9" t="e">
        <f>AND(#REF!,"AAAAAH+53Yk=")</f>
        <v>#REF!</v>
      </c>
      <c r="EI9" t="e">
        <f>AND(#REF!,"AAAAAH+53Yo=")</f>
        <v>#REF!</v>
      </c>
      <c r="EJ9" t="e">
        <f>AND(#REF!,"AAAAAH+53Ys=")</f>
        <v>#REF!</v>
      </c>
      <c r="EK9" t="e">
        <f>AND(#REF!,"AAAAAH+53Yw=")</f>
        <v>#REF!</v>
      </c>
      <c r="EL9" t="e">
        <f>AND(#REF!,"AAAAAH+53Y0=")</f>
        <v>#REF!</v>
      </c>
      <c r="EM9" t="e">
        <f>AND(#REF!,"AAAAAH+53Y4=")</f>
        <v>#REF!</v>
      </c>
      <c r="EN9" t="e">
        <f>AND(#REF!,"AAAAAH+53Y8=")</f>
        <v>#REF!</v>
      </c>
      <c r="EO9" t="e">
        <f>AND(#REF!,"AAAAAH+53ZA=")</f>
        <v>#REF!</v>
      </c>
      <c r="EP9" t="e">
        <f>AND(#REF!,"AAAAAH+53ZE=")</f>
        <v>#REF!</v>
      </c>
      <c r="EQ9" t="e">
        <f>AND(#REF!,"AAAAAH+53ZI=")</f>
        <v>#REF!</v>
      </c>
      <c r="ER9" t="e">
        <f>AND(#REF!,"AAAAAH+53ZM=")</f>
        <v>#REF!</v>
      </c>
      <c r="ES9" t="e">
        <f>AND(#REF!,"AAAAAH+53ZQ=")</f>
        <v>#REF!</v>
      </c>
      <c r="ET9" t="e">
        <f>AND(#REF!,"AAAAAH+53ZU=")</f>
        <v>#REF!</v>
      </c>
      <c r="EU9" t="e">
        <f>AND(#REF!,"AAAAAH+53ZY=")</f>
        <v>#REF!</v>
      </c>
      <c r="EV9" t="e">
        <f>AND(#REF!,"AAAAAH+53Zc=")</f>
        <v>#REF!</v>
      </c>
      <c r="EW9" t="e">
        <f>IF(#REF!,"AAAAAH+53Zg=",0)</f>
        <v>#REF!</v>
      </c>
      <c r="EX9" t="e">
        <f>AND(#REF!,"AAAAAH+53Zk=")</f>
        <v>#REF!</v>
      </c>
      <c r="EY9" t="e">
        <f>AND(#REF!,"AAAAAH+53Zo=")</f>
        <v>#REF!</v>
      </c>
      <c r="EZ9" t="e">
        <f>AND(#REF!,"AAAAAH+53Zs=")</f>
        <v>#REF!</v>
      </c>
      <c r="FA9" t="e">
        <f>AND(#REF!,"AAAAAH+53Zw=")</f>
        <v>#REF!</v>
      </c>
      <c r="FB9" t="e">
        <f>AND(#REF!,"AAAAAH+53Z0=")</f>
        <v>#REF!</v>
      </c>
      <c r="FC9" t="e">
        <f>AND(#REF!,"AAAAAH+53Z4=")</f>
        <v>#REF!</v>
      </c>
      <c r="FD9" t="e">
        <f>AND(#REF!,"AAAAAH+53Z8=")</f>
        <v>#REF!</v>
      </c>
      <c r="FE9" t="e">
        <f>AND(#REF!,"AAAAAH+53aA=")</f>
        <v>#REF!</v>
      </c>
      <c r="FF9" t="e">
        <f>AND(#REF!,"AAAAAH+53aE=")</f>
        <v>#REF!</v>
      </c>
      <c r="FG9" t="e">
        <f>AND(#REF!,"AAAAAH+53aI=")</f>
        <v>#REF!</v>
      </c>
      <c r="FH9" t="e">
        <f>AND(#REF!,"AAAAAH+53aM=")</f>
        <v>#REF!</v>
      </c>
      <c r="FI9" t="e">
        <f>AND(#REF!,"AAAAAH+53aQ=")</f>
        <v>#REF!</v>
      </c>
      <c r="FJ9" t="e">
        <f>AND(#REF!,"AAAAAH+53aU=")</f>
        <v>#REF!</v>
      </c>
      <c r="FK9" t="e">
        <f>AND(#REF!,"AAAAAH+53aY=")</f>
        <v>#REF!</v>
      </c>
      <c r="FL9" t="e">
        <f>AND(#REF!,"AAAAAH+53ac=")</f>
        <v>#REF!</v>
      </c>
      <c r="FM9" t="e">
        <f>AND(#REF!,"AAAAAH+53ag=")</f>
        <v>#REF!</v>
      </c>
      <c r="FN9" t="e">
        <f>AND(#REF!,"AAAAAH+53ak=")</f>
        <v>#REF!</v>
      </c>
      <c r="FO9" t="e">
        <f>AND(#REF!,"AAAAAH+53ao=")</f>
        <v>#REF!</v>
      </c>
      <c r="FP9" t="e">
        <f>AND(#REF!,"AAAAAH+53as=")</f>
        <v>#REF!</v>
      </c>
      <c r="FQ9" t="e">
        <f>AND(#REF!,"AAAAAH+53aw=")</f>
        <v>#REF!</v>
      </c>
      <c r="FR9" t="e">
        <f>AND(#REF!,"AAAAAH+53a0=")</f>
        <v>#REF!</v>
      </c>
      <c r="FS9" t="e">
        <f>AND(#REF!,"AAAAAH+53a4=")</f>
        <v>#REF!</v>
      </c>
      <c r="FT9" t="e">
        <f>AND(#REF!,"AAAAAH+53a8=")</f>
        <v>#REF!</v>
      </c>
      <c r="FU9" t="e">
        <f>AND(#REF!,"AAAAAH+53bA=")</f>
        <v>#REF!</v>
      </c>
      <c r="FV9" t="e">
        <f>AND(#REF!,"AAAAAH+53bE=")</f>
        <v>#REF!</v>
      </c>
      <c r="FW9" t="e">
        <f>AND(#REF!,"AAAAAH+53bI=")</f>
        <v>#REF!</v>
      </c>
      <c r="FX9" t="e">
        <f>AND(#REF!,"AAAAAH+53bM=")</f>
        <v>#REF!</v>
      </c>
      <c r="FY9" t="e">
        <f>AND(#REF!,"AAAAAH+53bQ=")</f>
        <v>#REF!</v>
      </c>
      <c r="FZ9" t="e">
        <f>AND(#REF!,"AAAAAH+53bU=")</f>
        <v>#REF!</v>
      </c>
      <c r="GA9" t="e">
        <f>AND(#REF!,"AAAAAH+53bY=")</f>
        <v>#REF!</v>
      </c>
      <c r="GB9" t="e">
        <f>AND(#REF!,"AAAAAH+53bc=")</f>
        <v>#REF!</v>
      </c>
      <c r="GC9" t="e">
        <f>AND(#REF!,"AAAAAH+53bg=")</f>
        <v>#REF!</v>
      </c>
      <c r="GD9" t="e">
        <f>AND(#REF!,"AAAAAH+53bk=")</f>
        <v>#REF!</v>
      </c>
      <c r="GE9" t="e">
        <f>AND(#REF!,"AAAAAH+53bo=")</f>
        <v>#REF!</v>
      </c>
      <c r="GF9" t="e">
        <f>AND(#REF!,"AAAAAH+53bs=")</f>
        <v>#REF!</v>
      </c>
      <c r="GG9" t="e">
        <f>AND(#REF!,"AAAAAH+53bw=")</f>
        <v>#REF!</v>
      </c>
      <c r="GH9" t="e">
        <f>AND(#REF!,"AAAAAH+53b0=")</f>
        <v>#REF!</v>
      </c>
      <c r="GI9" t="e">
        <f>AND(#REF!,"AAAAAH+53b4=")</f>
        <v>#REF!</v>
      </c>
      <c r="GJ9" t="e">
        <f>AND(#REF!,"AAAAAH+53b8=")</f>
        <v>#REF!</v>
      </c>
      <c r="GK9" t="e">
        <f>AND(#REF!,"AAAAAH+53cA=")</f>
        <v>#REF!</v>
      </c>
      <c r="GL9" t="e">
        <f>AND(#REF!,"AAAAAH+53cE=")</f>
        <v>#REF!</v>
      </c>
      <c r="GM9" t="e">
        <f>AND(#REF!,"AAAAAH+53cI=")</f>
        <v>#REF!</v>
      </c>
      <c r="GN9" t="e">
        <f>AND(#REF!,"AAAAAH+53cM=")</f>
        <v>#REF!</v>
      </c>
      <c r="GO9" t="e">
        <f>IF(#REF!,"AAAAAH+53cQ=",0)</f>
        <v>#REF!</v>
      </c>
      <c r="GP9" t="e">
        <f>AND(#REF!,"AAAAAH+53cU=")</f>
        <v>#REF!</v>
      </c>
      <c r="GQ9" t="e">
        <f>AND(#REF!,"AAAAAH+53cY=")</f>
        <v>#REF!</v>
      </c>
      <c r="GR9" t="e">
        <f>AND(#REF!,"AAAAAH+53cc=")</f>
        <v>#REF!</v>
      </c>
      <c r="GS9" t="e">
        <f>AND(#REF!,"AAAAAH+53cg=")</f>
        <v>#REF!</v>
      </c>
      <c r="GT9" t="e">
        <f>AND(#REF!,"AAAAAH+53ck=")</f>
        <v>#REF!</v>
      </c>
      <c r="GU9" t="e">
        <f>AND(#REF!,"AAAAAH+53co=")</f>
        <v>#REF!</v>
      </c>
      <c r="GV9" t="e">
        <f>AND(#REF!,"AAAAAH+53cs=")</f>
        <v>#REF!</v>
      </c>
      <c r="GW9" t="e">
        <f>AND(#REF!,"AAAAAH+53cw=")</f>
        <v>#REF!</v>
      </c>
      <c r="GX9" t="e">
        <f>AND(#REF!,"AAAAAH+53c0=")</f>
        <v>#REF!</v>
      </c>
      <c r="GY9" t="e">
        <f>AND(#REF!,"AAAAAH+53c4=")</f>
        <v>#REF!</v>
      </c>
      <c r="GZ9" t="e">
        <f>AND(#REF!,"AAAAAH+53c8=")</f>
        <v>#REF!</v>
      </c>
      <c r="HA9" t="e">
        <f>AND(#REF!,"AAAAAH+53dA=")</f>
        <v>#REF!</v>
      </c>
      <c r="HB9" t="e">
        <f>AND(#REF!,"AAAAAH+53dE=")</f>
        <v>#REF!</v>
      </c>
      <c r="HC9" t="e">
        <f>AND(#REF!,"AAAAAH+53dI=")</f>
        <v>#REF!</v>
      </c>
      <c r="HD9" t="e">
        <f>AND(#REF!,"AAAAAH+53dM=")</f>
        <v>#REF!</v>
      </c>
      <c r="HE9" t="e">
        <f>AND(#REF!,"AAAAAH+53dQ=")</f>
        <v>#REF!</v>
      </c>
      <c r="HF9" t="e">
        <f>AND(#REF!,"AAAAAH+53dU=")</f>
        <v>#REF!</v>
      </c>
      <c r="HG9" t="e">
        <f>AND(#REF!,"AAAAAH+53dY=")</f>
        <v>#REF!</v>
      </c>
      <c r="HH9" t="e">
        <f>AND(#REF!,"AAAAAH+53dc=")</f>
        <v>#REF!</v>
      </c>
      <c r="HI9" t="e">
        <f>AND(#REF!,"AAAAAH+53dg=")</f>
        <v>#REF!</v>
      </c>
      <c r="HJ9" t="e">
        <f>AND(#REF!,"AAAAAH+53dk=")</f>
        <v>#REF!</v>
      </c>
      <c r="HK9" t="e">
        <f>AND(#REF!,"AAAAAH+53do=")</f>
        <v>#REF!</v>
      </c>
      <c r="HL9" t="e">
        <f>AND(#REF!,"AAAAAH+53ds=")</f>
        <v>#REF!</v>
      </c>
      <c r="HM9" t="e">
        <f>AND(#REF!,"AAAAAH+53dw=")</f>
        <v>#REF!</v>
      </c>
      <c r="HN9" t="e">
        <f>AND(#REF!,"AAAAAH+53d0=")</f>
        <v>#REF!</v>
      </c>
      <c r="HO9" t="e">
        <f>AND(#REF!,"AAAAAH+53d4=")</f>
        <v>#REF!</v>
      </c>
      <c r="HP9" t="e">
        <f>AND(#REF!,"AAAAAH+53d8=")</f>
        <v>#REF!</v>
      </c>
      <c r="HQ9" t="e">
        <f>AND(#REF!,"AAAAAH+53eA=")</f>
        <v>#REF!</v>
      </c>
      <c r="HR9" t="e">
        <f>AND(#REF!,"AAAAAH+53eE=")</f>
        <v>#REF!</v>
      </c>
      <c r="HS9" t="e">
        <f>AND(#REF!,"AAAAAH+53eI=")</f>
        <v>#REF!</v>
      </c>
      <c r="HT9" t="e">
        <f>AND(#REF!,"AAAAAH+53eM=")</f>
        <v>#REF!</v>
      </c>
      <c r="HU9" t="e">
        <f>AND(#REF!,"AAAAAH+53eQ=")</f>
        <v>#REF!</v>
      </c>
      <c r="HV9" t="e">
        <f>AND(#REF!,"AAAAAH+53eU=")</f>
        <v>#REF!</v>
      </c>
      <c r="HW9" t="e">
        <f>AND(#REF!,"AAAAAH+53eY=")</f>
        <v>#REF!</v>
      </c>
      <c r="HX9" t="e">
        <f>AND(#REF!,"AAAAAH+53ec=")</f>
        <v>#REF!</v>
      </c>
      <c r="HY9" t="e">
        <f>AND(#REF!,"AAAAAH+53eg=")</f>
        <v>#REF!</v>
      </c>
      <c r="HZ9" t="e">
        <f>AND(#REF!,"AAAAAH+53ek=")</f>
        <v>#REF!</v>
      </c>
      <c r="IA9" t="e">
        <f>AND(#REF!,"AAAAAH+53eo=")</f>
        <v>#REF!</v>
      </c>
      <c r="IB9" t="e">
        <f>AND(#REF!,"AAAAAH+53es=")</f>
        <v>#REF!</v>
      </c>
      <c r="IC9" t="e">
        <f>AND(#REF!,"AAAAAH+53ew=")</f>
        <v>#REF!</v>
      </c>
      <c r="ID9" t="e">
        <f>AND(#REF!,"AAAAAH+53e0=")</f>
        <v>#REF!</v>
      </c>
      <c r="IE9" t="e">
        <f>AND(#REF!,"AAAAAH+53e4=")</f>
        <v>#REF!</v>
      </c>
      <c r="IF9" t="e">
        <f>AND(#REF!,"AAAAAH+53e8=")</f>
        <v>#REF!</v>
      </c>
      <c r="IG9" t="e">
        <f>IF(#REF!,"AAAAAH+53fA=",0)</f>
        <v>#REF!</v>
      </c>
      <c r="IH9" t="e">
        <f>AND(#REF!,"AAAAAH+53fE=")</f>
        <v>#REF!</v>
      </c>
      <c r="II9" t="e">
        <f>AND(#REF!,"AAAAAH+53fI=")</f>
        <v>#REF!</v>
      </c>
      <c r="IJ9" t="e">
        <f>AND(#REF!,"AAAAAH+53fM=")</f>
        <v>#REF!</v>
      </c>
      <c r="IK9" t="e">
        <f>AND(#REF!,"AAAAAH+53fQ=")</f>
        <v>#REF!</v>
      </c>
      <c r="IL9" t="e">
        <f>AND(#REF!,"AAAAAH+53fU=")</f>
        <v>#REF!</v>
      </c>
      <c r="IM9" t="e">
        <f>AND(#REF!,"AAAAAH+53fY=")</f>
        <v>#REF!</v>
      </c>
      <c r="IN9" t="e">
        <f>AND(#REF!,"AAAAAH+53fc=")</f>
        <v>#REF!</v>
      </c>
      <c r="IO9" t="e">
        <f>AND(#REF!,"AAAAAH+53fg=")</f>
        <v>#REF!</v>
      </c>
      <c r="IP9" t="e">
        <f>AND(#REF!,"AAAAAH+53fk=")</f>
        <v>#REF!</v>
      </c>
      <c r="IQ9" t="e">
        <f>AND(#REF!,"AAAAAH+53fo=")</f>
        <v>#REF!</v>
      </c>
      <c r="IR9" t="e">
        <f>AND(#REF!,"AAAAAH+53fs=")</f>
        <v>#REF!</v>
      </c>
      <c r="IS9" t="e">
        <f>AND(#REF!,"AAAAAH+53fw=")</f>
        <v>#REF!</v>
      </c>
      <c r="IT9" t="e">
        <f>AND(#REF!,"AAAAAH+53f0=")</f>
        <v>#REF!</v>
      </c>
      <c r="IU9" t="e">
        <f>AND(#REF!,"AAAAAH+53f4=")</f>
        <v>#REF!</v>
      </c>
      <c r="IV9" t="e">
        <f>AND(#REF!,"AAAAAH+53f8=")</f>
        <v>#REF!</v>
      </c>
    </row>
    <row r="10" spans="1:256" x14ac:dyDescent="0.25">
      <c r="A10" t="e">
        <f>AND(#REF!,"AAAAAH5Y9gA=")</f>
        <v>#REF!</v>
      </c>
      <c r="B10" t="e">
        <f>AND(#REF!,"AAAAAH5Y9gE=")</f>
        <v>#REF!</v>
      </c>
      <c r="C10" t="e">
        <f>AND(#REF!,"AAAAAH5Y9gI=")</f>
        <v>#REF!</v>
      </c>
      <c r="D10" t="e">
        <f>AND(#REF!,"AAAAAH5Y9gM=")</f>
        <v>#REF!</v>
      </c>
      <c r="E10" t="e">
        <f>AND(#REF!,"AAAAAH5Y9gQ=")</f>
        <v>#REF!</v>
      </c>
      <c r="F10" t="e">
        <f>AND(#REF!,"AAAAAH5Y9gU=")</f>
        <v>#REF!</v>
      </c>
      <c r="G10" t="e">
        <f>AND(#REF!,"AAAAAH5Y9gY=")</f>
        <v>#REF!</v>
      </c>
      <c r="H10" t="e">
        <f>AND(#REF!,"AAAAAH5Y9gc=")</f>
        <v>#REF!</v>
      </c>
      <c r="I10" t="e">
        <f>AND(#REF!,"AAAAAH5Y9gg=")</f>
        <v>#REF!</v>
      </c>
      <c r="J10" t="e">
        <f>AND(#REF!,"AAAAAH5Y9gk=")</f>
        <v>#REF!</v>
      </c>
      <c r="K10" t="e">
        <f>AND(#REF!,"AAAAAH5Y9go=")</f>
        <v>#REF!</v>
      </c>
      <c r="L10" t="e">
        <f>AND(#REF!,"AAAAAH5Y9gs=")</f>
        <v>#REF!</v>
      </c>
      <c r="M10" t="e">
        <f>AND(#REF!,"AAAAAH5Y9gw=")</f>
        <v>#REF!</v>
      </c>
      <c r="N10" t="e">
        <f>AND(#REF!,"AAAAAH5Y9g0=")</f>
        <v>#REF!</v>
      </c>
      <c r="O10" t="e">
        <f>AND(#REF!,"AAAAAH5Y9g4=")</f>
        <v>#REF!</v>
      </c>
      <c r="P10" t="e">
        <f>AND(#REF!,"AAAAAH5Y9g8=")</f>
        <v>#REF!</v>
      </c>
      <c r="Q10" t="e">
        <f>AND(#REF!,"AAAAAH5Y9hA=")</f>
        <v>#REF!</v>
      </c>
      <c r="R10" t="e">
        <f>AND(#REF!,"AAAAAH5Y9hE=")</f>
        <v>#REF!</v>
      </c>
      <c r="S10" t="e">
        <f>AND(#REF!,"AAAAAH5Y9hI=")</f>
        <v>#REF!</v>
      </c>
      <c r="T10" t="e">
        <f>AND(#REF!,"AAAAAH5Y9hM=")</f>
        <v>#REF!</v>
      </c>
      <c r="U10" t="e">
        <f>AND(#REF!,"AAAAAH5Y9hQ=")</f>
        <v>#REF!</v>
      </c>
      <c r="V10" t="e">
        <f>AND(#REF!,"AAAAAH5Y9hU=")</f>
        <v>#REF!</v>
      </c>
      <c r="W10" t="e">
        <f>AND(#REF!,"AAAAAH5Y9hY=")</f>
        <v>#REF!</v>
      </c>
      <c r="X10" t="e">
        <f>AND(#REF!,"AAAAAH5Y9hc=")</f>
        <v>#REF!</v>
      </c>
      <c r="Y10" t="e">
        <f>AND(#REF!,"AAAAAH5Y9hg=")</f>
        <v>#REF!</v>
      </c>
      <c r="Z10" t="e">
        <f>AND(#REF!,"AAAAAH5Y9hk=")</f>
        <v>#REF!</v>
      </c>
      <c r="AA10" t="e">
        <f>AND(#REF!,"AAAAAH5Y9ho=")</f>
        <v>#REF!</v>
      </c>
      <c r="AB10" t="e">
        <f>AND(#REF!,"AAAAAH5Y9hs=")</f>
        <v>#REF!</v>
      </c>
      <c r="AC10" t="e">
        <f>IF(#REF!,"AAAAAH5Y9hw=",0)</f>
        <v>#REF!</v>
      </c>
      <c r="AD10" t="e">
        <f>AND(#REF!,"AAAAAH5Y9h0=")</f>
        <v>#REF!</v>
      </c>
      <c r="AE10" t="e">
        <f>AND(#REF!,"AAAAAH5Y9h4=")</f>
        <v>#REF!</v>
      </c>
      <c r="AF10" t="e">
        <f>AND(#REF!,"AAAAAH5Y9h8=")</f>
        <v>#REF!</v>
      </c>
      <c r="AG10" t="e">
        <f>AND(#REF!,"AAAAAH5Y9iA=")</f>
        <v>#REF!</v>
      </c>
      <c r="AH10" t="e">
        <f>AND(#REF!,"AAAAAH5Y9iE=")</f>
        <v>#REF!</v>
      </c>
      <c r="AI10" t="e">
        <f>AND(#REF!,"AAAAAH5Y9iI=")</f>
        <v>#REF!</v>
      </c>
      <c r="AJ10" t="e">
        <f>AND(#REF!,"AAAAAH5Y9iM=")</f>
        <v>#REF!</v>
      </c>
      <c r="AK10" t="e">
        <f>AND(#REF!,"AAAAAH5Y9iQ=")</f>
        <v>#REF!</v>
      </c>
      <c r="AL10" t="e">
        <f>AND(#REF!,"AAAAAH5Y9iU=")</f>
        <v>#REF!</v>
      </c>
      <c r="AM10" t="e">
        <f>AND(#REF!,"AAAAAH5Y9iY=")</f>
        <v>#REF!</v>
      </c>
      <c r="AN10" t="e">
        <f>AND(#REF!,"AAAAAH5Y9ic=")</f>
        <v>#REF!</v>
      </c>
      <c r="AO10" t="e">
        <f>AND(#REF!,"AAAAAH5Y9ig=")</f>
        <v>#REF!</v>
      </c>
      <c r="AP10" t="e">
        <f>AND(#REF!,"AAAAAH5Y9ik=")</f>
        <v>#REF!</v>
      </c>
      <c r="AQ10" t="e">
        <f>AND(#REF!,"AAAAAH5Y9io=")</f>
        <v>#REF!</v>
      </c>
      <c r="AR10" t="e">
        <f>AND(#REF!,"AAAAAH5Y9is=")</f>
        <v>#REF!</v>
      </c>
      <c r="AS10" t="e">
        <f>AND(#REF!,"AAAAAH5Y9iw=")</f>
        <v>#REF!</v>
      </c>
      <c r="AT10" t="e">
        <f>AND(#REF!,"AAAAAH5Y9i0=")</f>
        <v>#REF!</v>
      </c>
      <c r="AU10" t="e">
        <f>AND(#REF!,"AAAAAH5Y9i4=")</f>
        <v>#REF!</v>
      </c>
      <c r="AV10" t="e">
        <f>AND(#REF!,"AAAAAH5Y9i8=")</f>
        <v>#REF!</v>
      </c>
      <c r="AW10" t="e">
        <f>AND(#REF!,"AAAAAH5Y9jA=")</f>
        <v>#REF!</v>
      </c>
      <c r="AX10" t="e">
        <f>AND(#REF!,"AAAAAH5Y9jE=")</f>
        <v>#REF!</v>
      </c>
      <c r="AY10" t="e">
        <f>AND(#REF!,"AAAAAH5Y9jI=")</f>
        <v>#REF!</v>
      </c>
      <c r="AZ10" t="e">
        <f>AND(#REF!,"AAAAAH5Y9jM=")</f>
        <v>#REF!</v>
      </c>
      <c r="BA10" t="e">
        <f>AND(#REF!,"AAAAAH5Y9jQ=")</f>
        <v>#REF!</v>
      </c>
      <c r="BB10" t="e">
        <f>AND(#REF!,"AAAAAH5Y9jU=")</f>
        <v>#REF!</v>
      </c>
      <c r="BC10" t="e">
        <f>AND(#REF!,"AAAAAH5Y9jY=")</f>
        <v>#REF!</v>
      </c>
      <c r="BD10" t="e">
        <f>AND(#REF!,"AAAAAH5Y9jc=")</f>
        <v>#REF!</v>
      </c>
      <c r="BE10" t="e">
        <f>AND(#REF!,"AAAAAH5Y9jg=")</f>
        <v>#REF!</v>
      </c>
      <c r="BF10" t="e">
        <f>AND(#REF!,"AAAAAH5Y9jk=")</f>
        <v>#REF!</v>
      </c>
      <c r="BG10" t="e">
        <f>AND(#REF!,"AAAAAH5Y9jo=")</f>
        <v>#REF!</v>
      </c>
      <c r="BH10" t="e">
        <f>AND(#REF!,"AAAAAH5Y9js=")</f>
        <v>#REF!</v>
      </c>
      <c r="BI10" t="e">
        <f>AND(#REF!,"AAAAAH5Y9jw=")</f>
        <v>#REF!</v>
      </c>
      <c r="BJ10" t="e">
        <f>AND(#REF!,"AAAAAH5Y9j0=")</f>
        <v>#REF!</v>
      </c>
      <c r="BK10" t="e">
        <f>AND(#REF!,"AAAAAH5Y9j4=")</f>
        <v>#REF!</v>
      </c>
      <c r="BL10" t="e">
        <f>AND(#REF!,"AAAAAH5Y9j8=")</f>
        <v>#REF!</v>
      </c>
      <c r="BM10" t="e">
        <f>AND(#REF!,"AAAAAH5Y9kA=")</f>
        <v>#REF!</v>
      </c>
      <c r="BN10" t="e">
        <f>AND(#REF!,"AAAAAH5Y9kE=")</f>
        <v>#REF!</v>
      </c>
      <c r="BO10" t="e">
        <f>AND(#REF!,"AAAAAH5Y9kI=")</f>
        <v>#REF!</v>
      </c>
      <c r="BP10" t="e">
        <f>AND(#REF!,"AAAAAH5Y9kM=")</f>
        <v>#REF!</v>
      </c>
      <c r="BQ10" t="e">
        <f>AND(#REF!,"AAAAAH5Y9kQ=")</f>
        <v>#REF!</v>
      </c>
      <c r="BR10" t="e">
        <f>AND(#REF!,"AAAAAH5Y9kU=")</f>
        <v>#REF!</v>
      </c>
      <c r="BS10" t="e">
        <f>AND(#REF!,"AAAAAH5Y9kY=")</f>
        <v>#REF!</v>
      </c>
      <c r="BT10" t="e">
        <f>AND(#REF!,"AAAAAH5Y9kc=")</f>
        <v>#REF!</v>
      </c>
      <c r="BU10" t="e">
        <f>IF(#REF!,"AAAAAH5Y9kg=",0)</f>
        <v>#REF!</v>
      </c>
      <c r="BV10" t="e">
        <f>AND(#REF!,"AAAAAH5Y9kk=")</f>
        <v>#REF!</v>
      </c>
      <c r="BW10" t="e">
        <f>AND(#REF!,"AAAAAH5Y9ko=")</f>
        <v>#REF!</v>
      </c>
      <c r="BX10" t="e">
        <f>AND(#REF!,"AAAAAH5Y9ks=")</f>
        <v>#REF!</v>
      </c>
      <c r="BY10" t="e">
        <f>AND(#REF!,"AAAAAH5Y9kw=")</f>
        <v>#REF!</v>
      </c>
      <c r="BZ10" t="e">
        <f>AND(#REF!,"AAAAAH5Y9k0=")</f>
        <v>#REF!</v>
      </c>
      <c r="CA10" t="e">
        <f>AND(#REF!,"AAAAAH5Y9k4=")</f>
        <v>#REF!</v>
      </c>
      <c r="CB10" t="e">
        <f>AND(#REF!,"AAAAAH5Y9k8=")</f>
        <v>#REF!</v>
      </c>
      <c r="CC10" t="e">
        <f>AND(#REF!,"AAAAAH5Y9lA=")</f>
        <v>#REF!</v>
      </c>
      <c r="CD10" t="e">
        <f>AND(#REF!,"AAAAAH5Y9lE=")</f>
        <v>#REF!</v>
      </c>
      <c r="CE10" t="e">
        <f>AND(#REF!,"AAAAAH5Y9lI=")</f>
        <v>#REF!</v>
      </c>
      <c r="CF10" t="e">
        <f>AND(#REF!,"AAAAAH5Y9lM=")</f>
        <v>#REF!</v>
      </c>
      <c r="CG10" t="e">
        <f>AND(#REF!,"AAAAAH5Y9lQ=")</f>
        <v>#REF!</v>
      </c>
      <c r="CH10" t="e">
        <f>AND(#REF!,"AAAAAH5Y9lU=")</f>
        <v>#REF!</v>
      </c>
      <c r="CI10" t="e">
        <f>AND(#REF!,"AAAAAH5Y9lY=")</f>
        <v>#REF!</v>
      </c>
      <c r="CJ10" t="e">
        <f>AND(#REF!,"AAAAAH5Y9lc=")</f>
        <v>#REF!</v>
      </c>
      <c r="CK10" t="e">
        <f>AND(#REF!,"AAAAAH5Y9lg=")</f>
        <v>#REF!</v>
      </c>
      <c r="CL10" t="e">
        <f>AND(#REF!,"AAAAAH5Y9lk=")</f>
        <v>#REF!</v>
      </c>
      <c r="CM10" t="e">
        <f>AND(#REF!,"AAAAAH5Y9lo=")</f>
        <v>#REF!</v>
      </c>
      <c r="CN10" t="e">
        <f>AND(#REF!,"AAAAAH5Y9ls=")</f>
        <v>#REF!</v>
      </c>
      <c r="CO10" t="e">
        <f>AND(#REF!,"AAAAAH5Y9lw=")</f>
        <v>#REF!</v>
      </c>
      <c r="CP10" t="e">
        <f>AND(#REF!,"AAAAAH5Y9l0=")</f>
        <v>#REF!</v>
      </c>
      <c r="CQ10" t="e">
        <f>AND(#REF!,"AAAAAH5Y9l4=")</f>
        <v>#REF!</v>
      </c>
      <c r="CR10" t="e">
        <f>AND(#REF!,"AAAAAH5Y9l8=")</f>
        <v>#REF!</v>
      </c>
      <c r="CS10" t="e">
        <f>AND(#REF!,"AAAAAH5Y9mA=")</f>
        <v>#REF!</v>
      </c>
      <c r="CT10" t="e">
        <f>AND(#REF!,"AAAAAH5Y9mE=")</f>
        <v>#REF!</v>
      </c>
      <c r="CU10" t="e">
        <f>AND(#REF!,"AAAAAH5Y9mI=")</f>
        <v>#REF!</v>
      </c>
      <c r="CV10" t="e">
        <f>AND(#REF!,"AAAAAH5Y9mM=")</f>
        <v>#REF!</v>
      </c>
      <c r="CW10" t="e">
        <f>AND(#REF!,"AAAAAH5Y9mQ=")</f>
        <v>#REF!</v>
      </c>
      <c r="CX10" t="e">
        <f>AND(#REF!,"AAAAAH5Y9mU=")</f>
        <v>#REF!</v>
      </c>
      <c r="CY10" t="e">
        <f>AND(#REF!,"AAAAAH5Y9mY=")</f>
        <v>#REF!</v>
      </c>
      <c r="CZ10" t="e">
        <f>AND(#REF!,"AAAAAH5Y9mc=")</f>
        <v>#REF!</v>
      </c>
      <c r="DA10" t="e">
        <f>AND(#REF!,"AAAAAH5Y9mg=")</f>
        <v>#REF!</v>
      </c>
      <c r="DB10" t="e">
        <f>AND(#REF!,"AAAAAH5Y9mk=")</f>
        <v>#REF!</v>
      </c>
      <c r="DC10" t="e">
        <f>AND(#REF!,"AAAAAH5Y9mo=")</f>
        <v>#REF!</v>
      </c>
      <c r="DD10" t="e">
        <f>AND(#REF!,"AAAAAH5Y9ms=")</f>
        <v>#REF!</v>
      </c>
      <c r="DE10" t="e">
        <f>AND(#REF!,"AAAAAH5Y9mw=")</f>
        <v>#REF!</v>
      </c>
      <c r="DF10" t="e">
        <f>AND(#REF!,"AAAAAH5Y9m0=")</f>
        <v>#REF!</v>
      </c>
      <c r="DG10" t="e">
        <f>AND(#REF!,"AAAAAH5Y9m4=")</f>
        <v>#REF!</v>
      </c>
      <c r="DH10" t="e">
        <f>AND(#REF!,"AAAAAH5Y9m8=")</f>
        <v>#REF!</v>
      </c>
      <c r="DI10" t="e">
        <f>AND(#REF!,"AAAAAH5Y9nA=")</f>
        <v>#REF!</v>
      </c>
      <c r="DJ10" t="e">
        <f>AND(#REF!,"AAAAAH5Y9nE=")</f>
        <v>#REF!</v>
      </c>
      <c r="DK10" t="e">
        <f>AND(#REF!,"AAAAAH5Y9nI=")</f>
        <v>#REF!</v>
      </c>
      <c r="DL10" t="e">
        <f>AND(#REF!,"AAAAAH5Y9nM=")</f>
        <v>#REF!</v>
      </c>
      <c r="DM10" t="e">
        <f>IF(#REF!,"AAAAAH5Y9nQ=",0)</f>
        <v>#REF!</v>
      </c>
      <c r="DN10" t="e">
        <f>AND(#REF!,"AAAAAH5Y9nU=")</f>
        <v>#REF!</v>
      </c>
      <c r="DO10" t="e">
        <f>AND(#REF!,"AAAAAH5Y9nY=")</f>
        <v>#REF!</v>
      </c>
      <c r="DP10" t="e">
        <f>AND(#REF!,"AAAAAH5Y9nc=")</f>
        <v>#REF!</v>
      </c>
      <c r="DQ10" t="e">
        <f>AND(#REF!,"AAAAAH5Y9ng=")</f>
        <v>#REF!</v>
      </c>
      <c r="DR10" t="e">
        <f>AND(#REF!,"AAAAAH5Y9nk=")</f>
        <v>#REF!</v>
      </c>
      <c r="DS10" t="e">
        <f>AND(#REF!,"AAAAAH5Y9no=")</f>
        <v>#REF!</v>
      </c>
      <c r="DT10" t="e">
        <f>AND(#REF!,"AAAAAH5Y9ns=")</f>
        <v>#REF!</v>
      </c>
      <c r="DU10" t="e">
        <f>AND(#REF!,"AAAAAH5Y9nw=")</f>
        <v>#REF!</v>
      </c>
      <c r="DV10" t="e">
        <f>AND(#REF!,"AAAAAH5Y9n0=")</f>
        <v>#REF!</v>
      </c>
      <c r="DW10" t="e">
        <f>AND(#REF!,"AAAAAH5Y9n4=")</f>
        <v>#REF!</v>
      </c>
      <c r="DX10" t="e">
        <f>AND(#REF!,"AAAAAH5Y9n8=")</f>
        <v>#REF!</v>
      </c>
      <c r="DY10" t="e">
        <f>AND(#REF!,"AAAAAH5Y9oA=")</f>
        <v>#REF!</v>
      </c>
      <c r="DZ10" t="e">
        <f>AND(#REF!,"AAAAAH5Y9oE=")</f>
        <v>#REF!</v>
      </c>
      <c r="EA10" t="e">
        <f>AND(#REF!,"AAAAAH5Y9oI=")</f>
        <v>#REF!</v>
      </c>
      <c r="EB10" t="e">
        <f>AND(#REF!,"AAAAAH5Y9oM=")</f>
        <v>#REF!</v>
      </c>
      <c r="EC10" t="e">
        <f>AND(#REF!,"AAAAAH5Y9oQ=")</f>
        <v>#REF!</v>
      </c>
      <c r="ED10" t="e">
        <f>AND(#REF!,"AAAAAH5Y9oU=")</f>
        <v>#REF!</v>
      </c>
      <c r="EE10" t="e">
        <f>AND(#REF!,"AAAAAH5Y9oY=")</f>
        <v>#REF!</v>
      </c>
      <c r="EF10" t="e">
        <f>AND(#REF!,"AAAAAH5Y9oc=")</f>
        <v>#REF!</v>
      </c>
      <c r="EG10" t="e">
        <f>AND(#REF!,"AAAAAH5Y9og=")</f>
        <v>#REF!</v>
      </c>
      <c r="EH10" t="e">
        <f>AND(#REF!,"AAAAAH5Y9ok=")</f>
        <v>#REF!</v>
      </c>
      <c r="EI10" t="e">
        <f>AND(#REF!,"AAAAAH5Y9oo=")</f>
        <v>#REF!</v>
      </c>
      <c r="EJ10" t="e">
        <f>AND(#REF!,"AAAAAH5Y9os=")</f>
        <v>#REF!</v>
      </c>
      <c r="EK10" t="e">
        <f>AND(#REF!,"AAAAAH5Y9ow=")</f>
        <v>#REF!</v>
      </c>
      <c r="EL10" t="e">
        <f>AND(#REF!,"AAAAAH5Y9o0=")</f>
        <v>#REF!</v>
      </c>
      <c r="EM10" t="e">
        <f>AND(#REF!,"AAAAAH5Y9o4=")</f>
        <v>#REF!</v>
      </c>
      <c r="EN10" t="e">
        <f>AND(#REF!,"AAAAAH5Y9o8=")</f>
        <v>#REF!</v>
      </c>
      <c r="EO10" t="e">
        <f>AND(#REF!,"AAAAAH5Y9pA=")</f>
        <v>#REF!</v>
      </c>
      <c r="EP10" t="e">
        <f>AND(#REF!,"AAAAAH5Y9pE=")</f>
        <v>#REF!</v>
      </c>
      <c r="EQ10" t="e">
        <f>AND(#REF!,"AAAAAH5Y9pI=")</f>
        <v>#REF!</v>
      </c>
      <c r="ER10" t="e">
        <f>AND(#REF!,"AAAAAH5Y9pM=")</f>
        <v>#REF!</v>
      </c>
      <c r="ES10" t="e">
        <f>AND(#REF!,"AAAAAH5Y9pQ=")</f>
        <v>#REF!</v>
      </c>
      <c r="ET10" t="e">
        <f>AND(#REF!,"AAAAAH5Y9pU=")</f>
        <v>#REF!</v>
      </c>
      <c r="EU10" t="e">
        <f>AND(#REF!,"AAAAAH5Y9pY=")</f>
        <v>#REF!</v>
      </c>
      <c r="EV10" t="e">
        <f>AND(#REF!,"AAAAAH5Y9pc=")</f>
        <v>#REF!</v>
      </c>
      <c r="EW10" t="e">
        <f>AND(#REF!,"AAAAAH5Y9pg=")</f>
        <v>#REF!</v>
      </c>
      <c r="EX10" t="e">
        <f>AND(#REF!,"AAAAAH5Y9pk=")</f>
        <v>#REF!</v>
      </c>
      <c r="EY10" t="e">
        <f>AND(#REF!,"AAAAAH5Y9po=")</f>
        <v>#REF!</v>
      </c>
      <c r="EZ10" t="e">
        <f>AND(#REF!,"AAAAAH5Y9ps=")</f>
        <v>#REF!</v>
      </c>
      <c r="FA10" t="e">
        <f>AND(#REF!,"AAAAAH5Y9pw=")</f>
        <v>#REF!</v>
      </c>
      <c r="FB10" t="e">
        <f>AND(#REF!,"AAAAAH5Y9p0=")</f>
        <v>#REF!</v>
      </c>
      <c r="FC10" t="e">
        <f>AND(#REF!,"AAAAAH5Y9p4=")</f>
        <v>#REF!</v>
      </c>
      <c r="FD10" t="e">
        <f>AND(#REF!,"AAAAAH5Y9p8=")</f>
        <v>#REF!</v>
      </c>
      <c r="FE10" t="e">
        <f>IF(#REF!,"AAAAAH5Y9qA=",0)</f>
        <v>#REF!</v>
      </c>
      <c r="FF10" t="e">
        <f>AND(#REF!,"AAAAAH5Y9qE=")</f>
        <v>#REF!</v>
      </c>
      <c r="FG10" t="e">
        <f>AND(#REF!,"AAAAAH5Y9qI=")</f>
        <v>#REF!</v>
      </c>
      <c r="FH10" t="e">
        <f>AND(#REF!,"AAAAAH5Y9qM=")</f>
        <v>#REF!</v>
      </c>
      <c r="FI10" t="e">
        <f>AND(#REF!,"AAAAAH5Y9qQ=")</f>
        <v>#REF!</v>
      </c>
      <c r="FJ10" t="e">
        <f>AND(#REF!,"AAAAAH5Y9qU=")</f>
        <v>#REF!</v>
      </c>
      <c r="FK10" t="e">
        <f>AND(#REF!,"AAAAAH5Y9qY=")</f>
        <v>#REF!</v>
      </c>
      <c r="FL10" t="e">
        <f>AND(#REF!,"AAAAAH5Y9qc=")</f>
        <v>#REF!</v>
      </c>
      <c r="FM10" t="e">
        <f>AND(#REF!,"AAAAAH5Y9qg=")</f>
        <v>#REF!</v>
      </c>
      <c r="FN10" t="e">
        <f>AND(#REF!,"AAAAAH5Y9qk=")</f>
        <v>#REF!</v>
      </c>
      <c r="FO10" t="e">
        <f>AND(#REF!,"AAAAAH5Y9qo=")</f>
        <v>#REF!</v>
      </c>
      <c r="FP10" t="e">
        <f>AND(#REF!,"AAAAAH5Y9qs=")</f>
        <v>#REF!</v>
      </c>
      <c r="FQ10" t="e">
        <f>AND(#REF!,"AAAAAH5Y9qw=")</f>
        <v>#REF!</v>
      </c>
      <c r="FR10" t="e">
        <f>AND(#REF!,"AAAAAH5Y9q0=")</f>
        <v>#REF!</v>
      </c>
      <c r="FS10" t="e">
        <f>AND(#REF!,"AAAAAH5Y9q4=")</f>
        <v>#REF!</v>
      </c>
      <c r="FT10" t="e">
        <f>AND(#REF!,"AAAAAH5Y9q8=")</f>
        <v>#REF!</v>
      </c>
      <c r="FU10" t="e">
        <f>AND(#REF!,"AAAAAH5Y9rA=")</f>
        <v>#REF!</v>
      </c>
      <c r="FV10" t="e">
        <f>AND(#REF!,"AAAAAH5Y9rE=")</f>
        <v>#REF!</v>
      </c>
      <c r="FW10" t="e">
        <f>AND(#REF!,"AAAAAH5Y9rI=")</f>
        <v>#REF!</v>
      </c>
      <c r="FX10" t="e">
        <f>AND(#REF!,"AAAAAH5Y9rM=")</f>
        <v>#REF!</v>
      </c>
      <c r="FY10" t="e">
        <f>AND(#REF!,"AAAAAH5Y9rQ=")</f>
        <v>#REF!</v>
      </c>
      <c r="FZ10" t="e">
        <f>AND(#REF!,"AAAAAH5Y9rU=")</f>
        <v>#REF!</v>
      </c>
      <c r="GA10" t="e">
        <f>AND(#REF!,"AAAAAH5Y9rY=")</f>
        <v>#REF!</v>
      </c>
      <c r="GB10" t="e">
        <f>AND(#REF!,"AAAAAH5Y9rc=")</f>
        <v>#REF!</v>
      </c>
      <c r="GC10" t="e">
        <f>AND(#REF!,"AAAAAH5Y9rg=")</f>
        <v>#REF!</v>
      </c>
      <c r="GD10" t="e">
        <f>AND(#REF!,"AAAAAH5Y9rk=")</f>
        <v>#REF!</v>
      </c>
      <c r="GE10" t="e">
        <f>AND(#REF!,"AAAAAH5Y9ro=")</f>
        <v>#REF!</v>
      </c>
      <c r="GF10" t="e">
        <f>AND(#REF!,"AAAAAH5Y9rs=")</f>
        <v>#REF!</v>
      </c>
      <c r="GG10" t="e">
        <f>AND(#REF!,"AAAAAH5Y9rw=")</f>
        <v>#REF!</v>
      </c>
      <c r="GH10" t="e">
        <f>AND(#REF!,"AAAAAH5Y9r0=")</f>
        <v>#REF!</v>
      </c>
      <c r="GI10" t="e">
        <f>AND(#REF!,"AAAAAH5Y9r4=")</f>
        <v>#REF!</v>
      </c>
      <c r="GJ10" t="e">
        <f>AND(#REF!,"AAAAAH5Y9r8=")</f>
        <v>#REF!</v>
      </c>
      <c r="GK10" t="e">
        <f>AND(#REF!,"AAAAAH5Y9sA=")</f>
        <v>#REF!</v>
      </c>
      <c r="GL10" t="e">
        <f>AND(#REF!,"AAAAAH5Y9sE=")</f>
        <v>#REF!</v>
      </c>
      <c r="GM10" t="e">
        <f>AND(#REF!,"AAAAAH5Y9sI=")</f>
        <v>#REF!</v>
      </c>
      <c r="GN10" t="e">
        <f>AND(#REF!,"AAAAAH5Y9sM=")</f>
        <v>#REF!</v>
      </c>
      <c r="GO10" t="e">
        <f>AND(#REF!,"AAAAAH5Y9sQ=")</f>
        <v>#REF!</v>
      </c>
      <c r="GP10" t="e">
        <f>AND(#REF!,"AAAAAH5Y9sU=")</f>
        <v>#REF!</v>
      </c>
      <c r="GQ10" t="e">
        <f>AND(#REF!,"AAAAAH5Y9sY=")</f>
        <v>#REF!</v>
      </c>
      <c r="GR10" t="e">
        <f>AND(#REF!,"AAAAAH5Y9sc=")</f>
        <v>#REF!</v>
      </c>
      <c r="GS10" t="e">
        <f>AND(#REF!,"AAAAAH5Y9sg=")</f>
        <v>#REF!</v>
      </c>
      <c r="GT10" t="e">
        <f>AND(#REF!,"AAAAAH5Y9sk=")</f>
        <v>#REF!</v>
      </c>
      <c r="GU10" t="e">
        <f>AND(#REF!,"AAAAAH5Y9so=")</f>
        <v>#REF!</v>
      </c>
      <c r="GV10" t="e">
        <f>AND(#REF!,"AAAAAH5Y9ss=")</f>
        <v>#REF!</v>
      </c>
      <c r="GW10" t="e">
        <f>IF(#REF!,"AAAAAH5Y9sw=",0)</f>
        <v>#REF!</v>
      </c>
      <c r="GX10" t="e">
        <f>AND(#REF!,"AAAAAH5Y9s0=")</f>
        <v>#REF!</v>
      </c>
      <c r="GY10" t="e">
        <f>AND(#REF!,"AAAAAH5Y9s4=")</f>
        <v>#REF!</v>
      </c>
      <c r="GZ10" t="e">
        <f>AND(#REF!,"AAAAAH5Y9s8=")</f>
        <v>#REF!</v>
      </c>
      <c r="HA10" t="e">
        <f>AND(#REF!,"AAAAAH5Y9tA=")</f>
        <v>#REF!</v>
      </c>
      <c r="HB10" t="e">
        <f>AND(#REF!,"AAAAAH5Y9tE=")</f>
        <v>#REF!</v>
      </c>
      <c r="HC10" t="e">
        <f>AND(#REF!,"AAAAAH5Y9tI=")</f>
        <v>#REF!</v>
      </c>
      <c r="HD10" t="e">
        <f>AND(#REF!,"AAAAAH5Y9tM=")</f>
        <v>#REF!</v>
      </c>
      <c r="HE10" t="e">
        <f>AND(#REF!,"AAAAAH5Y9tQ=")</f>
        <v>#REF!</v>
      </c>
      <c r="HF10" t="e">
        <f>AND(#REF!,"AAAAAH5Y9tU=")</f>
        <v>#REF!</v>
      </c>
      <c r="HG10" t="e">
        <f>AND(#REF!,"AAAAAH5Y9tY=")</f>
        <v>#REF!</v>
      </c>
      <c r="HH10" t="e">
        <f>AND(#REF!,"AAAAAH5Y9tc=")</f>
        <v>#REF!</v>
      </c>
      <c r="HI10" t="e">
        <f>AND(#REF!,"AAAAAH5Y9tg=")</f>
        <v>#REF!</v>
      </c>
      <c r="HJ10" t="e">
        <f>AND(#REF!,"AAAAAH5Y9tk=")</f>
        <v>#REF!</v>
      </c>
      <c r="HK10" t="e">
        <f>AND(#REF!,"AAAAAH5Y9to=")</f>
        <v>#REF!</v>
      </c>
      <c r="HL10" t="e">
        <f>AND(#REF!,"AAAAAH5Y9ts=")</f>
        <v>#REF!</v>
      </c>
      <c r="HM10" t="e">
        <f>AND(#REF!,"AAAAAH5Y9tw=")</f>
        <v>#REF!</v>
      </c>
      <c r="HN10" t="e">
        <f>AND(#REF!,"AAAAAH5Y9t0=")</f>
        <v>#REF!</v>
      </c>
      <c r="HO10" t="e">
        <f>AND(#REF!,"AAAAAH5Y9t4=")</f>
        <v>#REF!</v>
      </c>
      <c r="HP10" t="e">
        <f>AND(#REF!,"AAAAAH5Y9t8=")</f>
        <v>#REF!</v>
      </c>
      <c r="HQ10" t="e">
        <f>AND(#REF!,"AAAAAH5Y9uA=")</f>
        <v>#REF!</v>
      </c>
      <c r="HR10" t="e">
        <f>AND(#REF!,"AAAAAH5Y9uE=")</f>
        <v>#REF!</v>
      </c>
      <c r="HS10" t="e">
        <f>AND(#REF!,"AAAAAH5Y9uI=")</f>
        <v>#REF!</v>
      </c>
      <c r="HT10" t="e">
        <f>AND(#REF!,"AAAAAH5Y9uM=")</f>
        <v>#REF!</v>
      </c>
      <c r="HU10" t="e">
        <f>AND(#REF!,"AAAAAH5Y9uQ=")</f>
        <v>#REF!</v>
      </c>
      <c r="HV10" t="e">
        <f>AND(#REF!,"AAAAAH5Y9uU=")</f>
        <v>#REF!</v>
      </c>
      <c r="HW10" t="e">
        <f>AND(#REF!,"AAAAAH5Y9uY=")</f>
        <v>#REF!</v>
      </c>
      <c r="HX10" t="e">
        <f>AND(#REF!,"AAAAAH5Y9uc=")</f>
        <v>#REF!</v>
      </c>
      <c r="HY10" t="e">
        <f>AND(#REF!,"AAAAAH5Y9ug=")</f>
        <v>#REF!</v>
      </c>
      <c r="HZ10" t="e">
        <f>AND(#REF!,"AAAAAH5Y9uk=")</f>
        <v>#REF!</v>
      </c>
      <c r="IA10" t="e">
        <f>AND(#REF!,"AAAAAH5Y9uo=")</f>
        <v>#REF!</v>
      </c>
      <c r="IB10" t="e">
        <f>AND(#REF!,"AAAAAH5Y9us=")</f>
        <v>#REF!</v>
      </c>
      <c r="IC10" t="e">
        <f>AND(#REF!,"AAAAAH5Y9uw=")</f>
        <v>#REF!</v>
      </c>
      <c r="ID10" t="e">
        <f>AND(#REF!,"AAAAAH5Y9u0=")</f>
        <v>#REF!</v>
      </c>
      <c r="IE10" t="e">
        <f>AND(#REF!,"AAAAAH5Y9u4=")</f>
        <v>#REF!</v>
      </c>
      <c r="IF10" t="e">
        <f>AND(#REF!,"AAAAAH5Y9u8=")</f>
        <v>#REF!</v>
      </c>
      <c r="IG10" t="e">
        <f>AND(#REF!,"AAAAAH5Y9vA=")</f>
        <v>#REF!</v>
      </c>
      <c r="IH10" t="e">
        <f>AND(#REF!,"AAAAAH5Y9vE=")</f>
        <v>#REF!</v>
      </c>
      <c r="II10" t="e">
        <f>AND(#REF!,"AAAAAH5Y9vI=")</f>
        <v>#REF!</v>
      </c>
      <c r="IJ10" t="e">
        <f>AND(#REF!,"AAAAAH5Y9vM=")</f>
        <v>#REF!</v>
      </c>
      <c r="IK10" t="e">
        <f>AND(#REF!,"AAAAAH5Y9vQ=")</f>
        <v>#REF!</v>
      </c>
      <c r="IL10" t="e">
        <f>AND(#REF!,"AAAAAH5Y9vU=")</f>
        <v>#REF!</v>
      </c>
      <c r="IM10" t="e">
        <f>AND(#REF!,"AAAAAH5Y9vY=")</f>
        <v>#REF!</v>
      </c>
      <c r="IN10" t="e">
        <f>AND(#REF!,"AAAAAH5Y9vc=")</f>
        <v>#REF!</v>
      </c>
      <c r="IO10" t="e">
        <f>IF(#REF!,"AAAAAH5Y9vg=",0)</f>
        <v>#REF!</v>
      </c>
      <c r="IP10" t="e">
        <f>AND(#REF!,"AAAAAH5Y9vk=")</f>
        <v>#REF!</v>
      </c>
      <c r="IQ10" t="e">
        <f>AND(#REF!,"AAAAAH5Y9vo=")</f>
        <v>#REF!</v>
      </c>
      <c r="IR10" t="e">
        <f>AND(#REF!,"AAAAAH5Y9vs=")</f>
        <v>#REF!</v>
      </c>
      <c r="IS10" t="e">
        <f>AND(#REF!,"AAAAAH5Y9vw=")</f>
        <v>#REF!</v>
      </c>
      <c r="IT10" t="e">
        <f>AND(#REF!,"AAAAAH5Y9v0=")</f>
        <v>#REF!</v>
      </c>
      <c r="IU10" t="e">
        <f>AND(#REF!,"AAAAAH5Y9v4=")</f>
        <v>#REF!</v>
      </c>
      <c r="IV10" t="e">
        <f>AND(#REF!,"AAAAAH5Y9v8=")</f>
        <v>#REF!</v>
      </c>
    </row>
    <row r="11" spans="1:256" x14ac:dyDescent="0.25">
      <c r="A11" t="e">
        <f>AND(#REF!,"AAAAAHn2/QA=")</f>
        <v>#REF!</v>
      </c>
      <c r="B11" t="e">
        <f>AND(#REF!,"AAAAAHn2/QE=")</f>
        <v>#REF!</v>
      </c>
      <c r="C11" t="e">
        <f>AND(#REF!,"AAAAAHn2/QI=")</f>
        <v>#REF!</v>
      </c>
      <c r="D11" t="e">
        <f>AND(#REF!,"AAAAAHn2/QM=")</f>
        <v>#REF!</v>
      </c>
      <c r="E11" t="e">
        <f>AND(#REF!,"AAAAAHn2/QQ=")</f>
        <v>#REF!</v>
      </c>
      <c r="F11" t="e">
        <f>AND(#REF!,"AAAAAHn2/QU=")</f>
        <v>#REF!</v>
      </c>
      <c r="G11" t="e">
        <f>AND(#REF!,"AAAAAHn2/QY=")</f>
        <v>#REF!</v>
      </c>
      <c r="H11" t="e">
        <f>AND(#REF!,"AAAAAHn2/Qc=")</f>
        <v>#REF!</v>
      </c>
      <c r="I11" t="e">
        <f>AND(#REF!,"AAAAAHn2/Qg=")</f>
        <v>#REF!</v>
      </c>
      <c r="J11" t="e">
        <f>AND(#REF!,"AAAAAHn2/Qk=")</f>
        <v>#REF!</v>
      </c>
      <c r="K11" t="e">
        <f>AND(#REF!,"AAAAAHn2/Qo=")</f>
        <v>#REF!</v>
      </c>
      <c r="L11" t="e">
        <f>AND(#REF!,"AAAAAHn2/Qs=")</f>
        <v>#REF!</v>
      </c>
      <c r="M11" t="e">
        <f>AND(#REF!,"AAAAAHn2/Qw=")</f>
        <v>#REF!</v>
      </c>
      <c r="N11" t="e">
        <f>AND(#REF!,"AAAAAHn2/Q0=")</f>
        <v>#REF!</v>
      </c>
      <c r="O11" t="e">
        <f>AND(#REF!,"AAAAAHn2/Q4=")</f>
        <v>#REF!</v>
      </c>
      <c r="P11" t="e">
        <f>AND(#REF!,"AAAAAHn2/Q8=")</f>
        <v>#REF!</v>
      </c>
      <c r="Q11" t="e">
        <f>AND(#REF!,"AAAAAHn2/RA=")</f>
        <v>#REF!</v>
      </c>
      <c r="R11" t="e">
        <f>AND(#REF!,"AAAAAHn2/RE=")</f>
        <v>#REF!</v>
      </c>
      <c r="S11" t="e">
        <f>AND(#REF!,"AAAAAHn2/RI=")</f>
        <v>#REF!</v>
      </c>
      <c r="T11" t="e">
        <f>AND(#REF!,"AAAAAHn2/RM=")</f>
        <v>#REF!</v>
      </c>
      <c r="U11" t="e">
        <f>AND(#REF!,"AAAAAHn2/RQ=")</f>
        <v>#REF!</v>
      </c>
      <c r="V11" t="e">
        <f>AND(#REF!,"AAAAAHn2/RU=")</f>
        <v>#REF!</v>
      </c>
      <c r="W11" t="e">
        <f>AND(#REF!,"AAAAAHn2/RY=")</f>
        <v>#REF!</v>
      </c>
      <c r="X11" t="e">
        <f>AND(#REF!,"AAAAAHn2/Rc=")</f>
        <v>#REF!</v>
      </c>
      <c r="Y11" t="e">
        <f>AND(#REF!,"AAAAAHn2/Rg=")</f>
        <v>#REF!</v>
      </c>
      <c r="Z11" t="e">
        <f>AND(#REF!,"AAAAAHn2/Rk=")</f>
        <v>#REF!</v>
      </c>
      <c r="AA11" t="e">
        <f>AND(#REF!,"AAAAAHn2/Ro=")</f>
        <v>#REF!</v>
      </c>
      <c r="AB11" t="e">
        <f>AND(#REF!,"AAAAAHn2/Rs=")</f>
        <v>#REF!</v>
      </c>
      <c r="AC11" t="e">
        <f>AND(#REF!,"AAAAAHn2/Rw=")</f>
        <v>#REF!</v>
      </c>
      <c r="AD11" t="e">
        <f>AND(#REF!,"AAAAAHn2/R0=")</f>
        <v>#REF!</v>
      </c>
      <c r="AE11" t="e">
        <f>AND(#REF!,"AAAAAHn2/R4=")</f>
        <v>#REF!</v>
      </c>
      <c r="AF11" t="e">
        <f>AND(#REF!,"AAAAAHn2/R8=")</f>
        <v>#REF!</v>
      </c>
      <c r="AG11" t="e">
        <f>AND(#REF!,"AAAAAHn2/SA=")</f>
        <v>#REF!</v>
      </c>
      <c r="AH11" t="e">
        <f>AND(#REF!,"AAAAAHn2/SE=")</f>
        <v>#REF!</v>
      </c>
      <c r="AI11" t="e">
        <f>AND(#REF!,"AAAAAHn2/SI=")</f>
        <v>#REF!</v>
      </c>
      <c r="AJ11" t="e">
        <f>AND(#REF!,"AAAAAHn2/SM=")</f>
        <v>#REF!</v>
      </c>
      <c r="AK11" t="e">
        <f>IF(#REF!,"AAAAAHn2/SQ=",0)</f>
        <v>#REF!</v>
      </c>
      <c r="AL11" t="e">
        <f>AND(#REF!,"AAAAAHn2/SU=")</f>
        <v>#REF!</v>
      </c>
      <c r="AM11" t="e">
        <f>AND(#REF!,"AAAAAHn2/SY=")</f>
        <v>#REF!</v>
      </c>
      <c r="AN11" t="e">
        <f>AND(#REF!,"AAAAAHn2/Sc=")</f>
        <v>#REF!</v>
      </c>
      <c r="AO11" t="e">
        <f>AND(#REF!,"AAAAAHn2/Sg=")</f>
        <v>#REF!</v>
      </c>
      <c r="AP11" t="e">
        <f>AND(#REF!,"AAAAAHn2/Sk=")</f>
        <v>#REF!</v>
      </c>
      <c r="AQ11" t="e">
        <f>AND(#REF!,"AAAAAHn2/So=")</f>
        <v>#REF!</v>
      </c>
      <c r="AR11" t="e">
        <f>AND(#REF!,"AAAAAHn2/Ss=")</f>
        <v>#REF!</v>
      </c>
      <c r="AS11" t="e">
        <f>AND(#REF!,"AAAAAHn2/Sw=")</f>
        <v>#REF!</v>
      </c>
      <c r="AT11" t="e">
        <f>AND(#REF!,"AAAAAHn2/S0=")</f>
        <v>#REF!</v>
      </c>
      <c r="AU11" t="e">
        <f>AND(#REF!,"AAAAAHn2/S4=")</f>
        <v>#REF!</v>
      </c>
      <c r="AV11" t="e">
        <f>AND(#REF!,"AAAAAHn2/S8=")</f>
        <v>#REF!</v>
      </c>
      <c r="AW11" t="e">
        <f>AND(#REF!,"AAAAAHn2/TA=")</f>
        <v>#REF!</v>
      </c>
      <c r="AX11" t="e">
        <f>AND(#REF!,"AAAAAHn2/TE=")</f>
        <v>#REF!</v>
      </c>
      <c r="AY11" t="e">
        <f>AND(#REF!,"AAAAAHn2/TI=")</f>
        <v>#REF!</v>
      </c>
      <c r="AZ11" t="e">
        <f>AND(#REF!,"AAAAAHn2/TM=")</f>
        <v>#REF!</v>
      </c>
      <c r="BA11" t="e">
        <f>AND(#REF!,"AAAAAHn2/TQ=")</f>
        <v>#REF!</v>
      </c>
      <c r="BB11" t="e">
        <f>AND(#REF!,"AAAAAHn2/TU=")</f>
        <v>#REF!</v>
      </c>
      <c r="BC11" t="e">
        <f>AND(#REF!,"AAAAAHn2/TY=")</f>
        <v>#REF!</v>
      </c>
      <c r="BD11" t="e">
        <f>AND(#REF!,"AAAAAHn2/Tc=")</f>
        <v>#REF!</v>
      </c>
      <c r="BE11" t="e">
        <f>AND(#REF!,"AAAAAHn2/Tg=")</f>
        <v>#REF!</v>
      </c>
      <c r="BF11" t="e">
        <f>AND(#REF!,"AAAAAHn2/Tk=")</f>
        <v>#REF!</v>
      </c>
      <c r="BG11" t="e">
        <f>AND(#REF!,"AAAAAHn2/To=")</f>
        <v>#REF!</v>
      </c>
      <c r="BH11" t="e">
        <f>AND(#REF!,"AAAAAHn2/Ts=")</f>
        <v>#REF!</v>
      </c>
      <c r="BI11" t="e">
        <f>AND(#REF!,"AAAAAHn2/Tw=")</f>
        <v>#REF!</v>
      </c>
      <c r="BJ11" t="e">
        <f>AND(#REF!,"AAAAAHn2/T0=")</f>
        <v>#REF!</v>
      </c>
      <c r="BK11" t="e">
        <f>AND(#REF!,"AAAAAHn2/T4=")</f>
        <v>#REF!</v>
      </c>
      <c r="BL11" t="e">
        <f>AND(#REF!,"AAAAAHn2/T8=")</f>
        <v>#REF!</v>
      </c>
      <c r="BM11" t="e">
        <f>AND(#REF!,"AAAAAHn2/UA=")</f>
        <v>#REF!</v>
      </c>
      <c r="BN11" t="e">
        <f>AND(#REF!,"AAAAAHn2/UE=")</f>
        <v>#REF!</v>
      </c>
      <c r="BO11" t="e">
        <f>AND(#REF!,"AAAAAHn2/UI=")</f>
        <v>#REF!</v>
      </c>
      <c r="BP11" t="e">
        <f>AND(#REF!,"AAAAAHn2/UM=")</f>
        <v>#REF!</v>
      </c>
      <c r="BQ11" t="e">
        <f>AND(#REF!,"AAAAAHn2/UQ=")</f>
        <v>#REF!</v>
      </c>
      <c r="BR11" t="e">
        <f>AND(#REF!,"AAAAAHn2/UU=")</f>
        <v>#REF!</v>
      </c>
      <c r="BS11" t="e">
        <f>AND(#REF!,"AAAAAHn2/UY=")</f>
        <v>#REF!</v>
      </c>
      <c r="BT11" t="e">
        <f>AND(#REF!,"AAAAAHn2/Uc=")</f>
        <v>#REF!</v>
      </c>
      <c r="BU11" t="e">
        <f>AND(#REF!,"AAAAAHn2/Ug=")</f>
        <v>#REF!</v>
      </c>
      <c r="BV11" t="e">
        <f>AND(#REF!,"AAAAAHn2/Uk=")</f>
        <v>#REF!</v>
      </c>
      <c r="BW11" t="e">
        <f>AND(#REF!,"AAAAAHn2/Uo=")</f>
        <v>#REF!</v>
      </c>
      <c r="BX11" t="e">
        <f>AND(#REF!,"AAAAAHn2/Us=")</f>
        <v>#REF!</v>
      </c>
      <c r="BY11" t="e">
        <f>AND(#REF!,"AAAAAHn2/Uw=")</f>
        <v>#REF!</v>
      </c>
      <c r="BZ11" t="e">
        <f>AND(#REF!,"AAAAAHn2/U0=")</f>
        <v>#REF!</v>
      </c>
      <c r="CA11" t="e">
        <f>AND(#REF!,"AAAAAHn2/U4=")</f>
        <v>#REF!</v>
      </c>
      <c r="CB11" t="e">
        <f>AND(#REF!,"AAAAAHn2/U8=")</f>
        <v>#REF!</v>
      </c>
      <c r="CC11" t="e">
        <f>IF(#REF!,"AAAAAHn2/VA=",0)</f>
        <v>#REF!</v>
      </c>
      <c r="CD11" t="e">
        <f>AND(#REF!,"AAAAAHn2/VE=")</f>
        <v>#REF!</v>
      </c>
      <c r="CE11" t="e">
        <f>AND(#REF!,"AAAAAHn2/VI=")</f>
        <v>#REF!</v>
      </c>
      <c r="CF11" t="e">
        <f>AND(#REF!,"AAAAAHn2/VM=")</f>
        <v>#REF!</v>
      </c>
      <c r="CG11" t="e">
        <f>AND(#REF!,"AAAAAHn2/VQ=")</f>
        <v>#REF!</v>
      </c>
      <c r="CH11" t="e">
        <f>AND(#REF!,"AAAAAHn2/VU=")</f>
        <v>#REF!</v>
      </c>
      <c r="CI11" t="e">
        <f>AND(#REF!,"AAAAAHn2/VY=")</f>
        <v>#REF!</v>
      </c>
      <c r="CJ11" t="e">
        <f>AND(#REF!,"AAAAAHn2/Vc=")</f>
        <v>#REF!</v>
      </c>
      <c r="CK11" t="e">
        <f>AND(#REF!,"AAAAAHn2/Vg=")</f>
        <v>#REF!</v>
      </c>
      <c r="CL11" t="e">
        <f>AND(#REF!,"AAAAAHn2/Vk=")</f>
        <v>#REF!</v>
      </c>
      <c r="CM11" t="e">
        <f>AND(#REF!,"AAAAAHn2/Vo=")</f>
        <v>#REF!</v>
      </c>
      <c r="CN11" t="e">
        <f>AND(#REF!,"AAAAAHn2/Vs=")</f>
        <v>#REF!</v>
      </c>
      <c r="CO11" t="e">
        <f>AND(#REF!,"AAAAAHn2/Vw=")</f>
        <v>#REF!</v>
      </c>
      <c r="CP11" t="e">
        <f>AND(#REF!,"AAAAAHn2/V0=")</f>
        <v>#REF!</v>
      </c>
      <c r="CQ11" t="e">
        <f>AND(#REF!,"AAAAAHn2/V4=")</f>
        <v>#REF!</v>
      </c>
      <c r="CR11" t="e">
        <f>AND(#REF!,"AAAAAHn2/V8=")</f>
        <v>#REF!</v>
      </c>
      <c r="CS11" t="e">
        <f>AND(#REF!,"AAAAAHn2/WA=")</f>
        <v>#REF!</v>
      </c>
      <c r="CT11" t="e">
        <f>AND(#REF!,"AAAAAHn2/WE=")</f>
        <v>#REF!</v>
      </c>
      <c r="CU11" t="e">
        <f>AND(#REF!,"AAAAAHn2/WI=")</f>
        <v>#REF!</v>
      </c>
      <c r="CV11" t="e">
        <f>AND(#REF!,"AAAAAHn2/WM=")</f>
        <v>#REF!</v>
      </c>
      <c r="CW11" t="e">
        <f>AND(#REF!,"AAAAAHn2/WQ=")</f>
        <v>#REF!</v>
      </c>
      <c r="CX11" t="e">
        <f>AND(#REF!,"AAAAAHn2/WU=")</f>
        <v>#REF!</v>
      </c>
      <c r="CY11" t="e">
        <f>AND(#REF!,"AAAAAHn2/WY=")</f>
        <v>#REF!</v>
      </c>
      <c r="CZ11" t="e">
        <f>AND(#REF!,"AAAAAHn2/Wc=")</f>
        <v>#REF!</v>
      </c>
      <c r="DA11" t="e">
        <f>AND(#REF!,"AAAAAHn2/Wg=")</f>
        <v>#REF!</v>
      </c>
      <c r="DB11" t="e">
        <f>AND(#REF!,"AAAAAHn2/Wk=")</f>
        <v>#REF!</v>
      </c>
      <c r="DC11" t="e">
        <f>AND(#REF!,"AAAAAHn2/Wo=")</f>
        <v>#REF!</v>
      </c>
      <c r="DD11" t="e">
        <f>AND(#REF!,"AAAAAHn2/Ws=")</f>
        <v>#REF!</v>
      </c>
      <c r="DE11" t="e">
        <f>AND(#REF!,"AAAAAHn2/Ww=")</f>
        <v>#REF!</v>
      </c>
      <c r="DF11" t="e">
        <f>AND(#REF!,"AAAAAHn2/W0=")</f>
        <v>#REF!</v>
      </c>
      <c r="DG11" t="e">
        <f>AND(#REF!,"AAAAAHn2/W4=")</f>
        <v>#REF!</v>
      </c>
      <c r="DH11" t="e">
        <f>AND(#REF!,"AAAAAHn2/W8=")</f>
        <v>#REF!</v>
      </c>
      <c r="DI11" t="e">
        <f>AND(#REF!,"AAAAAHn2/XA=")</f>
        <v>#REF!</v>
      </c>
      <c r="DJ11" t="e">
        <f>AND(#REF!,"AAAAAHn2/XE=")</f>
        <v>#REF!</v>
      </c>
      <c r="DK11" t="e">
        <f>AND(#REF!,"AAAAAHn2/XI=")</f>
        <v>#REF!</v>
      </c>
      <c r="DL11" t="e">
        <f>AND(#REF!,"AAAAAHn2/XM=")</f>
        <v>#REF!</v>
      </c>
      <c r="DM11" t="e">
        <f>AND(#REF!,"AAAAAHn2/XQ=")</f>
        <v>#REF!</v>
      </c>
      <c r="DN11" t="e">
        <f>AND(#REF!,"AAAAAHn2/XU=")</f>
        <v>#REF!</v>
      </c>
      <c r="DO11" t="e">
        <f>AND(#REF!,"AAAAAHn2/XY=")</f>
        <v>#REF!</v>
      </c>
      <c r="DP11" t="e">
        <f>AND(#REF!,"AAAAAHn2/Xc=")</f>
        <v>#REF!</v>
      </c>
      <c r="DQ11" t="e">
        <f>AND(#REF!,"AAAAAHn2/Xg=")</f>
        <v>#REF!</v>
      </c>
      <c r="DR11" t="e">
        <f>AND(#REF!,"AAAAAHn2/Xk=")</f>
        <v>#REF!</v>
      </c>
      <c r="DS11" t="e">
        <f>AND(#REF!,"AAAAAHn2/Xo=")</f>
        <v>#REF!</v>
      </c>
      <c r="DT11" t="e">
        <f>AND(#REF!,"AAAAAHn2/Xs=")</f>
        <v>#REF!</v>
      </c>
      <c r="DU11" t="e">
        <f>IF(#REF!,"AAAAAHn2/Xw=",0)</f>
        <v>#REF!</v>
      </c>
      <c r="DV11" t="e">
        <f>AND(#REF!,"AAAAAHn2/X0=")</f>
        <v>#REF!</v>
      </c>
      <c r="DW11" t="e">
        <f>AND(#REF!,"AAAAAHn2/X4=")</f>
        <v>#REF!</v>
      </c>
      <c r="DX11" t="e">
        <f>AND(#REF!,"AAAAAHn2/X8=")</f>
        <v>#REF!</v>
      </c>
      <c r="DY11" t="e">
        <f>AND(#REF!,"AAAAAHn2/YA=")</f>
        <v>#REF!</v>
      </c>
      <c r="DZ11" t="e">
        <f>AND(#REF!,"AAAAAHn2/YE=")</f>
        <v>#REF!</v>
      </c>
      <c r="EA11" t="e">
        <f>AND(#REF!,"AAAAAHn2/YI=")</f>
        <v>#REF!</v>
      </c>
      <c r="EB11" t="e">
        <f>AND(#REF!,"AAAAAHn2/YM=")</f>
        <v>#REF!</v>
      </c>
      <c r="EC11" t="e">
        <f>AND(#REF!,"AAAAAHn2/YQ=")</f>
        <v>#REF!</v>
      </c>
      <c r="ED11" t="e">
        <f>AND(#REF!,"AAAAAHn2/YU=")</f>
        <v>#REF!</v>
      </c>
      <c r="EE11" t="e">
        <f>AND(#REF!,"AAAAAHn2/YY=")</f>
        <v>#REF!</v>
      </c>
      <c r="EF11" t="e">
        <f>AND(#REF!,"AAAAAHn2/Yc=")</f>
        <v>#REF!</v>
      </c>
      <c r="EG11" t="e">
        <f>AND(#REF!,"AAAAAHn2/Yg=")</f>
        <v>#REF!</v>
      </c>
      <c r="EH11" t="e">
        <f>AND(#REF!,"AAAAAHn2/Yk=")</f>
        <v>#REF!</v>
      </c>
      <c r="EI11" t="e">
        <f>AND(#REF!,"AAAAAHn2/Yo=")</f>
        <v>#REF!</v>
      </c>
      <c r="EJ11" t="e">
        <f>AND(#REF!,"AAAAAHn2/Ys=")</f>
        <v>#REF!</v>
      </c>
      <c r="EK11" t="e">
        <f>AND(#REF!,"AAAAAHn2/Yw=")</f>
        <v>#REF!</v>
      </c>
      <c r="EL11" t="e">
        <f>AND(#REF!,"AAAAAHn2/Y0=")</f>
        <v>#REF!</v>
      </c>
      <c r="EM11" t="e">
        <f>AND(#REF!,"AAAAAHn2/Y4=")</f>
        <v>#REF!</v>
      </c>
      <c r="EN11" t="e">
        <f>AND(#REF!,"AAAAAHn2/Y8=")</f>
        <v>#REF!</v>
      </c>
      <c r="EO11" t="e">
        <f>AND(#REF!,"AAAAAHn2/ZA=")</f>
        <v>#REF!</v>
      </c>
      <c r="EP11" t="e">
        <f>AND(#REF!,"AAAAAHn2/ZE=")</f>
        <v>#REF!</v>
      </c>
      <c r="EQ11" t="e">
        <f>AND(#REF!,"AAAAAHn2/ZI=")</f>
        <v>#REF!</v>
      </c>
      <c r="ER11" t="e">
        <f>AND(#REF!,"AAAAAHn2/ZM=")</f>
        <v>#REF!</v>
      </c>
      <c r="ES11" t="e">
        <f>AND(#REF!,"AAAAAHn2/ZQ=")</f>
        <v>#REF!</v>
      </c>
      <c r="ET11" t="e">
        <f>AND(#REF!,"AAAAAHn2/ZU=")</f>
        <v>#REF!</v>
      </c>
      <c r="EU11" t="e">
        <f>AND(#REF!,"AAAAAHn2/ZY=")</f>
        <v>#REF!</v>
      </c>
      <c r="EV11" t="e">
        <f>AND(#REF!,"AAAAAHn2/Zc=")</f>
        <v>#REF!</v>
      </c>
      <c r="EW11" t="e">
        <f>AND(#REF!,"AAAAAHn2/Zg=")</f>
        <v>#REF!</v>
      </c>
      <c r="EX11" t="e">
        <f>AND(#REF!,"AAAAAHn2/Zk=")</f>
        <v>#REF!</v>
      </c>
      <c r="EY11" t="e">
        <f>AND(#REF!,"AAAAAHn2/Zo=")</f>
        <v>#REF!</v>
      </c>
      <c r="EZ11" t="e">
        <f>AND(#REF!,"AAAAAHn2/Zs=")</f>
        <v>#REF!</v>
      </c>
      <c r="FA11" t="e">
        <f>AND(#REF!,"AAAAAHn2/Zw=")</f>
        <v>#REF!</v>
      </c>
      <c r="FB11" t="e">
        <f>AND(#REF!,"AAAAAHn2/Z0=")</f>
        <v>#REF!</v>
      </c>
      <c r="FC11" t="e">
        <f>AND(#REF!,"AAAAAHn2/Z4=")</f>
        <v>#REF!</v>
      </c>
      <c r="FD11" t="e">
        <f>AND(#REF!,"AAAAAHn2/Z8=")</f>
        <v>#REF!</v>
      </c>
      <c r="FE11" t="e">
        <f>AND(#REF!,"AAAAAHn2/aA=")</f>
        <v>#REF!</v>
      </c>
      <c r="FF11" t="e">
        <f>AND(#REF!,"AAAAAHn2/aE=")</f>
        <v>#REF!</v>
      </c>
      <c r="FG11" t="e">
        <f>AND(#REF!,"AAAAAHn2/aI=")</f>
        <v>#REF!</v>
      </c>
      <c r="FH11" t="e">
        <f>AND(#REF!,"AAAAAHn2/aM=")</f>
        <v>#REF!</v>
      </c>
      <c r="FI11" t="e">
        <f>AND(#REF!,"AAAAAHn2/aQ=")</f>
        <v>#REF!</v>
      </c>
      <c r="FJ11" t="e">
        <f>AND(#REF!,"AAAAAHn2/aU=")</f>
        <v>#REF!</v>
      </c>
      <c r="FK11" t="e">
        <f>AND(#REF!,"AAAAAHn2/aY=")</f>
        <v>#REF!</v>
      </c>
      <c r="FL11" t="e">
        <f>AND(#REF!,"AAAAAHn2/ac=")</f>
        <v>#REF!</v>
      </c>
      <c r="FM11" t="e">
        <f>IF(#REF!,"AAAAAHn2/ag=",0)</f>
        <v>#REF!</v>
      </c>
      <c r="FN11" t="e">
        <f>AND(#REF!,"AAAAAHn2/ak=")</f>
        <v>#REF!</v>
      </c>
      <c r="FO11" t="e">
        <f>AND(#REF!,"AAAAAHn2/ao=")</f>
        <v>#REF!</v>
      </c>
      <c r="FP11" t="e">
        <f>AND(#REF!,"AAAAAHn2/as=")</f>
        <v>#REF!</v>
      </c>
      <c r="FQ11" t="e">
        <f>AND(#REF!,"AAAAAHn2/aw=")</f>
        <v>#REF!</v>
      </c>
      <c r="FR11" t="e">
        <f>AND(#REF!,"AAAAAHn2/a0=")</f>
        <v>#REF!</v>
      </c>
      <c r="FS11" t="e">
        <f>AND(#REF!,"AAAAAHn2/a4=")</f>
        <v>#REF!</v>
      </c>
      <c r="FT11" t="e">
        <f>AND(#REF!,"AAAAAHn2/a8=")</f>
        <v>#REF!</v>
      </c>
      <c r="FU11" t="e">
        <f>AND(#REF!,"AAAAAHn2/bA=")</f>
        <v>#REF!</v>
      </c>
      <c r="FV11" t="e">
        <f>AND(#REF!,"AAAAAHn2/bE=")</f>
        <v>#REF!</v>
      </c>
      <c r="FW11" t="e">
        <f>AND(#REF!,"AAAAAHn2/bI=")</f>
        <v>#REF!</v>
      </c>
      <c r="FX11" t="e">
        <f>AND(#REF!,"AAAAAHn2/bM=")</f>
        <v>#REF!</v>
      </c>
      <c r="FY11" t="e">
        <f>AND(#REF!,"AAAAAHn2/bQ=")</f>
        <v>#REF!</v>
      </c>
      <c r="FZ11" t="e">
        <f>AND(#REF!,"AAAAAHn2/bU=")</f>
        <v>#REF!</v>
      </c>
      <c r="GA11" t="e">
        <f>AND(#REF!,"AAAAAHn2/bY=")</f>
        <v>#REF!</v>
      </c>
      <c r="GB11" t="e">
        <f>AND(#REF!,"AAAAAHn2/bc=")</f>
        <v>#REF!</v>
      </c>
      <c r="GC11" t="e">
        <f>AND(#REF!,"AAAAAHn2/bg=")</f>
        <v>#REF!</v>
      </c>
      <c r="GD11" t="e">
        <f>AND(#REF!,"AAAAAHn2/bk=")</f>
        <v>#REF!</v>
      </c>
      <c r="GE11" t="e">
        <f>AND(#REF!,"AAAAAHn2/bo=")</f>
        <v>#REF!</v>
      </c>
      <c r="GF11" t="e">
        <f>AND(#REF!,"AAAAAHn2/bs=")</f>
        <v>#REF!</v>
      </c>
      <c r="GG11" t="e">
        <f>AND(#REF!,"AAAAAHn2/bw=")</f>
        <v>#REF!</v>
      </c>
      <c r="GH11" t="e">
        <f>AND(#REF!,"AAAAAHn2/b0=")</f>
        <v>#REF!</v>
      </c>
      <c r="GI11" t="e">
        <f>AND(#REF!,"AAAAAHn2/b4=")</f>
        <v>#REF!</v>
      </c>
      <c r="GJ11" t="e">
        <f>AND(#REF!,"AAAAAHn2/b8=")</f>
        <v>#REF!</v>
      </c>
      <c r="GK11" t="e">
        <f>AND(#REF!,"AAAAAHn2/cA=")</f>
        <v>#REF!</v>
      </c>
      <c r="GL11" t="e">
        <f>AND(#REF!,"AAAAAHn2/cE=")</f>
        <v>#REF!</v>
      </c>
      <c r="GM11" t="e">
        <f>AND(#REF!,"AAAAAHn2/cI=")</f>
        <v>#REF!</v>
      </c>
      <c r="GN11" t="e">
        <f>AND(#REF!,"AAAAAHn2/cM=")</f>
        <v>#REF!</v>
      </c>
      <c r="GO11" t="e">
        <f>AND(#REF!,"AAAAAHn2/cQ=")</f>
        <v>#REF!</v>
      </c>
      <c r="GP11" t="e">
        <f>AND(#REF!,"AAAAAHn2/cU=")</f>
        <v>#REF!</v>
      </c>
      <c r="GQ11" t="e">
        <f>AND(#REF!,"AAAAAHn2/cY=")</f>
        <v>#REF!</v>
      </c>
      <c r="GR11" t="e">
        <f>AND(#REF!,"AAAAAHn2/cc=")</f>
        <v>#REF!</v>
      </c>
      <c r="GS11" t="e">
        <f>AND(#REF!,"AAAAAHn2/cg=")</f>
        <v>#REF!</v>
      </c>
      <c r="GT11" t="e">
        <f>AND(#REF!,"AAAAAHn2/ck=")</f>
        <v>#REF!</v>
      </c>
      <c r="GU11" t="e">
        <f>AND(#REF!,"AAAAAHn2/co=")</f>
        <v>#REF!</v>
      </c>
      <c r="GV11" t="e">
        <f>AND(#REF!,"AAAAAHn2/cs=")</f>
        <v>#REF!</v>
      </c>
      <c r="GW11" t="e">
        <f>AND(#REF!,"AAAAAHn2/cw=")</f>
        <v>#REF!</v>
      </c>
      <c r="GX11" t="e">
        <f>AND(#REF!,"AAAAAHn2/c0=")</f>
        <v>#REF!</v>
      </c>
      <c r="GY11" t="e">
        <f>AND(#REF!,"AAAAAHn2/c4=")</f>
        <v>#REF!</v>
      </c>
      <c r="GZ11" t="e">
        <f>AND(#REF!,"AAAAAHn2/c8=")</f>
        <v>#REF!</v>
      </c>
      <c r="HA11" t="e">
        <f>AND(#REF!,"AAAAAHn2/dA=")</f>
        <v>#REF!</v>
      </c>
      <c r="HB11" t="e">
        <f>AND(#REF!,"AAAAAHn2/dE=")</f>
        <v>#REF!</v>
      </c>
      <c r="HC11" t="e">
        <f>AND(#REF!,"AAAAAHn2/dI=")</f>
        <v>#REF!</v>
      </c>
      <c r="HD11" t="e">
        <f>AND(#REF!,"AAAAAHn2/dM=")</f>
        <v>#REF!</v>
      </c>
      <c r="HE11" t="e">
        <f>IF(#REF!,"AAAAAHn2/dQ=",0)</f>
        <v>#REF!</v>
      </c>
      <c r="HF11" t="e">
        <f>AND(#REF!,"AAAAAHn2/dU=")</f>
        <v>#REF!</v>
      </c>
      <c r="HG11" t="e">
        <f>AND(#REF!,"AAAAAHn2/dY=")</f>
        <v>#REF!</v>
      </c>
      <c r="HH11" t="e">
        <f>AND(#REF!,"AAAAAHn2/dc=")</f>
        <v>#REF!</v>
      </c>
      <c r="HI11" t="e">
        <f>AND(#REF!,"AAAAAHn2/dg=")</f>
        <v>#REF!</v>
      </c>
      <c r="HJ11" t="e">
        <f>AND(#REF!,"AAAAAHn2/dk=")</f>
        <v>#REF!</v>
      </c>
      <c r="HK11" t="e">
        <f>AND(#REF!,"AAAAAHn2/do=")</f>
        <v>#REF!</v>
      </c>
      <c r="HL11" t="e">
        <f>AND(#REF!,"AAAAAHn2/ds=")</f>
        <v>#REF!</v>
      </c>
      <c r="HM11" t="e">
        <f>AND(#REF!,"AAAAAHn2/dw=")</f>
        <v>#REF!</v>
      </c>
      <c r="HN11" t="e">
        <f>AND(#REF!,"AAAAAHn2/d0=")</f>
        <v>#REF!</v>
      </c>
      <c r="HO11" t="e">
        <f>AND(#REF!,"AAAAAHn2/d4=")</f>
        <v>#REF!</v>
      </c>
      <c r="HP11" t="e">
        <f>AND(#REF!,"AAAAAHn2/d8=")</f>
        <v>#REF!</v>
      </c>
      <c r="HQ11" t="e">
        <f>AND(#REF!,"AAAAAHn2/eA=")</f>
        <v>#REF!</v>
      </c>
      <c r="HR11" t="e">
        <f>AND(#REF!,"AAAAAHn2/eE=")</f>
        <v>#REF!</v>
      </c>
      <c r="HS11" t="e">
        <f>AND(#REF!,"AAAAAHn2/eI=")</f>
        <v>#REF!</v>
      </c>
      <c r="HT11" t="e">
        <f>AND(#REF!,"AAAAAHn2/eM=")</f>
        <v>#REF!</v>
      </c>
      <c r="HU11" t="e">
        <f>AND(#REF!,"AAAAAHn2/eQ=")</f>
        <v>#REF!</v>
      </c>
      <c r="HV11" t="e">
        <f>AND(#REF!,"AAAAAHn2/eU=")</f>
        <v>#REF!</v>
      </c>
      <c r="HW11" t="e">
        <f>AND(#REF!,"AAAAAHn2/eY=")</f>
        <v>#REF!</v>
      </c>
      <c r="HX11" t="e">
        <f>AND(#REF!,"AAAAAHn2/ec=")</f>
        <v>#REF!</v>
      </c>
      <c r="HY11" t="e">
        <f>AND(#REF!,"AAAAAHn2/eg=")</f>
        <v>#REF!</v>
      </c>
      <c r="HZ11" t="e">
        <f>AND(#REF!,"AAAAAHn2/ek=")</f>
        <v>#REF!</v>
      </c>
      <c r="IA11" t="e">
        <f>AND(#REF!,"AAAAAHn2/eo=")</f>
        <v>#REF!</v>
      </c>
      <c r="IB11" t="e">
        <f>AND(#REF!,"AAAAAHn2/es=")</f>
        <v>#REF!</v>
      </c>
      <c r="IC11" t="e">
        <f>AND(#REF!,"AAAAAHn2/ew=")</f>
        <v>#REF!</v>
      </c>
      <c r="ID11" t="e">
        <f>AND(#REF!,"AAAAAHn2/e0=")</f>
        <v>#REF!</v>
      </c>
      <c r="IE11" t="e">
        <f>AND(#REF!,"AAAAAHn2/e4=")</f>
        <v>#REF!</v>
      </c>
      <c r="IF11" t="e">
        <f>AND(#REF!,"AAAAAHn2/e8=")</f>
        <v>#REF!</v>
      </c>
      <c r="IG11" t="e">
        <f>AND(#REF!,"AAAAAHn2/fA=")</f>
        <v>#REF!</v>
      </c>
      <c r="IH11" t="e">
        <f>AND(#REF!,"AAAAAHn2/fE=")</f>
        <v>#REF!</v>
      </c>
      <c r="II11" t="e">
        <f>AND(#REF!,"AAAAAHn2/fI=")</f>
        <v>#REF!</v>
      </c>
      <c r="IJ11" t="e">
        <f>AND(#REF!,"AAAAAHn2/fM=")</f>
        <v>#REF!</v>
      </c>
      <c r="IK11" t="e">
        <f>AND(#REF!,"AAAAAHn2/fQ=")</f>
        <v>#REF!</v>
      </c>
      <c r="IL11" t="e">
        <f>AND(#REF!,"AAAAAHn2/fU=")</f>
        <v>#REF!</v>
      </c>
      <c r="IM11" t="e">
        <f>AND(#REF!,"AAAAAHn2/fY=")</f>
        <v>#REF!</v>
      </c>
      <c r="IN11" t="e">
        <f>AND(#REF!,"AAAAAHn2/fc=")</f>
        <v>#REF!</v>
      </c>
      <c r="IO11" t="e">
        <f>AND(#REF!,"AAAAAHn2/fg=")</f>
        <v>#REF!</v>
      </c>
      <c r="IP11" t="e">
        <f>AND(#REF!,"AAAAAHn2/fk=")</f>
        <v>#REF!</v>
      </c>
      <c r="IQ11" t="e">
        <f>AND(#REF!,"AAAAAHn2/fo=")</f>
        <v>#REF!</v>
      </c>
      <c r="IR11" t="e">
        <f>AND(#REF!,"AAAAAHn2/fs=")</f>
        <v>#REF!</v>
      </c>
      <c r="IS11" t="e">
        <f>AND(#REF!,"AAAAAHn2/fw=")</f>
        <v>#REF!</v>
      </c>
      <c r="IT11" t="e">
        <f>AND(#REF!,"AAAAAHn2/f0=")</f>
        <v>#REF!</v>
      </c>
      <c r="IU11" t="e">
        <f>AND(#REF!,"AAAAAHn2/f4=")</f>
        <v>#REF!</v>
      </c>
      <c r="IV11" t="e">
        <f>AND(#REF!,"AAAAAHn2/f8=")</f>
        <v>#REF!</v>
      </c>
    </row>
    <row r="12" spans="1:256" x14ac:dyDescent="0.25">
      <c r="A12" t="e">
        <f>IF(#REF!,"AAAAAGt5VQA=",0)</f>
        <v>#REF!</v>
      </c>
      <c r="B12" t="e">
        <f>AND(#REF!,"AAAAAGt5VQE=")</f>
        <v>#REF!</v>
      </c>
      <c r="C12" t="e">
        <f>AND(#REF!,"AAAAAGt5VQI=")</f>
        <v>#REF!</v>
      </c>
      <c r="D12" t="e">
        <f>AND(#REF!,"AAAAAGt5VQM=")</f>
        <v>#REF!</v>
      </c>
      <c r="E12" t="e">
        <f>AND(#REF!,"AAAAAGt5VQQ=")</f>
        <v>#REF!</v>
      </c>
      <c r="F12" t="e">
        <f>AND(#REF!,"AAAAAGt5VQU=")</f>
        <v>#REF!</v>
      </c>
      <c r="G12" t="e">
        <f>AND(#REF!,"AAAAAGt5VQY=")</f>
        <v>#REF!</v>
      </c>
      <c r="H12" t="e">
        <f>AND(#REF!,"AAAAAGt5VQc=")</f>
        <v>#REF!</v>
      </c>
      <c r="I12" t="e">
        <f>AND(#REF!,"AAAAAGt5VQg=")</f>
        <v>#REF!</v>
      </c>
      <c r="J12" t="e">
        <f>AND(#REF!,"AAAAAGt5VQk=")</f>
        <v>#REF!</v>
      </c>
      <c r="K12" t="e">
        <f>AND(#REF!,"AAAAAGt5VQo=")</f>
        <v>#REF!</v>
      </c>
      <c r="L12" t="e">
        <f>AND(#REF!,"AAAAAGt5VQs=")</f>
        <v>#REF!</v>
      </c>
      <c r="M12" t="e">
        <f>AND(#REF!,"AAAAAGt5VQw=")</f>
        <v>#REF!</v>
      </c>
      <c r="N12" t="e">
        <f>AND(#REF!,"AAAAAGt5VQ0=")</f>
        <v>#REF!</v>
      </c>
      <c r="O12" t="e">
        <f>AND(#REF!,"AAAAAGt5VQ4=")</f>
        <v>#REF!</v>
      </c>
      <c r="P12" t="e">
        <f>AND(#REF!,"AAAAAGt5VQ8=")</f>
        <v>#REF!</v>
      </c>
      <c r="Q12" t="e">
        <f>AND(#REF!,"AAAAAGt5VRA=")</f>
        <v>#REF!</v>
      </c>
      <c r="R12" t="e">
        <f>AND(#REF!,"AAAAAGt5VRE=")</f>
        <v>#REF!</v>
      </c>
      <c r="S12" t="e">
        <f>AND(#REF!,"AAAAAGt5VRI=")</f>
        <v>#REF!</v>
      </c>
      <c r="T12" t="e">
        <f>AND(#REF!,"AAAAAGt5VRM=")</f>
        <v>#REF!</v>
      </c>
      <c r="U12" t="e">
        <f>AND(#REF!,"AAAAAGt5VRQ=")</f>
        <v>#REF!</v>
      </c>
      <c r="V12" t="e">
        <f>AND(#REF!,"AAAAAGt5VRU=")</f>
        <v>#REF!</v>
      </c>
      <c r="W12" t="e">
        <f>AND(#REF!,"AAAAAGt5VRY=")</f>
        <v>#REF!</v>
      </c>
      <c r="X12" t="e">
        <f>AND(#REF!,"AAAAAGt5VRc=")</f>
        <v>#REF!</v>
      </c>
      <c r="Y12" t="e">
        <f>AND(#REF!,"AAAAAGt5VRg=")</f>
        <v>#REF!</v>
      </c>
      <c r="Z12" t="e">
        <f>AND(#REF!,"AAAAAGt5VRk=")</f>
        <v>#REF!</v>
      </c>
      <c r="AA12" t="e">
        <f>AND(#REF!,"AAAAAGt5VRo=")</f>
        <v>#REF!</v>
      </c>
      <c r="AB12" t="e">
        <f>AND(#REF!,"AAAAAGt5VRs=")</f>
        <v>#REF!</v>
      </c>
      <c r="AC12" t="e">
        <f>AND(#REF!,"AAAAAGt5VRw=")</f>
        <v>#REF!</v>
      </c>
      <c r="AD12" t="e">
        <f>AND(#REF!,"AAAAAGt5VR0=")</f>
        <v>#REF!</v>
      </c>
      <c r="AE12" t="e">
        <f>AND(#REF!,"AAAAAGt5VR4=")</f>
        <v>#REF!</v>
      </c>
      <c r="AF12" t="e">
        <f>AND(#REF!,"AAAAAGt5VR8=")</f>
        <v>#REF!</v>
      </c>
      <c r="AG12" t="e">
        <f>AND(#REF!,"AAAAAGt5VSA=")</f>
        <v>#REF!</v>
      </c>
      <c r="AH12" t="e">
        <f>AND(#REF!,"AAAAAGt5VSE=")</f>
        <v>#REF!</v>
      </c>
      <c r="AI12" t="e">
        <f>AND(#REF!,"AAAAAGt5VSI=")</f>
        <v>#REF!</v>
      </c>
      <c r="AJ12" t="e">
        <f>AND(#REF!,"AAAAAGt5VSM=")</f>
        <v>#REF!</v>
      </c>
      <c r="AK12" t="e">
        <f>AND(#REF!,"AAAAAGt5VSQ=")</f>
        <v>#REF!</v>
      </c>
      <c r="AL12" t="e">
        <f>AND(#REF!,"AAAAAGt5VSU=")</f>
        <v>#REF!</v>
      </c>
      <c r="AM12" t="e">
        <f>AND(#REF!,"AAAAAGt5VSY=")</f>
        <v>#REF!</v>
      </c>
      <c r="AN12" t="e">
        <f>AND(#REF!,"AAAAAGt5VSc=")</f>
        <v>#REF!</v>
      </c>
      <c r="AO12" t="e">
        <f>AND(#REF!,"AAAAAGt5VSg=")</f>
        <v>#REF!</v>
      </c>
      <c r="AP12" t="e">
        <f>AND(#REF!,"AAAAAGt5VSk=")</f>
        <v>#REF!</v>
      </c>
      <c r="AQ12" t="e">
        <f>AND(#REF!,"AAAAAGt5VSo=")</f>
        <v>#REF!</v>
      </c>
      <c r="AR12" t="e">
        <f>AND(#REF!,"AAAAAGt5VSs=")</f>
        <v>#REF!</v>
      </c>
      <c r="AS12" t="e">
        <f>IF(#REF!,"AAAAAGt5VSw=",0)</f>
        <v>#REF!</v>
      </c>
      <c r="AT12" t="e">
        <f>AND(#REF!,"AAAAAGt5VS0=")</f>
        <v>#REF!</v>
      </c>
      <c r="AU12" t="e">
        <f>AND(#REF!,"AAAAAGt5VS4=")</f>
        <v>#REF!</v>
      </c>
      <c r="AV12" t="e">
        <f>AND(#REF!,"AAAAAGt5VS8=")</f>
        <v>#REF!</v>
      </c>
      <c r="AW12" t="e">
        <f>AND(#REF!,"AAAAAGt5VTA=")</f>
        <v>#REF!</v>
      </c>
      <c r="AX12" t="e">
        <f>AND(#REF!,"AAAAAGt5VTE=")</f>
        <v>#REF!</v>
      </c>
      <c r="AY12" t="e">
        <f>AND(#REF!,"AAAAAGt5VTI=")</f>
        <v>#REF!</v>
      </c>
      <c r="AZ12" t="e">
        <f>AND(#REF!,"AAAAAGt5VTM=")</f>
        <v>#REF!</v>
      </c>
      <c r="BA12" t="e">
        <f>AND(#REF!,"AAAAAGt5VTQ=")</f>
        <v>#REF!</v>
      </c>
      <c r="BB12" t="e">
        <f>AND(#REF!,"AAAAAGt5VTU=")</f>
        <v>#REF!</v>
      </c>
      <c r="BC12" t="e">
        <f>AND(#REF!,"AAAAAGt5VTY=")</f>
        <v>#REF!</v>
      </c>
      <c r="BD12" t="e">
        <f>AND(#REF!,"AAAAAGt5VTc=")</f>
        <v>#REF!</v>
      </c>
      <c r="BE12" t="e">
        <f>AND(#REF!,"AAAAAGt5VTg=")</f>
        <v>#REF!</v>
      </c>
      <c r="BF12" t="e">
        <f>AND(#REF!,"AAAAAGt5VTk=")</f>
        <v>#REF!</v>
      </c>
      <c r="BG12" t="e">
        <f>AND(#REF!,"AAAAAGt5VTo=")</f>
        <v>#REF!</v>
      </c>
      <c r="BH12" t="e">
        <f>AND(#REF!,"AAAAAGt5VTs=")</f>
        <v>#REF!</v>
      </c>
      <c r="BI12" t="e">
        <f>AND(#REF!,"AAAAAGt5VTw=")</f>
        <v>#REF!</v>
      </c>
      <c r="BJ12" t="e">
        <f>AND(#REF!,"AAAAAGt5VT0=")</f>
        <v>#REF!</v>
      </c>
      <c r="BK12" t="e">
        <f>AND(#REF!,"AAAAAGt5VT4=")</f>
        <v>#REF!</v>
      </c>
      <c r="BL12" t="e">
        <f>AND(#REF!,"AAAAAGt5VT8=")</f>
        <v>#REF!</v>
      </c>
      <c r="BM12" t="e">
        <f>AND(#REF!,"AAAAAGt5VUA=")</f>
        <v>#REF!</v>
      </c>
      <c r="BN12" t="e">
        <f>AND(#REF!,"AAAAAGt5VUE=")</f>
        <v>#REF!</v>
      </c>
      <c r="BO12" t="e">
        <f>AND(#REF!,"AAAAAGt5VUI=")</f>
        <v>#REF!</v>
      </c>
      <c r="BP12" t="e">
        <f>AND(#REF!,"AAAAAGt5VUM=")</f>
        <v>#REF!</v>
      </c>
      <c r="BQ12" t="e">
        <f>AND(#REF!,"AAAAAGt5VUQ=")</f>
        <v>#REF!</v>
      </c>
      <c r="BR12" t="e">
        <f>AND(#REF!,"AAAAAGt5VUU=")</f>
        <v>#REF!</v>
      </c>
      <c r="BS12" t="e">
        <f>AND(#REF!,"AAAAAGt5VUY=")</f>
        <v>#REF!</v>
      </c>
      <c r="BT12" t="e">
        <f>AND(#REF!,"AAAAAGt5VUc=")</f>
        <v>#REF!</v>
      </c>
      <c r="BU12" t="e">
        <f>AND(#REF!,"AAAAAGt5VUg=")</f>
        <v>#REF!</v>
      </c>
      <c r="BV12" t="e">
        <f>AND(#REF!,"AAAAAGt5VUk=")</f>
        <v>#REF!</v>
      </c>
      <c r="BW12" t="e">
        <f>AND(#REF!,"AAAAAGt5VUo=")</f>
        <v>#REF!</v>
      </c>
      <c r="BX12" t="e">
        <f>AND(#REF!,"AAAAAGt5VUs=")</f>
        <v>#REF!</v>
      </c>
      <c r="BY12" t="e">
        <f>AND(#REF!,"AAAAAGt5VUw=")</f>
        <v>#REF!</v>
      </c>
      <c r="BZ12" t="e">
        <f>AND(#REF!,"AAAAAGt5VU0=")</f>
        <v>#REF!</v>
      </c>
      <c r="CA12" t="e">
        <f>AND(#REF!,"AAAAAGt5VU4=")</f>
        <v>#REF!</v>
      </c>
      <c r="CB12" t="e">
        <f>AND(#REF!,"AAAAAGt5VU8=")</f>
        <v>#REF!</v>
      </c>
      <c r="CC12" t="e">
        <f>AND(#REF!,"AAAAAGt5VVA=")</f>
        <v>#REF!</v>
      </c>
      <c r="CD12" t="e">
        <f>AND(#REF!,"AAAAAGt5VVE=")</f>
        <v>#REF!</v>
      </c>
      <c r="CE12" t="e">
        <f>AND(#REF!,"AAAAAGt5VVI=")</f>
        <v>#REF!</v>
      </c>
      <c r="CF12" t="e">
        <f>AND(#REF!,"AAAAAGt5VVM=")</f>
        <v>#REF!</v>
      </c>
      <c r="CG12" t="e">
        <f>AND(#REF!,"AAAAAGt5VVQ=")</f>
        <v>#REF!</v>
      </c>
      <c r="CH12" t="e">
        <f>AND(#REF!,"AAAAAGt5VVU=")</f>
        <v>#REF!</v>
      </c>
      <c r="CI12" t="e">
        <f>AND(#REF!,"AAAAAGt5VVY=")</f>
        <v>#REF!</v>
      </c>
      <c r="CJ12" t="e">
        <f>AND(#REF!,"AAAAAGt5VVc=")</f>
        <v>#REF!</v>
      </c>
      <c r="CK12" t="e">
        <f>IF(#REF!,"AAAAAGt5VVg=",0)</f>
        <v>#REF!</v>
      </c>
      <c r="CL12" t="e">
        <f>AND(#REF!,"AAAAAGt5VVk=")</f>
        <v>#REF!</v>
      </c>
      <c r="CM12" t="e">
        <f>AND(#REF!,"AAAAAGt5VVo=")</f>
        <v>#REF!</v>
      </c>
      <c r="CN12" t="e">
        <f>AND(#REF!,"AAAAAGt5VVs=")</f>
        <v>#REF!</v>
      </c>
      <c r="CO12" t="e">
        <f>AND(#REF!,"AAAAAGt5VVw=")</f>
        <v>#REF!</v>
      </c>
      <c r="CP12" t="e">
        <f>AND(#REF!,"AAAAAGt5VV0=")</f>
        <v>#REF!</v>
      </c>
      <c r="CQ12" t="e">
        <f>AND(#REF!,"AAAAAGt5VV4=")</f>
        <v>#REF!</v>
      </c>
      <c r="CR12" t="e">
        <f>AND(#REF!,"AAAAAGt5VV8=")</f>
        <v>#REF!</v>
      </c>
      <c r="CS12" t="e">
        <f>AND(#REF!,"AAAAAGt5VWA=")</f>
        <v>#REF!</v>
      </c>
      <c r="CT12" t="e">
        <f>AND(#REF!,"AAAAAGt5VWE=")</f>
        <v>#REF!</v>
      </c>
      <c r="CU12" t="e">
        <f>AND(#REF!,"AAAAAGt5VWI=")</f>
        <v>#REF!</v>
      </c>
      <c r="CV12" t="e">
        <f>AND(#REF!,"AAAAAGt5VWM=")</f>
        <v>#REF!</v>
      </c>
      <c r="CW12" t="e">
        <f>AND(#REF!,"AAAAAGt5VWQ=")</f>
        <v>#REF!</v>
      </c>
      <c r="CX12" t="e">
        <f>AND(#REF!,"AAAAAGt5VWU=")</f>
        <v>#REF!</v>
      </c>
      <c r="CY12" t="e">
        <f>AND(#REF!,"AAAAAGt5VWY=")</f>
        <v>#REF!</v>
      </c>
      <c r="CZ12" t="e">
        <f>AND(#REF!,"AAAAAGt5VWc=")</f>
        <v>#REF!</v>
      </c>
      <c r="DA12" t="e">
        <f>AND(#REF!,"AAAAAGt5VWg=")</f>
        <v>#REF!</v>
      </c>
      <c r="DB12" t="e">
        <f>AND(#REF!,"AAAAAGt5VWk=")</f>
        <v>#REF!</v>
      </c>
      <c r="DC12" t="e">
        <f>AND(#REF!,"AAAAAGt5VWo=")</f>
        <v>#REF!</v>
      </c>
      <c r="DD12" t="e">
        <f>AND(#REF!,"AAAAAGt5VWs=")</f>
        <v>#REF!</v>
      </c>
      <c r="DE12" t="e">
        <f>AND(#REF!,"AAAAAGt5VWw=")</f>
        <v>#REF!</v>
      </c>
      <c r="DF12" t="e">
        <f>AND(#REF!,"AAAAAGt5VW0=")</f>
        <v>#REF!</v>
      </c>
      <c r="DG12" t="e">
        <f>AND(#REF!,"AAAAAGt5VW4=")</f>
        <v>#REF!</v>
      </c>
      <c r="DH12" t="e">
        <f>AND(#REF!,"AAAAAGt5VW8=")</f>
        <v>#REF!</v>
      </c>
      <c r="DI12" t="e">
        <f>AND(#REF!,"AAAAAGt5VXA=")</f>
        <v>#REF!</v>
      </c>
      <c r="DJ12" t="e">
        <f>AND(#REF!,"AAAAAGt5VXE=")</f>
        <v>#REF!</v>
      </c>
      <c r="DK12" t="e">
        <f>AND(#REF!,"AAAAAGt5VXI=")</f>
        <v>#REF!</v>
      </c>
      <c r="DL12" t="e">
        <f>AND(#REF!,"AAAAAGt5VXM=")</f>
        <v>#REF!</v>
      </c>
      <c r="DM12" t="e">
        <f>AND(#REF!,"AAAAAGt5VXQ=")</f>
        <v>#REF!</v>
      </c>
      <c r="DN12" t="e">
        <f>AND(#REF!,"AAAAAGt5VXU=")</f>
        <v>#REF!</v>
      </c>
      <c r="DO12" t="e">
        <f>AND(#REF!,"AAAAAGt5VXY=")</f>
        <v>#REF!</v>
      </c>
      <c r="DP12" t="e">
        <f>AND(#REF!,"AAAAAGt5VXc=")</f>
        <v>#REF!</v>
      </c>
      <c r="DQ12" t="e">
        <f>AND(#REF!,"AAAAAGt5VXg=")</f>
        <v>#REF!</v>
      </c>
      <c r="DR12" t="e">
        <f>AND(#REF!,"AAAAAGt5VXk=")</f>
        <v>#REF!</v>
      </c>
      <c r="DS12" t="e">
        <f>AND(#REF!,"AAAAAGt5VXo=")</f>
        <v>#REF!</v>
      </c>
      <c r="DT12" t="e">
        <f>AND(#REF!,"AAAAAGt5VXs=")</f>
        <v>#REF!</v>
      </c>
      <c r="DU12" t="e">
        <f>AND(#REF!,"AAAAAGt5VXw=")</f>
        <v>#REF!</v>
      </c>
      <c r="DV12" t="e">
        <f>AND(#REF!,"AAAAAGt5VX0=")</f>
        <v>#REF!</v>
      </c>
      <c r="DW12" t="e">
        <f>AND(#REF!,"AAAAAGt5VX4=")</f>
        <v>#REF!</v>
      </c>
      <c r="DX12" t="e">
        <f>AND(#REF!,"AAAAAGt5VX8=")</f>
        <v>#REF!</v>
      </c>
      <c r="DY12" t="e">
        <f>AND(#REF!,"AAAAAGt5VYA=")</f>
        <v>#REF!</v>
      </c>
      <c r="DZ12" t="e">
        <f>AND(#REF!,"AAAAAGt5VYE=")</f>
        <v>#REF!</v>
      </c>
      <c r="EA12" t="e">
        <f>AND(#REF!,"AAAAAGt5VYI=")</f>
        <v>#REF!</v>
      </c>
      <c r="EB12" t="e">
        <f>AND(#REF!,"AAAAAGt5VYM=")</f>
        <v>#REF!</v>
      </c>
      <c r="EC12" t="e">
        <f>IF(#REF!,"AAAAAGt5VYQ=",0)</f>
        <v>#REF!</v>
      </c>
      <c r="ED12" t="e">
        <f>AND(#REF!,"AAAAAGt5VYU=")</f>
        <v>#REF!</v>
      </c>
      <c r="EE12" t="e">
        <f>AND(#REF!,"AAAAAGt5VYY=")</f>
        <v>#REF!</v>
      </c>
      <c r="EF12" t="e">
        <f>AND(#REF!,"AAAAAGt5VYc=")</f>
        <v>#REF!</v>
      </c>
      <c r="EG12" t="e">
        <f>AND(#REF!,"AAAAAGt5VYg=")</f>
        <v>#REF!</v>
      </c>
      <c r="EH12" t="e">
        <f>AND(#REF!,"AAAAAGt5VYk=")</f>
        <v>#REF!</v>
      </c>
      <c r="EI12" t="e">
        <f>AND(#REF!,"AAAAAGt5VYo=")</f>
        <v>#REF!</v>
      </c>
      <c r="EJ12" t="e">
        <f>AND(#REF!,"AAAAAGt5VYs=")</f>
        <v>#REF!</v>
      </c>
      <c r="EK12" t="e">
        <f>AND(#REF!,"AAAAAGt5VYw=")</f>
        <v>#REF!</v>
      </c>
      <c r="EL12" t="e">
        <f>AND(#REF!,"AAAAAGt5VY0=")</f>
        <v>#REF!</v>
      </c>
      <c r="EM12" t="e">
        <f>AND(#REF!,"AAAAAGt5VY4=")</f>
        <v>#REF!</v>
      </c>
      <c r="EN12" t="e">
        <f>AND(#REF!,"AAAAAGt5VY8=")</f>
        <v>#REF!</v>
      </c>
      <c r="EO12" t="e">
        <f>AND(#REF!,"AAAAAGt5VZA=")</f>
        <v>#REF!</v>
      </c>
      <c r="EP12" t="e">
        <f>AND(#REF!,"AAAAAGt5VZE=")</f>
        <v>#REF!</v>
      </c>
      <c r="EQ12" t="e">
        <f>AND(#REF!,"AAAAAGt5VZI=")</f>
        <v>#REF!</v>
      </c>
      <c r="ER12" t="e">
        <f>AND(#REF!,"AAAAAGt5VZM=")</f>
        <v>#REF!</v>
      </c>
      <c r="ES12" t="e">
        <f>AND(#REF!,"AAAAAGt5VZQ=")</f>
        <v>#REF!</v>
      </c>
      <c r="ET12" t="e">
        <f>AND(#REF!,"AAAAAGt5VZU=")</f>
        <v>#REF!</v>
      </c>
      <c r="EU12" t="e">
        <f>AND(#REF!,"AAAAAGt5VZY=")</f>
        <v>#REF!</v>
      </c>
      <c r="EV12" t="e">
        <f>AND(#REF!,"AAAAAGt5VZc=")</f>
        <v>#REF!</v>
      </c>
      <c r="EW12" t="e">
        <f>AND(#REF!,"AAAAAGt5VZg=")</f>
        <v>#REF!</v>
      </c>
      <c r="EX12" t="e">
        <f>AND(#REF!,"AAAAAGt5VZk=")</f>
        <v>#REF!</v>
      </c>
      <c r="EY12" t="e">
        <f>AND(#REF!,"AAAAAGt5VZo=")</f>
        <v>#REF!</v>
      </c>
      <c r="EZ12" t="e">
        <f>AND(#REF!,"AAAAAGt5VZs=")</f>
        <v>#REF!</v>
      </c>
      <c r="FA12" t="e">
        <f>AND(#REF!,"AAAAAGt5VZw=")</f>
        <v>#REF!</v>
      </c>
      <c r="FB12" t="e">
        <f>AND(#REF!,"AAAAAGt5VZ0=")</f>
        <v>#REF!</v>
      </c>
      <c r="FC12" t="e">
        <f>AND(#REF!,"AAAAAGt5VZ4=")</f>
        <v>#REF!</v>
      </c>
      <c r="FD12" t="e">
        <f>AND(#REF!,"AAAAAGt5VZ8=")</f>
        <v>#REF!</v>
      </c>
      <c r="FE12" t="e">
        <f>AND(#REF!,"AAAAAGt5VaA=")</f>
        <v>#REF!</v>
      </c>
      <c r="FF12" t="e">
        <f>AND(#REF!,"AAAAAGt5VaE=")</f>
        <v>#REF!</v>
      </c>
      <c r="FG12" t="e">
        <f>AND(#REF!,"AAAAAGt5VaI=")</f>
        <v>#REF!</v>
      </c>
      <c r="FH12" t="e">
        <f>AND(#REF!,"AAAAAGt5VaM=")</f>
        <v>#REF!</v>
      </c>
      <c r="FI12" t="e">
        <f>AND(#REF!,"AAAAAGt5VaQ=")</f>
        <v>#REF!</v>
      </c>
      <c r="FJ12" t="e">
        <f>AND(#REF!,"AAAAAGt5VaU=")</f>
        <v>#REF!</v>
      </c>
      <c r="FK12" t="e">
        <f>AND(#REF!,"AAAAAGt5VaY=")</f>
        <v>#REF!</v>
      </c>
      <c r="FL12" t="e">
        <f>AND(#REF!,"AAAAAGt5Vac=")</f>
        <v>#REF!</v>
      </c>
      <c r="FM12" t="e">
        <f>AND(#REF!,"AAAAAGt5Vag=")</f>
        <v>#REF!</v>
      </c>
      <c r="FN12" t="e">
        <f>AND(#REF!,"AAAAAGt5Vak=")</f>
        <v>#REF!</v>
      </c>
      <c r="FO12" t="e">
        <f>AND(#REF!,"AAAAAGt5Vao=")</f>
        <v>#REF!</v>
      </c>
      <c r="FP12" t="e">
        <f>AND(#REF!,"AAAAAGt5Vas=")</f>
        <v>#REF!</v>
      </c>
      <c r="FQ12" t="e">
        <f>AND(#REF!,"AAAAAGt5Vaw=")</f>
        <v>#REF!</v>
      </c>
      <c r="FR12" t="e">
        <f>AND(#REF!,"AAAAAGt5Va0=")</f>
        <v>#REF!</v>
      </c>
      <c r="FS12" t="e">
        <f>AND(#REF!,"AAAAAGt5Va4=")</f>
        <v>#REF!</v>
      </c>
      <c r="FT12" t="e">
        <f>AND(#REF!,"AAAAAGt5Va8=")</f>
        <v>#REF!</v>
      </c>
      <c r="FU12" t="e">
        <f>IF(#REF!,"AAAAAGt5VbA=",0)</f>
        <v>#REF!</v>
      </c>
      <c r="FV12" t="e">
        <f>AND(#REF!,"AAAAAGt5VbE=")</f>
        <v>#REF!</v>
      </c>
      <c r="FW12" t="e">
        <f>AND(#REF!,"AAAAAGt5VbI=")</f>
        <v>#REF!</v>
      </c>
      <c r="FX12" t="e">
        <f>AND(#REF!,"AAAAAGt5VbM=")</f>
        <v>#REF!</v>
      </c>
      <c r="FY12" t="e">
        <f>AND(#REF!,"AAAAAGt5VbQ=")</f>
        <v>#REF!</v>
      </c>
      <c r="FZ12" t="e">
        <f>AND(#REF!,"AAAAAGt5VbU=")</f>
        <v>#REF!</v>
      </c>
      <c r="GA12" t="e">
        <f>AND(#REF!,"AAAAAGt5VbY=")</f>
        <v>#REF!</v>
      </c>
      <c r="GB12" t="e">
        <f>AND(#REF!,"AAAAAGt5Vbc=")</f>
        <v>#REF!</v>
      </c>
      <c r="GC12" t="e">
        <f>AND(#REF!,"AAAAAGt5Vbg=")</f>
        <v>#REF!</v>
      </c>
      <c r="GD12" t="e">
        <f>AND(#REF!,"AAAAAGt5Vbk=")</f>
        <v>#REF!</v>
      </c>
      <c r="GE12" t="e">
        <f>AND(#REF!,"AAAAAGt5Vbo=")</f>
        <v>#REF!</v>
      </c>
      <c r="GF12" t="e">
        <f>AND(#REF!,"AAAAAGt5Vbs=")</f>
        <v>#REF!</v>
      </c>
      <c r="GG12" t="e">
        <f>AND(#REF!,"AAAAAGt5Vbw=")</f>
        <v>#REF!</v>
      </c>
      <c r="GH12" t="e">
        <f>AND(#REF!,"AAAAAGt5Vb0=")</f>
        <v>#REF!</v>
      </c>
      <c r="GI12" t="e">
        <f>AND(#REF!,"AAAAAGt5Vb4=")</f>
        <v>#REF!</v>
      </c>
      <c r="GJ12" t="e">
        <f>AND(#REF!,"AAAAAGt5Vb8=")</f>
        <v>#REF!</v>
      </c>
      <c r="GK12" t="e">
        <f>AND(#REF!,"AAAAAGt5VcA=")</f>
        <v>#REF!</v>
      </c>
      <c r="GL12" t="e">
        <f>AND(#REF!,"AAAAAGt5VcE=")</f>
        <v>#REF!</v>
      </c>
      <c r="GM12" t="e">
        <f>AND(#REF!,"AAAAAGt5VcI=")</f>
        <v>#REF!</v>
      </c>
      <c r="GN12" t="e">
        <f>AND(#REF!,"AAAAAGt5VcM=")</f>
        <v>#REF!</v>
      </c>
      <c r="GO12" t="e">
        <f>AND(#REF!,"AAAAAGt5VcQ=")</f>
        <v>#REF!</v>
      </c>
      <c r="GP12" t="e">
        <f>AND(#REF!,"AAAAAGt5VcU=")</f>
        <v>#REF!</v>
      </c>
      <c r="GQ12" t="e">
        <f>AND(#REF!,"AAAAAGt5VcY=")</f>
        <v>#REF!</v>
      </c>
      <c r="GR12" t="e">
        <f>AND(#REF!,"AAAAAGt5Vcc=")</f>
        <v>#REF!</v>
      </c>
      <c r="GS12" t="e">
        <f>AND(#REF!,"AAAAAGt5Vcg=")</f>
        <v>#REF!</v>
      </c>
      <c r="GT12" t="e">
        <f>AND(#REF!,"AAAAAGt5Vck=")</f>
        <v>#REF!</v>
      </c>
      <c r="GU12" t="e">
        <f>AND(#REF!,"AAAAAGt5Vco=")</f>
        <v>#REF!</v>
      </c>
      <c r="GV12" t="e">
        <f>AND(#REF!,"AAAAAGt5Vcs=")</f>
        <v>#REF!</v>
      </c>
      <c r="GW12" t="e">
        <f>AND(#REF!,"AAAAAGt5Vcw=")</f>
        <v>#REF!</v>
      </c>
      <c r="GX12" t="e">
        <f>AND(#REF!,"AAAAAGt5Vc0=")</f>
        <v>#REF!</v>
      </c>
      <c r="GY12" t="e">
        <f>AND(#REF!,"AAAAAGt5Vc4=")</f>
        <v>#REF!</v>
      </c>
      <c r="GZ12" t="e">
        <f>AND(#REF!,"AAAAAGt5Vc8=")</f>
        <v>#REF!</v>
      </c>
      <c r="HA12" t="e">
        <f>AND(#REF!,"AAAAAGt5VdA=")</f>
        <v>#REF!</v>
      </c>
      <c r="HB12" t="e">
        <f>AND(#REF!,"AAAAAGt5VdE=")</f>
        <v>#REF!</v>
      </c>
      <c r="HC12" t="e">
        <f>AND(#REF!,"AAAAAGt5VdI=")</f>
        <v>#REF!</v>
      </c>
      <c r="HD12" t="e">
        <f>AND(#REF!,"AAAAAGt5VdM=")</f>
        <v>#REF!</v>
      </c>
      <c r="HE12" t="e">
        <f>AND(#REF!,"AAAAAGt5VdQ=")</f>
        <v>#REF!</v>
      </c>
      <c r="HF12" t="e">
        <f>AND(#REF!,"AAAAAGt5VdU=")</f>
        <v>#REF!</v>
      </c>
      <c r="HG12" t="e">
        <f>AND(#REF!,"AAAAAGt5VdY=")</f>
        <v>#REF!</v>
      </c>
      <c r="HH12" t="e">
        <f>AND(#REF!,"AAAAAGt5Vdc=")</f>
        <v>#REF!</v>
      </c>
      <c r="HI12" t="e">
        <f>AND(#REF!,"AAAAAGt5Vdg=")</f>
        <v>#REF!</v>
      </c>
      <c r="HJ12" t="e">
        <f>AND(#REF!,"AAAAAGt5Vdk=")</f>
        <v>#REF!</v>
      </c>
      <c r="HK12" t="e">
        <f>AND(#REF!,"AAAAAGt5Vdo=")</f>
        <v>#REF!</v>
      </c>
      <c r="HL12" t="e">
        <f>AND(#REF!,"AAAAAGt5Vds=")</f>
        <v>#REF!</v>
      </c>
      <c r="HM12" t="e">
        <f>IF(#REF!,"AAAAAGt5Vdw=",0)</f>
        <v>#REF!</v>
      </c>
      <c r="HN12" t="e">
        <f>AND(#REF!,"AAAAAGt5Vd0=")</f>
        <v>#REF!</v>
      </c>
      <c r="HO12" t="e">
        <f>AND(#REF!,"AAAAAGt5Vd4=")</f>
        <v>#REF!</v>
      </c>
      <c r="HP12" t="e">
        <f>AND(#REF!,"AAAAAGt5Vd8=")</f>
        <v>#REF!</v>
      </c>
      <c r="HQ12" t="e">
        <f>AND(#REF!,"AAAAAGt5VeA=")</f>
        <v>#REF!</v>
      </c>
      <c r="HR12" t="e">
        <f>AND(#REF!,"AAAAAGt5VeE=")</f>
        <v>#REF!</v>
      </c>
      <c r="HS12" t="e">
        <f>AND(#REF!,"AAAAAGt5VeI=")</f>
        <v>#REF!</v>
      </c>
      <c r="HT12" t="e">
        <f>AND(#REF!,"AAAAAGt5VeM=")</f>
        <v>#REF!</v>
      </c>
      <c r="HU12" t="e">
        <f>AND(#REF!,"AAAAAGt5VeQ=")</f>
        <v>#REF!</v>
      </c>
      <c r="HV12" t="e">
        <f>AND(#REF!,"AAAAAGt5VeU=")</f>
        <v>#REF!</v>
      </c>
      <c r="HW12" t="e">
        <f>AND(#REF!,"AAAAAGt5VeY=")</f>
        <v>#REF!</v>
      </c>
      <c r="HX12" t="e">
        <f>AND(#REF!,"AAAAAGt5Vec=")</f>
        <v>#REF!</v>
      </c>
      <c r="HY12" t="e">
        <f>AND(#REF!,"AAAAAGt5Veg=")</f>
        <v>#REF!</v>
      </c>
      <c r="HZ12" t="e">
        <f>AND(#REF!,"AAAAAGt5Vek=")</f>
        <v>#REF!</v>
      </c>
      <c r="IA12" t="e">
        <f>AND(#REF!,"AAAAAGt5Veo=")</f>
        <v>#REF!</v>
      </c>
      <c r="IB12" t="e">
        <f>AND(#REF!,"AAAAAGt5Ves=")</f>
        <v>#REF!</v>
      </c>
      <c r="IC12" t="e">
        <f>AND(#REF!,"AAAAAGt5Vew=")</f>
        <v>#REF!</v>
      </c>
      <c r="ID12" t="e">
        <f>AND(#REF!,"AAAAAGt5Ve0=")</f>
        <v>#REF!</v>
      </c>
      <c r="IE12" t="e">
        <f>AND(#REF!,"AAAAAGt5Ve4=")</f>
        <v>#REF!</v>
      </c>
      <c r="IF12" t="e">
        <f>AND(#REF!,"AAAAAGt5Ve8=")</f>
        <v>#REF!</v>
      </c>
      <c r="IG12" t="e">
        <f>AND(#REF!,"AAAAAGt5VfA=")</f>
        <v>#REF!</v>
      </c>
      <c r="IH12" t="e">
        <f>AND(#REF!,"AAAAAGt5VfE=")</f>
        <v>#REF!</v>
      </c>
      <c r="II12" t="e">
        <f>AND(#REF!,"AAAAAGt5VfI=")</f>
        <v>#REF!</v>
      </c>
      <c r="IJ12" t="e">
        <f>AND(#REF!,"AAAAAGt5VfM=")</f>
        <v>#REF!</v>
      </c>
      <c r="IK12" t="e">
        <f>AND(#REF!,"AAAAAGt5VfQ=")</f>
        <v>#REF!</v>
      </c>
      <c r="IL12" t="e">
        <f>AND(#REF!,"AAAAAGt5VfU=")</f>
        <v>#REF!</v>
      </c>
      <c r="IM12" t="e">
        <f>AND(#REF!,"AAAAAGt5VfY=")</f>
        <v>#REF!</v>
      </c>
      <c r="IN12" t="e">
        <f>AND(#REF!,"AAAAAGt5Vfc=")</f>
        <v>#REF!</v>
      </c>
      <c r="IO12" t="e">
        <f>AND(#REF!,"AAAAAGt5Vfg=")</f>
        <v>#REF!</v>
      </c>
      <c r="IP12" t="e">
        <f>AND(#REF!,"AAAAAGt5Vfk=")</f>
        <v>#REF!</v>
      </c>
      <c r="IQ12" t="e">
        <f>AND(#REF!,"AAAAAGt5Vfo=")</f>
        <v>#REF!</v>
      </c>
      <c r="IR12" t="e">
        <f>AND(#REF!,"AAAAAGt5Vfs=")</f>
        <v>#REF!</v>
      </c>
      <c r="IS12" t="e">
        <f>AND(#REF!,"AAAAAGt5Vfw=")</f>
        <v>#REF!</v>
      </c>
      <c r="IT12" t="e">
        <f>AND(#REF!,"AAAAAGt5Vf0=")</f>
        <v>#REF!</v>
      </c>
      <c r="IU12" t="e">
        <f>AND(#REF!,"AAAAAGt5Vf4=")</f>
        <v>#REF!</v>
      </c>
      <c r="IV12" t="e">
        <f>AND(#REF!,"AAAAAGt5Vf8=")</f>
        <v>#REF!</v>
      </c>
    </row>
    <row r="13" spans="1:256" x14ac:dyDescent="0.25">
      <c r="A13" t="e">
        <f>AND(#REF!,"AAAAAH/7LwA=")</f>
        <v>#REF!</v>
      </c>
      <c r="B13" t="e">
        <f>AND(#REF!,"AAAAAH/7LwE=")</f>
        <v>#REF!</v>
      </c>
      <c r="C13" t="e">
        <f>AND(#REF!,"AAAAAH/7LwI=")</f>
        <v>#REF!</v>
      </c>
      <c r="D13" t="e">
        <f>AND(#REF!,"AAAAAH/7LwM=")</f>
        <v>#REF!</v>
      </c>
      <c r="E13" t="e">
        <f>AND(#REF!,"AAAAAH/7LwQ=")</f>
        <v>#REF!</v>
      </c>
      <c r="F13" t="e">
        <f>AND(#REF!,"AAAAAH/7LwU=")</f>
        <v>#REF!</v>
      </c>
      <c r="G13" t="e">
        <f>AND(#REF!,"AAAAAH/7LwY=")</f>
        <v>#REF!</v>
      </c>
      <c r="H13" t="e">
        <f>AND(#REF!,"AAAAAH/7Lwc=")</f>
        <v>#REF!</v>
      </c>
      <c r="I13" t="e">
        <f>IF(#REF!,"AAAAAH/7Lwg=",0)</f>
        <v>#REF!</v>
      </c>
      <c r="J13" t="e">
        <f>AND(#REF!,"AAAAAH/7Lwk=")</f>
        <v>#REF!</v>
      </c>
      <c r="K13" t="e">
        <f>AND(#REF!,"AAAAAH/7Lwo=")</f>
        <v>#REF!</v>
      </c>
      <c r="L13" t="e">
        <f>AND(#REF!,"AAAAAH/7Lws=")</f>
        <v>#REF!</v>
      </c>
      <c r="M13" t="e">
        <f>AND(#REF!,"AAAAAH/7Lww=")</f>
        <v>#REF!</v>
      </c>
      <c r="N13" t="e">
        <f>AND(#REF!,"AAAAAH/7Lw0=")</f>
        <v>#REF!</v>
      </c>
      <c r="O13" t="e">
        <f>AND(#REF!,"AAAAAH/7Lw4=")</f>
        <v>#REF!</v>
      </c>
      <c r="P13" t="e">
        <f>AND(#REF!,"AAAAAH/7Lw8=")</f>
        <v>#REF!</v>
      </c>
      <c r="Q13" t="e">
        <f>AND(#REF!,"AAAAAH/7LxA=")</f>
        <v>#REF!</v>
      </c>
      <c r="R13" t="e">
        <f>AND(#REF!,"AAAAAH/7LxE=")</f>
        <v>#REF!</v>
      </c>
      <c r="S13" t="e">
        <f>AND(#REF!,"AAAAAH/7LxI=")</f>
        <v>#REF!</v>
      </c>
      <c r="T13" t="e">
        <f>AND(#REF!,"AAAAAH/7LxM=")</f>
        <v>#REF!</v>
      </c>
      <c r="U13" t="e">
        <f>AND(#REF!,"AAAAAH/7LxQ=")</f>
        <v>#REF!</v>
      </c>
      <c r="V13" t="e">
        <f>AND(#REF!,"AAAAAH/7LxU=")</f>
        <v>#REF!</v>
      </c>
      <c r="W13" t="e">
        <f>AND(#REF!,"AAAAAH/7LxY=")</f>
        <v>#REF!</v>
      </c>
      <c r="X13" t="e">
        <f>AND(#REF!,"AAAAAH/7Lxc=")</f>
        <v>#REF!</v>
      </c>
      <c r="Y13" t="e">
        <f>AND(#REF!,"AAAAAH/7Lxg=")</f>
        <v>#REF!</v>
      </c>
      <c r="Z13" t="e">
        <f>AND(#REF!,"AAAAAH/7Lxk=")</f>
        <v>#REF!</v>
      </c>
      <c r="AA13" t="e">
        <f>AND(#REF!,"AAAAAH/7Lxo=")</f>
        <v>#REF!</v>
      </c>
      <c r="AB13" t="e">
        <f>AND(#REF!,"AAAAAH/7Lxs=")</f>
        <v>#REF!</v>
      </c>
      <c r="AC13" t="e">
        <f>AND(#REF!,"AAAAAH/7Lxw=")</f>
        <v>#REF!</v>
      </c>
      <c r="AD13" t="e">
        <f>AND(#REF!,"AAAAAH/7Lx0=")</f>
        <v>#REF!</v>
      </c>
      <c r="AE13" t="e">
        <f>AND(#REF!,"AAAAAH/7Lx4=")</f>
        <v>#REF!</v>
      </c>
      <c r="AF13" t="e">
        <f>AND(#REF!,"AAAAAH/7Lx8=")</f>
        <v>#REF!</v>
      </c>
      <c r="AG13" t="e">
        <f>AND(#REF!,"AAAAAH/7LyA=")</f>
        <v>#REF!</v>
      </c>
      <c r="AH13" t="e">
        <f>AND(#REF!,"AAAAAH/7LyE=")</f>
        <v>#REF!</v>
      </c>
      <c r="AI13" t="e">
        <f>AND(#REF!,"AAAAAH/7LyI=")</f>
        <v>#REF!</v>
      </c>
      <c r="AJ13" t="e">
        <f>AND(#REF!,"AAAAAH/7LyM=")</f>
        <v>#REF!</v>
      </c>
      <c r="AK13" t="e">
        <f>AND(#REF!,"AAAAAH/7LyQ=")</f>
        <v>#REF!</v>
      </c>
      <c r="AL13" t="e">
        <f>AND(#REF!,"AAAAAH/7LyU=")</f>
        <v>#REF!</v>
      </c>
      <c r="AM13" t="e">
        <f>AND(#REF!,"AAAAAH/7LyY=")</f>
        <v>#REF!</v>
      </c>
      <c r="AN13" t="e">
        <f>AND(#REF!,"AAAAAH/7Lyc=")</f>
        <v>#REF!</v>
      </c>
      <c r="AO13" t="e">
        <f>AND(#REF!,"AAAAAH/7Lyg=")</f>
        <v>#REF!</v>
      </c>
      <c r="AP13" t="e">
        <f>AND(#REF!,"AAAAAH/7Lyk=")</f>
        <v>#REF!</v>
      </c>
      <c r="AQ13" t="e">
        <f>AND(#REF!,"AAAAAH/7Lyo=")</f>
        <v>#REF!</v>
      </c>
      <c r="AR13" t="e">
        <f>AND(#REF!,"AAAAAH/7Lys=")</f>
        <v>#REF!</v>
      </c>
      <c r="AS13" t="e">
        <f>AND(#REF!,"AAAAAH/7Lyw=")</f>
        <v>#REF!</v>
      </c>
      <c r="AT13" t="e">
        <f>AND(#REF!,"AAAAAH/7Ly0=")</f>
        <v>#REF!</v>
      </c>
      <c r="AU13" t="e">
        <f>AND(#REF!,"AAAAAH/7Ly4=")</f>
        <v>#REF!</v>
      </c>
      <c r="AV13" t="e">
        <f>AND(#REF!,"AAAAAH/7Ly8=")</f>
        <v>#REF!</v>
      </c>
      <c r="AW13" t="e">
        <f>AND(#REF!,"AAAAAH/7LzA=")</f>
        <v>#REF!</v>
      </c>
      <c r="AX13" t="e">
        <f>AND(#REF!,"AAAAAH/7LzE=")</f>
        <v>#REF!</v>
      </c>
      <c r="AY13" t="e">
        <f>AND(#REF!,"AAAAAH/7LzI=")</f>
        <v>#REF!</v>
      </c>
      <c r="AZ13" t="e">
        <f>AND(#REF!,"AAAAAH/7LzM=")</f>
        <v>#REF!</v>
      </c>
      <c r="BA13" t="e">
        <f>IF(#REF!,"AAAAAH/7LzQ=",0)</f>
        <v>#REF!</v>
      </c>
      <c r="BB13" t="e">
        <f>AND(#REF!,"AAAAAH/7LzU=")</f>
        <v>#REF!</v>
      </c>
      <c r="BC13" t="e">
        <f>AND(#REF!,"AAAAAH/7LzY=")</f>
        <v>#REF!</v>
      </c>
      <c r="BD13" t="e">
        <f>AND(#REF!,"AAAAAH/7Lzc=")</f>
        <v>#REF!</v>
      </c>
      <c r="BE13" t="e">
        <f>AND(#REF!,"AAAAAH/7Lzg=")</f>
        <v>#REF!</v>
      </c>
      <c r="BF13" t="e">
        <f>AND(#REF!,"AAAAAH/7Lzk=")</f>
        <v>#REF!</v>
      </c>
      <c r="BG13" t="e">
        <f>AND(#REF!,"AAAAAH/7Lzo=")</f>
        <v>#REF!</v>
      </c>
      <c r="BH13" t="e">
        <f>AND(#REF!,"AAAAAH/7Lzs=")</f>
        <v>#REF!</v>
      </c>
      <c r="BI13" t="e">
        <f>AND(#REF!,"AAAAAH/7Lzw=")</f>
        <v>#REF!</v>
      </c>
      <c r="BJ13" t="e">
        <f>AND(#REF!,"AAAAAH/7Lz0=")</f>
        <v>#REF!</v>
      </c>
      <c r="BK13" t="e">
        <f>AND(#REF!,"AAAAAH/7Lz4=")</f>
        <v>#REF!</v>
      </c>
      <c r="BL13" t="e">
        <f>AND(#REF!,"AAAAAH/7Lz8=")</f>
        <v>#REF!</v>
      </c>
      <c r="BM13" t="e">
        <f>AND(#REF!,"AAAAAH/7L0A=")</f>
        <v>#REF!</v>
      </c>
      <c r="BN13" t="e">
        <f>AND(#REF!,"AAAAAH/7L0E=")</f>
        <v>#REF!</v>
      </c>
      <c r="BO13" t="e">
        <f>AND(#REF!,"AAAAAH/7L0I=")</f>
        <v>#REF!</v>
      </c>
      <c r="BP13" t="e">
        <f>AND(#REF!,"AAAAAH/7L0M=")</f>
        <v>#REF!</v>
      </c>
      <c r="BQ13" t="e">
        <f>AND(#REF!,"AAAAAH/7L0Q=")</f>
        <v>#REF!</v>
      </c>
      <c r="BR13" t="e">
        <f>AND(#REF!,"AAAAAH/7L0U=")</f>
        <v>#REF!</v>
      </c>
      <c r="BS13" t="e">
        <f>AND(#REF!,"AAAAAH/7L0Y=")</f>
        <v>#REF!</v>
      </c>
      <c r="BT13" t="e">
        <f>AND(#REF!,"AAAAAH/7L0c=")</f>
        <v>#REF!</v>
      </c>
      <c r="BU13" t="e">
        <f>AND(#REF!,"AAAAAH/7L0g=")</f>
        <v>#REF!</v>
      </c>
      <c r="BV13" t="e">
        <f>AND(#REF!,"AAAAAH/7L0k=")</f>
        <v>#REF!</v>
      </c>
      <c r="BW13" t="e">
        <f>AND(#REF!,"AAAAAH/7L0o=")</f>
        <v>#REF!</v>
      </c>
      <c r="BX13" t="e">
        <f>AND(#REF!,"AAAAAH/7L0s=")</f>
        <v>#REF!</v>
      </c>
      <c r="BY13" t="e">
        <f>AND(#REF!,"AAAAAH/7L0w=")</f>
        <v>#REF!</v>
      </c>
      <c r="BZ13" t="e">
        <f>AND(#REF!,"AAAAAH/7L00=")</f>
        <v>#REF!</v>
      </c>
      <c r="CA13" t="e">
        <f>AND(#REF!,"AAAAAH/7L04=")</f>
        <v>#REF!</v>
      </c>
      <c r="CB13" t="e">
        <f>AND(#REF!,"AAAAAH/7L08=")</f>
        <v>#REF!</v>
      </c>
      <c r="CC13" t="e">
        <f>AND(#REF!,"AAAAAH/7L1A=")</f>
        <v>#REF!</v>
      </c>
      <c r="CD13" t="e">
        <f>AND(#REF!,"AAAAAH/7L1E=")</f>
        <v>#REF!</v>
      </c>
      <c r="CE13" t="e">
        <f>AND(#REF!,"AAAAAH/7L1I=")</f>
        <v>#REF!</v>
      </c>
      <c r="CF13" t="e">
        <f>AND(#REF!,"AAAAAH/7L1M=")</f>
        <v>#REF!</v>
      </c>
      <c r="CG13" t="e">
        <f>AND(#REF!,"AAAAAH/7L1Q=")</f>
        <v>#REF!</v>
      </c>
      <c r="CH13" t="e">
        <f>AND(#REF!,"AAAAAH/7L1U=")</f>
        <v>#REF!</v>
      </c>
      <c r="CI13" t="e">
        <f>AND(#REF!,"AAAAAH/7L1Y=")</f>
        <v>#REF!</v>
      </c>
      <c r="CJ13" t="e">
        <f>AND(#REF!,"AAAAAH/7L1c=")</f>
        <v>#REF!</v>
      </c>
      <c r="CK13" t="e">
        <f>AND(#REF!,"AAAAAH/7L1g=")</f>
        <v>#REF!</v>
      </c>
      <c r="CL13" t="e">
        <f>AND(#REF!,"AAAAAH/7L1k=")</f>
        <v>#REF!</v>
      </c>
      <c r="CM13" t="e">
        <f>AND(#REF!,"AAAAAH/7L1o=")</f>
        <v>#REF!</v>
      </c>
      <c r="CN13" t="e">
        <f>AND(#REF!,"AAAAAH/7L1s=")</f>
        <v>#REF!</v>
      </c>
      <c r="CO13" t="e">
        <f>AND(#REF!,"AAAAAH/7L1w=")</f>
        <v>#REF!</v>
      </c>
      <c r="CP13" t="e">
        <f>AND(#REF!,"AAAAAH/7L10=")</f>
        <v>#REF!</v>
      </c>
      <c r="CQ13" t="e">
        <f>AND(#REF!,"AAAAAH/7L14=")</f>
        <v>#REF!</v>
      </c>
      <c r="CR13" t="e">
        <f>AND(#REF!,"AAAAAH/7L18=")</f>
        <v>#REF!</v>
      </c>
      <c r="CS13" t="e">
        <f>IF(#REF!,"AAAAAH/7L2A=",0)</f>
        <v>#REF!</v>
      </c>
      <c r="CT13" t="e">
        <f>AND(#REF!,"AAAAAH/7L2E=")</f>
        <v>#REF!</v>
      </c>
      <c r="CU13" t="e">
        <f>AND(#REF!,"AAAAAH/7L2I=")</f>
        <v>#REF!</v>
      </c>
      <c r="CV13" t="e">
        <f>AND(#REF!,"AAAAAH/7L2M=")</f>
        <v>#REF!</v>
      </c>
      <c r="CW13" t="e">
        <f>AND(#REF!,"AAAAAH/7L2Q=")</f>
        <v>#REF!</v>
      </c>
      <c r="CX13" t="e">
        <f>AND(#REF!,"AAAAAH/7L2U=")</f>
        <v>#REF!</v>
      </c>
      <c r="CY13" t="e">
        <f>AND(#REF!,"AAAAAH/7L2Y=")</f>
        <v>#REF!</v>
      </c>
      <c r="CZ13" t="e">
        <f>AND(#REF!,"AAAAAH/7L2c=")</f>
        <v>#REF!</v>
      </c>
      <c r="DA13" t="e">
        <f>AND(#REF!,"AAAAAH/7L2g=")</f>
        <v>#REF!</v>
      </c>
      <c r="DB13" t="e">
        <f>AND(#REF!,"AAAAAH/7L2k=")</f>
        <v>#REF!</v>
      </c>
      <c r="DC13" t="e">
        <f>AND(#REF!,"AAAAAH/7L2o=")</f>
        <v>#REF!</v>
      </c>
      <c r="DD13" t="e">
        <f>AND(#REF!,"AAAAAH/7L2s=")</f>
        <v>#REF!</v>
      </c>
      <c r="DE13" t="e">
        <f>AND(#REF!,"AAAAAH/7L2w=")</f>
        <v>#REF!</v>
      </c>
      <c r="DF13" t="e">
        <f>AND(#REF!,"AAAAAH/7L20=")</f>
        <v>#REF!</v>
      </c>
      <c r="DG13" t="e">
        <f>AND(#REF!,"AAAAAH/7L24=")</f>
        <v>#REF!</v>
      </c>
      <c r="DH13" t="e">
        <f>AND(#REF!,"AAAAAH/7L28=")</f>
        <v>#REF!</v>
      </c>
      <c r="DI13" t="e">
        <f>AND(#REF!,"AAAAAH/7L3A=")</f>
        <v>#REF!</v>
      </c>
      <c r="DJ13" t="e">
        <f>AND(#REF!,"AAAAAH/7L3E=")</f>
        <v>#REF!</v>
      </c>
      <c r="DK13" t="e">
        <f>AND(#REF!,"AAAAAH/7L3I=")</f>
        <v>#REF!</v>
      </c>
      <c r="DL13" t="e">
        <f>AND(#REF!,"AAAAAH/7L3M=")</f>
        <v>#REF!</v>
      </c>
      <c r="DM13" t="e">
        <f>AND(#REF!,"AAAAAH/7L3Q=")</f>
        <v>#REF!</v>
      </c>
      <c r="DN13" t="e">
        <f>AND(#REF!,"AAAAAH/7L3U=")</f>
        <v>#REF!</v>
      </c>
      <c r="DO13" t="e">
        <f>AND(#REF!,"AAAAAH/7L3Y=")</f>
        <v>#REF!</v>
      </c>
      <c r="DP13" t="e">
        <f>AND(#REF!,"AAAAAH/7L3c=")</f>
        <v>#REF!</v>
      </c>
      <c r="DQ13" t="e">
        <f>AND(#REF!,"AAAAAH/7L3g=")</f>
        <v>#REF!</v>
      </c>
      <c r="DR13" t="e">
        <f>AND(#REF!,"AAAAAH/7L3k=")</f>
        <v>#REF!</v>
      </c>
      <c r="DS13" t="e">
        <f>AND(#REF!,"AAAAAH/7L3o=")</f>
        <v>#REF!</v>
      </c>
      <c r="DT13" t="e">
        <f>AND(#REF!,"AAAAAH/7L3s=")</f>
        <v>#REF!</v>
      </c>
      <c r="DU13" t="e">
        <f>AND(#REF!,"AAAAAH/7L3w=")</f>
        <v>#REF!</v>
      </c>
      <c r="DV13" t="e">
        <f>AND(#REF!,"AAAAAH/7L30=")</f>
        <v>#REF!</v>
      </c>
      <c r="DW13" t="e">
        <f>AND(#REF!,"AAAAAH/7L34=")</f>
        <v>#REF!</v>
      </c>
      <c r="DX13" t="e">
        <f>AND(#REF!,"AAAAAH/7L38=")</f>
        <v>#REF!</v>
      </c>
      <c r="DY13" t="e">
        <f>AND(#REF!,"AAAAAH/7L4A=")</f>
        <v>#REF!</v>
      </c>
      <c r="DZ13" t="e">
        <f>AND(#REF!,"AAAAAH/7L4E=")</f>
        <v>#REF!</v>
      </c>
      <c r="EA13" t="e">
        <f>AND(#REF!,"AAAAAH/7L4I=")</f>
        <v>#REF!</v>
      </c>
      <c r="EB13" t="e">
        <f>AND(#REF!,"AAAAAH/7L4M=")</f>
        <v>#REF!</v>
      </c>
      <c r="EC13" t="e">
        <f>AND(#REF!,"AAAAAH/7L4Q=")</f>
        <v>#REF!</v>
      </c>
      <c r="ED13" t="e">
        <f>AND(#REF!,"AAAAAH/7L4U=")</f>
        <v>#REF!</v>
      </c>
      <c r="EE13" t="e">
        <f>AND(#REF!,"AAAAAH/7L4Y=")</f>
        <v>#REF!</v>
      </c>
      <c r="EF13" t="e">
        <f>AND(#REF!,"AAAAAH/7L4c=")</f>
        <v>#REF!</v>
      </c>
      <c r="EG13" t="e">
        <f>AND(#REF!,"AAAAAH/7L4g=")</f>
        <v>#REF!</v>
      </c>
      <c r="EH13" t="e">
        <f>AND(#REF!,"AAAAAH/7L4k=")</f>
        <v>#REF!</v>
      </c>
      <c r="EI13" t="e">
        <f>AND(#REF!,"AAAAAH/7L4o=")</f>
        <v>#REF!</v>
      </c>
      <c r="EJ13" t="e">
        <f>AND(#REF!,"AAAAAH/7L4s=")</f>
        <v>#REF!</v>
      </c>
      <c r="EK13" t="e">
        <f>IF(#REF!,"AAAAAH/7L4w=",0)</f>
        <v>#REF!</v>
      </c>
      <c r="EL13" t="e">
        <f>AND(#REF!,"AAAAAH/7L40=")</f>
        <v>#REF!</v>
      </c>
      <c r="EM13" t="e">
        <f>AND(#REF!,"AAAAAH/7L44=")</f>
        <v>#REF!</v>
      </c>
      <c r="EN13" t="e">
        <f>AND(#REF!,"AAAAAH/7L48=")</f>
        <v>#REF!</v>
      </c>
      <c r="EO13" t="e">
        <f>AND(#REF!,"AAAAAH/7L5A=")</f>
        <v>#REF!</v>
      </c>
      <c r="EP13" t="e">
        <f>AND(#REF!,"AAAAAH/7L5E=")</f>
        <v>#REF!</v>
      </c>
      <c r="EQ13" t="e">
        <f>AND(#REF!,"AAAAAH/7L5I=")</f>
        <v>#REF!</v>
      </c>
      <c r="ER13" t="e">
        <f>AND(#REF!,"AAAAAH/7L5M=")</f>
        <v>#REF!</v>
      </c>
      <c r="ES13" t="e">
        <f>AND(#REF!,"AAAAAH/7L5Q=")</f>
        <v>#REF!</v>
      </c>
      <c r="ET13" t="e">
        <f>AND(#REF!,"AAAAAH/7L5U=")</f>
        <v>#REF!</v>
      </c>
      <c r="EU13" t="e">
        <f>AND(#REF!,"AAAAAH/7L5Y=")</f>
        <v>#REF!</v>
      </c>
      <c r="EV13" t="e">
        <f>AND(#REF!,"AAAAAH/7L5c=")</f>
        <v>#REF!</v>
      </c>
      <c r="EW13" t="e">
        <f>AND(#REF!,"AAAAAH/7L5g=")</f>
        <v>#REF!</v>
      </c>
      <c r="EX13" t="e">
        <f>AND(#REF!,"AAAAAH/7L5k=")</f>
        <v>#REF!</v>
      </c>
      <c r="EY13" t="e">
        <f>AND(#REF!,"AAAAAH/7L5o=")</f>
        <v>#REF!</v>
      </c>
      <c r="EZ13" t="e">
        <f>AND(#REF!,"AAAAAH/7L5s=")</f>
        <v>#REF!</v>
      </c>
      <c r="FA13" t="e">
        <f>AND(#REF!,"AAAAAH/7L5w=")</f>
        <v>#REF!</v>
      </c>
      <c r="FB13" t="e">
        <f>AND(#REF!,"AAAAAH/7L50=")</f>
        <v>#REF!</v>
      </c>
      <c r="FC13" t="e">
        <f>AND(#REF!,"AAAAAH/7L54=")</f>
        <v>#REF!</v>
      </c>
      <c r="FD13" t="e">
        <f>AND(#REF!,"AAAAAH/7L58=")</f>
        <v>#REF!</v>
      </c>
      <c r="FE13" t="e">
        <f>AND(#REF!,"AAAAAH/7L6A=")</f>
        <v>#REF!</v>
      </c>
      <c r="FF13" t="e">
        <f>AND(#REF!,"AAAAAH/7L6E=")</f>
        <v>#REF!</v>
      </c>
      <c r="FG13" t="e">
        <f>AND(#REF!,"AAAAAH/7L6I=")</f>
        <v>#REF!</v>
      </c>
      <c r="FH13" t="e">
        <f>AND(#REF!,"AAAAAH/7L6M=")</f>
        <v>#REF!</v>
      </c>
      <c r="FI13" t="e">
        <f>AND(#REF!,"AAAAAH/7L6Q=")</f>
        <v>#REF!</v>
      </c>
      <c r="FJ13" t="e">
        <f>AND(#REF!,"AAAAAH/7L6U=")</f>
        <v>#REF!</v>
      </c>
      <c r="FK13" t="e">
        <f>AND(#REF!,"AAAAAH/7L6Y=")</f>
        <v>#REF!</v>
      </c>
      <c r="FL13" t="e">
        <f>AND(#REF!,"AAAAAH/7L6c=")</f>
        <v>#REF!</v>
      </c>
      <c r="FM13" t="e">
        <f>AND(#REF!,"AAAAAH/7L6g=")</f>
        <v>#REF!</v>
      </c>
      <c r="FN13" t="e">
        <f>AND(#REF!,"AAAAAH/7L6k=")</f>
        <v>#REF!</v>
      </c>
      <c r="FO13" t="e">
        <f>AND(#REF!,"AAAAAH/7L6o=")</f>
        <v>#REF!</v>
      </c>
      <c r="FP13" t="e">
        <f>AND(#REF!,"AAAAAH/7L6s=")</f>
        <v>#REF!</v>
      </c>
      <c r="FQ13" t="e">
        <f>AND(#REF!,"AAAAAH/7L6w=")</f>
        <v>#REF!</v>
      </c>
      <c r="FR13" t="e">
        <f>AND(#REF!,"AAAAAH/7L60=")</f>
        <v>#REF!</v>
      </c>
      <c r="FS13" t="e">
        <f>AND(#REF!,"AAAAAH/7L64=")</f>
        <v>#REF!</v>
      </c>
      <c r="FT13" t="e">
        <f>AND(#REF!,"AAAAAH/7L68=")</f>
        <v>#REF!</v>
      </c>
      <c r="FU13" t="e">
        <f>AND(#REF!,"AAAAAH/7L7A=")</f>
        <v>#REF!</v>
      </c>
      <c r="FV13" t="e">
        <f>AND(#REF!,"AAAAAH/7L7E=")</f>
        <v>#REF!</v>
      </c>
      <c r="FW13" t="e">
        <f>AND(#REF!,"AAAAAH/7L7I=")</f>
        <v>#REF!</v>
      </c>
      <c r="FX13" t="e">
        <f>AND(#REF!,"AAAAAH/7L7M=")</f>
        <v>#REF!</v>
      </c>
      <c r="FY13" t="e">
        <f>AND(#REF!,"AAAAAH/7L7Q=")</f>
        <v>#REF!</v>
      </c>
      <c r="FZ13" t="e">
        <f>AND(#REF!,"AAAAAH/7L7U=")</f>
        <v>#REF!</v>
      </c>
      <c r="GA13" t="e">
        <f>AND(#REF!,"AAAAAH/7L7Y=")</f>
        <v>#REF!</v>
      </c>
      <c r="GB13" t="e">
        <f>AND(#REF!,"AAAAAH/7L7c=")</f>
        <v>#REF!</v>
      </c>
      <c r="GC13" t="e">
        <f>IF(#REF!,"AAAAAH/7L7g=",0)</f>
        <v>#REF!</v>
      </c>
      <c r="GD13" t="e">
        <f>AND(#REF!,"AAAAAH/7L7k=")</f>
        <v>#REF!</v>
      </c>
      <c r="GE13" t="e">
        <f>AND(#REF!,"AAAAAH/7L7o=")</f>
        <v>#REF!</v>
      </c>
      <c r="GF13" t="e">
        <f>AND(#REF!,"AAAAAH/7L7s=")</f>
        <v>#REF!</v>
      </c>
      <c r="GG13" t="e">
        <f>AND(#REF!,"AAAAAH/7L7w=")</f>
        <v>#REF!</v>
      </c>
      <c r="GH13" t="e">
        <f>AND(#REF!,"AAAAAH/7L70=")</f>
        <v>#REF!</v>
      </c>
      <c r="GI13" t="e">
        <f>AND(#REF!,"AAAAAH/7L74=")</f>
        <v>#REF!</v>
      </c>
      <c r="GJ13" t="e">
        <f>AND(#REF!,"AAAAAH/7L78=")</f>
        <v>#REF!</v>
      </c>
      <c r="GK13" t="e">
        <f>AND(#REF!,"AAAAAH/7L8A=")</f>
        <v>#REF!</v>
      </c>
      <c r="GL13" t="e">
        <f>AND(#REF!,"AAAAAH/7L8E=")</f>
        <v>#REF!</v>
      </c>
      <c r="GM13" t="e">
        <f>AND(#REF!,"AAAAAH/7L8I=")</f>
        <v>#REF!</v>
      </c>
      <c r="GN13" t="e">
        <f>AND(#REF!,"AAAAAH/7L8M=")</f>
        <v>#REF!</v>
      </c>
      <c r="GO13" t="e">
        <f>AND(#REF!,"AAAAAH/7L8Q=")</f>
        <v>#REF!</v>
      </c>
      <c r="GP13" t="e">
        <f>AND(#REF!,"AAAAAH/7L8U=")</f>
        <v>#REF!</v>
      </c>
      <c r="GQ13" t="e">
        <f>AND(#REF!,"AAAAAH/7L8Y=")</f>
        <v>#REF!</v>
      </c>
      <c r="GR13" t="e">
        <f>AND(#REF!,"AAAAAH/7L8c=")</f>
        <v>#REF!</v>
      </c>
      <c r="GS13" t="e">
        <f>AND(#REF!,"AAAAAH/7L8g=")</f>
        <v>#REF!</v>
      </c>
      <c r="GT13" t="e">
        <f>AND(#REF!,"AAAAAH/7L8k=")</f>
        <v>#REF!</v>
      </c>
      <c r="GU13" t="e">
        <f>AND(#REF!,"AAAAAH/7L8o=")</f>
        <v>#REF!</v>
      </c>
      <c r="GV13" t="e">
        <f>AND(#REF!,"AAAAAH/7L8s=")</f>
        <v>#REF!</v>
      </c>
      <c r="GW13" t="e">
        <f>AND(#REF!,"AAAAAH/7L8w=")</f>
        <v>#REF!</v>
      </c>
      <c r="GX13" t="e">
        <f>AND(#REF!,"AAAAAH/7L80=")</f>
        <v>#REF!</v>
      </c>
      <c r="GY13" t="e">
        <f>AND(#REF!,"AAAAAH/7L84=")</f>
        <v>#REF!</v>
      </c>
      <c r="GZ13" t="e">
        <f>AND(#REF!,"AAAAAH/7L88=")</f>
        <v>#REF!</v>
      </c>
      <c r="HA13" t="e">
        <f>AND(#REF!,"AAAAAH/7L9A=")</f>
        <v>#REF!</v>
      </c>
      <c r="HB13" t="e">
        <f>AND(#REF!,"AAAAAH/7L9E=")</f>
        <v>#REF!</v>
      </c>
      <c r="HC13" t="e">
        <f>AND(#REF!,"AAAAAH/7L9I=")</f>
        <v>#REF!</v>
      </c>
      <c r="HD13" t="e">
        <f>AND(#REF!,"AAAAAH/7L9M=")</f>
        <v>#REF!</v>
      </c>
      <c r="HE13" t="e">
        <f>AND(#REF!,"AAAAAH/7L9Q=")</f>
        <v>#REF!</v>
      </c>
      <c r="HF13" t="e">
        <f>AND(#REF!,"AAAAAH/7L9U=")</f>
        <v>#REF!</v>
      </c>
      <c r="HG13" t="e">
        <f>AND(#REF!,"AAAAAH/7L9Y=")</f>
        <v>#REF!</v>
      </c>
      <c r="HH13" t="e">
        <f>AND(#REF!,"AAAAAH/7L9c=")</f>
        <v>#REF!</v>
      </c>
      <c r="HI13" t="e">
        <f>AND(#REF!,"AAAAAH/7L9g=")</f>
        <v>#REF!</v>
      </c>
      <c r="HJ13" t="e">
        <f>AND(#REF!,"AAAAAH/7L9k=")</f>
        <v>#REF!</v>
      </c>
      <c r="HK13" t="e">
        <f>AND(#REF!,"AAAAAH/7L9o=")</f>
        <v>#REF!</v>
      </c>
      <c r="HL13" t="e">
        <f>AND(#REF!,"AAAAAH/7L9s=")</f>
        <v>#REF!</v>
      </c>
      <c r="HM13" t="e">
        <f>AND(#REF!,"AAAAAH/7L9w=")</f>
        <v>#REF!</v>
      </c>
      <c r="HN13" t="e">
        <f>AND(#REF!,"AAAAAH/7L90=")</f>
        <v>#REF!</v>
      </c>
      <c r="HO13" t="e">
        <f>AND(#REF!,"AAAAAH/7L94=")</f>
        <v>#REF!</v>
      </c>
      <c r="HP13" t="e">
        <f>AND(#REF!,"AAAAAH/7L98=")</f>
        <v>#REF!</v>
      </c>
      <c r="HQ13" t="e">
        <f>AND(#REF!,"AAAAAH/7L+A=")</f>
        <v>#REF!</v>
      </c>
      <c r="HR13" t="e">
        <f>AND(#REF!,"AAAAAH/7L+E=")</f>
        <v>#REF!</v>
      </c>
      <c r="HS13" t="e">
        <f>AND(#REF!,"AAAAAH/7L+I=")</f>
        <v>#REF!</v>
      </c>
      <c r="HT13" t="e">
        <f>AND(#REF!,"AAAAAH/7L+M=")</f>
        <v>#REF!</v>
      </c>
      <c r="HU13" t="e">
        <f>IF(#REF!,"AAAAAH/7L+Q=",0)</f>
        <v>#REF!</v>
      </c>
      <c r="HV13" t="e">
        <f>AND(#REF!,"AAAAAH/7L+U=")</f>
        <v>#REF!</v>
      </c>
      <c r="HW13" t="e">
        <f>AND(#REF!,"AAAAAH/7L+Y=")</f>
        <v>#REF!</v>
      </c>
      <c r="HX13" t="e">
        <f>AND(#REF!,"AAAAAH/7L+c=")</f>
        <v>#REF!</v>
      </c>
      <c r="HY13" t="e">
        <f>AND(#REF!,"AAAAAH/7L+g=")</f>
        <v>#REF!</v>
      </c>
      <c r="HZ13" t="e">
        <f>AND(#REF!,"AAAAAH/7L+k=")</f>
        <v>#REF!</v>
      </c>
      <c r="IA13" t="e">
        <f>AND(#REF!,"AAAAAH/7L+o=")</f>
        <v>#REF!</v>
      </c>
      <c r="IB13" t="e">
        <f>AND(#REF!,"AAAAAH/7L+s=")</f>
        <v>#REF!</v>
      </c>
      <c r="IC13" t="e">
        <f>AND(#REF!,"AAAAAH/7L+w=")</f>
        <v>#REF!</v>
      </c>
      <c r="ID13" t="e">
        <f>AND(#REF!,"AAAAAH/7L+0=")</f>
        <v>#REF!</v>
      </c>
      <c r="IE13" t="e">
        <f>AND(#REF!,"AAAAAH/7L+4=")</f>
        <v>#REF!</v>
      </c>
      <c r="IF13" t="e">
        <f>AND(#REF!,"AAAAAH/7L+8=")</f>
        <v>#REF!</v>
      </c>
      <c r="IG13" t="e">
        <f>AND(#REF!,"AAAAAH/7L/A=")</f>
        <v>#REF!</v>
      </c>
      <c r="IH13" t="e">
        <f>AND(#REF!,"AAAAAH/7L/E=")</f>
        <v>#REF!</v>
      </c>
      <c r="II13" t="e">
        <f>AND(#REF!,"AAAAAH/7L/I=")</f>
        <v>#REF!</v>
      </c>
      <c r="IJ13" t="e">
        <f>AND(#REF!,"AAAAAH/7L/M=")</f>
        <v>#REF!</v>
      </c>
      <c r="IK13" t="e">
        <f>AND(#REF!,"AAAAAH/7L/Q=")</f>
        <v>#REF!</v>
      </c>
      <c r="IL13" t="e">
        <f>AND(#REF!,"AAAAAH/7L/U=")</f>
        <v>#REF!</v>
      </c>
      <c r="IM13" t="e">
        <f>AND(#REF!,"AAAAAH/7L/Y=")</f>
        <v>#REF!</v>
      </c>
      <c r="IN13" t="e">
        <f>AND(#REF!,"AAAAAH/7L/c=")</f>
        <v>#REF!</v>
      </c>
      <c r="IO13" t="e">
        <f>AND(#REF!,"AAAAAH/7L/g=")</f>
        <v>#REF!</v>
      </c>
      <c r="IP13" t="e">
        <f>AND(#REF!,"AAAAAH/7L/k=")</f>
        <v>#REF!</v>
      </c>
      <c r="IQ13" t="e">
        <f>AND(#REF!,"AAAAAH/7L/o=")</f>
        <v>#REF!</v>
      </c>
      <c r="IR13" t="e">
        <f>AND(#REF!,"AAAAAH/7L/s=")</f>
        <v>#REF!</v>
      </c>
      <c r="IS13" t="e">
        <f>AND(#REF!,"AAAAAH/7L/w=")</f>
        <v>#REF!</v>
      </c>
      <c r="IT13" t="e">
        <f>AND(#REF!,"AAAAAH/7L/0=")</f>
        <v>#REF!</v>
      </c>
      <c r="IU13" t="e">
        <f>AND(#REF!,"AAAAAH/7L/4=")</f>
        <v>#REF!</v>
      </c>
      <c r="IV13" t="e">
        <f>AND(#REF!,"AAAAAH/7L/8=")</f>
        <v>#REF!</v>
      </c>
    </row>
    <row r="14" spans="1:256" x14ac:dyDescent="0.25">
      <c r="A14" t="e">
        <f>AND(#REF!,"AAAAAD7+9wA=")</f>
        <v>#REF!</v>
      </c>
      <c r="B14" t="e">
        <f>AND(#REF!,"AAAAAD7+9wE=")</f>
        <v>#REF!</v>
      </c>
      <c r="C14" t="e">
        <f>AND(#REF!,"AAAAAD7+9wI=")</f>
        <v>#REF!</v>
      </c>
      <c r="D14" t="e">
        <f>AND(#REF!,"AAAAAD7+9wM=")</f>
        <v>#REF!</v>
      </c>
      <c r="E14" t="e">
        <f>AND(#REF!,"AAAAAD7+9wQ=")</f>
        <v>#REF!</v>
      </c>
      <c r="F14" t="e">
        <f>AND(#REF!,"AAAAAD7+9wU=")</f>
        <v>#REF!</v>
      </c>
      <c r="G14" t="e">
        <f>AND(#REF!,"AAAAAD7+9wY=")</f>
        <v>#REF!</v>
      </c>
      <c r="H14" t="e">
        <f>AND(#REF!,"AAAAAD7+9wc=")</f>
        <v>#REF!</v>
      </c>
      <c r="I14" t="e">
        <f>AND(#REF!,"AAAAAD7+9wg=")</f>
        <v>#REF!</v>
      </c>
      <c r="J14" t="e">
        <f>AND(#REF!,"AAAAAD7+9wk=")</f>
        <v>#REF!</v>
      </c>
      <c r="K14" t="e">
        <f>AND(#REF!,"AAAAAD7+9wo=")</f>
        <v>#REF!</v>
      </c>
      <c r="L14" t="e">
        <f>AND(#REF!,"AAAAAD7+9ws=")</f>
        <v>#REF!</v>
      </c>
      <c r="M14" t="e">
        <f>AND(#REF!,"AAAAAD7+9ww=")</f>
        <v>#REF!</v>
      </c>
      <c r="N14" t="e">
        <f>AND(#REF!,"AAAAAD7+9w0=")</f>
        <v>#REF!</v>
      </c>
      <c r="O14" t="e">
        <f>AND(#REF!,"AAAAAD7+9w4=")</f>
        <v>#REF!</v>
      </c>
      <c r="P14" t="e">
        <f>AND(#REF!,"AAAAAD7+9w8=")</f>
        <v>#REF!</v>
      </c>
      <c r="Q14" t="e">
        <f>IF(#REF!,"AAAAAD7+9xA=",0)</f>
        <v>#REF!</v>
      </c>
      <c r="R14" t="e">
        <f>AND(#REF!,"AAAAAD7+9xE=")</f>
        <v>#REF!</v>
      </c>
      <c r="S14" t="e">
        <f>AND(#REF!,"AAAAAD7+9xI=")</f>
        <v>#REF!</v>
      </c>
      <c r="T14" t="e">
        <f>AND(#REF!,"AAAAAD7+9xM=")</f>
        <v>#REF!</v>
      </c>
      <c r="U14" t="e">
        <f>AND(#REF!,"AAAAAD7+9xQ=")</f>
        <v>#REF!</v>
      </c>
      <c r="V14" t="e">
        <f>AND(#REF!,"AAAAAD7+9xU=")</f>
        <v>#REF!</v>
      </c>
      <c r="W14" t="e">
        <f>AND(#REF!,"AAAAAD7+9xY=")</f>
        <v>#REF!</v>
      </c>
      <c r="X14" t="e">
        <f>AND(#REF!,"AAAAAD7+9xc=")</f>
        <v>#REF!</v>
      </c>
      <c r="Y14" t="e">
        <f>AND(#REF!,"AAAAAD7+9xg=")</f>
        <v>#REF!</v>
      </c>
      <c r="Z14" t="e">
        <f>AND(#REF!,"AAAAAD7+9xk=")</f>
        <v>#REF!</v>
      </c>
      <c r="AA14" t="e">
        <f>AND(#REF!,"AAAAAD7+9xo=")</f>
        <v>#REF!</v>
      </c>
      <c r="AB14" t="e">
        <f>AND(#REF!,"AAAAAD7+9xs=")</f>
        <v>#REF!</v>
      </c>
      <c r="AC14" t="e">
        <f>AND(#REF!,"AAAAAD7+9xw=")</f>
        <v>#REF!</v>
      </c>
      <c r="AD14" t="e">
        <f>AND(#REF!,"AAAAAD7+9x0=")</f>
        <v>#REF!</v>
      </c>
      <c r="AE14" t="e">
        <f>AND(#REF!,"AAAAAD7+9x4=")</f>
        <v>#REF!</v>
      </c>
      <c r="AF14" t="e">
        <f>AND(#REF!,"AAAAAD7+9x8=")</f>
        <v>#REF!</v>
      </c>
      <c r="AG14" t="e">
        <f>AND(#REF!,"AAAAAD7+9yA=")</f>
        <v>#REF!</v>
      </c>
      <c r="AH14" t="e">
        <f>AND(#REF!,"AAAAAD7+9yE=")</f>
        <v>#REF!</v>
      </c>
      <c r="AI14" t="e">
        <f>AND(#REF!,"AAAAAD7+9yI=")</f>
        <v>#REF!</v>
      </c>
      <c r="AJ14" t="e">
        <f>AND(#REF!,"AAAAAD7+9yM=")</f>
        <v>#REF!</v>
      </c>
      <c r="AK14" t="e">
        <f>AND(#REF!,"AAAAAD7+9yQ=")</f>
        <v>#REF!</v>
      </c>
      <c r="AL14" t="e">
        <f>AND(#REF!,"AAAAAD7+9yU=")</f>
        <v>#REF!</v>
      </c>
      <c r="AM14" t="e">
        <f>AND(#REF!,"AAAAAD7+9yY=")</f>
        <v>#REF!</v>
      </c>
      <c r="AN14" t="e">
        <f>AND(#REF!,"AAAAAD7+9yc=")</f>
        <v>#REF!</v>
      </c>
      <c r="AO14" t="e">
        <f>AND(#REF!,"AAAAAD7+9yg=")</f>
        <v>#REF!</v>
      </c>
      <c r="AP14" t="e">
        <f>AND(#REF!,"AAAAAD7+9yk=")</f>
        <v>#REF!</v>
      </c>
      <c r="AQ14" t="e">
        <f>AND(#REF!,"AAAAAD7+9yo=")</f>
        <v>#REF!</v>
      </c>
      <c r="AR14" t="e">
        <f>AND(#REF!,"AAAAAD7+9ys=")</f>
        <v>#REF!</v>
      </c>
      <c r="AS14" t="e">
        <f>AND(#REF!,"AAAAAD7+9yw=")</f>
        <v>#REF!</v>
      </c>
      <c r="AT14" t="e">
        <f>AND(#REF!,"AAAAAD7+9y0=")</f>
        <v>#REF!</v>
      </c>
      <c r="AU14" t="e">
        <f>AND(#REF!,"AAAAAD7+9y4=")</f>
        <v>#REF!</v>
      </c>
      <c r="AV14" t="e">
        <f>AND(#REF!,"AAAAAD7+9y8=")</f>
        <v>#REF!</v>
      </c>
      <c r="AW14" t="e">
        <f>AND(#REF!,"AAAAAD7+9zA=")</f>
        <v>#REF!</v>
      </c>
      <c r="AX14" t="e">
        <f>AND(#REF!,"AAAAAD7+9zE=")</f>
        <v>#REF!</v>
      </c>
      <c r="AY14" t="e">
        <f>AND(#REF!,"AAAAAD7+9zI=")</f>
        <v>#REF!</v>
      </c>
      <c r="AZ14" t="e">
        <f>AND(#REF!,"AAAAAD7+9zM=")</f>
        <v>#REF!</v>
      </c>
      <c r="BA14" t="e">
        <f>AND(#REF!,"AAAAAD7+9zQ=")</f>
        <v>#REF!</v>
      </c>
      <c r="BB14" t="e">
        <f>AND(#REF!,"AAAAAD7+9zU=")</f>
        <v>#REF!</v>
      </c>
      <c r="BC14" t="e">
        <f>AND(#REF!,"AAAAAD7+9zY=")</f>
        <v>#REF!</v>
      </c>
      <c r="BD14" t="e">
        <f>AND(#REF!,"AAAAAD7+9zc=")</f>
        <v>#REF!</v>
      </c>
      <c r="BE14" t="e">
        <f>AND(#REF!,"AAAAAD7+9zg=")</f>
        <v>#REF!</v>
      </c>
      <c r="BF14" t="e">
        <f>AND(#REF!,"AAAAAD7+9zk=")</f>
        <v>#REF!</v>
      </c>
      <c r="BG14" t="e">
        <f>AND(#REF!,"AAAAAD7+9zo=")</f>
        <v>#REF!</v>
      </c>
      <c r="BH14" t="e">
        <f>AND(#REF!,"AAAAAD7+9zs=")</f>
        <v>#REF!</v>
      </c>
      <c r="BI14" t="e">
        <f>IF(#REF!,"AAAAAD7+9zw=",0)</f>
        <v>#REF!</v>
      </c>
      <c r="BJ14" t="e">
        <f>AND(#REF!,"AAAAAD7+9z0=")</f>
        <v>#REF!</v>
      </c>
      <c r="BK14" t="e">
        <f>AND(#REF!,"AAAAAD7+9z4=")</f>
        <v>#REF!</v>
      </c>
      <c r="BL14" t="e">
        <f>AND(#REF!,"AAAAAD7+9z8=")</f>
        <v>#REF!</v>
      </c>
      <c r="BM14" t="e">
        <f>AND(#REF!,"AAAAAD7+90A=")</f>
        <v>#REF!</v>
      </c>
      <c r="BN14" t="e">
        <f>AND(#REF!,"AAAAAD7+90E=")</f>
        <v>#REF!</v>
      </c>
      <c r="BO14" t="e">
        <f>AND(#REF!,"AAAAAD7+90I=")</f>
        <v>#REF!</v>
      </c>
      <c r="BP14" t="e">
        <f>AND(#REF!,"AAAAAD7+90M=")</f>
        <v>#REF!</v>
      </c>
      <c r="BQ14" t="e">
        <f>AND(#REF!,"AAAAAD7+90Q=")</f>
        <v>#REF!</v>
      </c>
      <c r="BR14" t="e">
        <f>AND(#REF!,"AAAAAD7+90U=")</f>
        <v>#REF!</v>
      </c>
      <c r="BS14" t="e">
        <f>AND(#REF!,"AAAAAD7+90Y=")</f>
        <v>#REF!</v>
      </c>
      <c r="BT14" t="e">
        <f>AND(#REF!,"AAAAAD7+90c=")</f>
        <v>#REF!</v>
      </c>
      <c r="BU14" t="e">
        <f>AND(#REF!,"AAAAAD7+90g=")</f>
        <v>#REF!</v>
      </c>
      <c r="BV14" t="e">
        <f>AND(#REF!,"AAAAAD7+90k=")</f>
        <v>#REF!</v>
      </c>
      <c r="BW14" t="e">
        <f>AND(#REF!,"AAAAAD7+90o=")</f>
        <v>#REF!</v>
      </c>
      <c r="BX14" t="e">
        <f>AND(#REF!,"AAAAAD7+90s=")</f>
        <v>#REF!</v>
      </c>
      <c r="BY14" t="e">
        <f>AND(#REF!,"AAAAAD7+90w=")</f>
        <v>#REF!</v>
      </c>
      <c r="BZ14" t="e">
        <f>AND(#REF!,"AAAAAD7+900=")</f>
        <v>#REF!</v>
      </c>
      <c r="CA14" t="e">
        <f>AND(#REF!,"AAAAAD7+904=")</f>
        <v>#REF!</v>
      </c>
      <c r="CB14" t="e">
        <f>AND(#REF!,"AAAAAD7+908=")</f>
        <v>#REF!</v>
      </c>
      <c r="CC14" t="e">
        <f>AND(#REF!,"AAAAAD7+91A=")</f>
        <v>#REF!</v>
      </c>
      <c r="CD14" t="e">
        <f>AND(#REF!,"AAAAAD7+91E=")</f>
        <v>#REF!</v>
      </c>
      <c r="CE14" t="e">
        <f>AND(#REF!,"AAAAAD7+91I=")</f>
        <v>#REF!</v>
      </c>
      <c r="CF14" t="e">
        <f>AND(#REF!,"AAAAAD7+91M=")</f>
        <v>#REF!</v>
      </c>
      <c r="CG14" t="e">
        <f>AND(#REF!,"AAAAAD7+91Q=")</f>
        <v>#REF!</v>
      </c>
      <c r="CH14" t="e">
        <f>AND(#REF!,"AAAAAD7+91U=")</f>
        <v>#REF!</v>
      </c>
      <c r="CI14" t="e">
        <f>AND(#REF!,"AAAAAD7+91Y=")</f>
        <v>#REF!</v>
      </c>
      <c r="CJ14" t="e">
        <f>AND(#REF!,"AAAAAD7+91c=")</f>
        <v>#REF!</v>
      </c>
      <c r="CK14" t="e">
        <f>AND(#REF!,"AAAAAD7+91g=")</f>
        <v>#REF!</v>
      </c>
      <c r="CL14" t="e">
        <f>AND(#REF!,"AAAAAD7+91k=")</f>
        <v>#REF!</v>
      </c>
      <c r="CM14" t="e">
        <f>AND(#REF!,"AAAAAD7+91o=")</f>
        <v>#REF!</v>
      </c>
      <c r="CN14" t="e">
        <f>AND(#REF!,"AAAAAD7+91s=")</f>
        <v>#REF!</v>
      </c>
      <c r="CO14" t="e">
        <f>AND(#REF!,"AAAAAD7+91w=")</f>
        <v>#REF!</v>
      </c>
      <c r="CP14" t="e">
        <f>AND(#REF!,"AAAAAD7+910=")</f>
        <v>#REF!</v>
      </c>
      <c r="CQ14" t="e">
        <f>AND(#REF!,"AAAAAD7+914=")</f>
        <v>#REF!</v>
      </c>
      <c r="CR14" t="e">
        <f>AND(#REF!,"AAAAAD7+918=")</f>
        <v>#REF!</v>
      </c>
      <c r="CS14" t="e">
        <f>AND(#REF!,"AAAAAD7+92A=")</f>
        <v>#REF!</v>
      </c>
      <c r="CT14" t="e">
        <f>AND(#REF!,"AAAAAD7+92E=")</f>
        <v>#REF!</v>
      </c>
      <c r="CU14" t="e">
        <f>AND(#REF!,"AAAAAD7+92I=")</f>
        <v>#REF!</v>
      </c>
      <c r="CV14" t="e">
        <f>AND(#REF!,"AAAAAD7+92M=")</f>
        <v>#REF!</v>
      </c>
      <c r="CW14" t="e">
        <f>AND(#REF!,"AAAAAD7+92Q=")</f>
        <v>#REF!</v>
      </c>
      <c r="CX14" t="e">
        <f>AND(#REF!,"AAAAAD7+92U=")</f>
        <v>#REF!</v>
      </c>
      <c r="CY14" t="e">
        <f>AND(#REF!,"AAAAAD7+92Y=")</f>
        <v>#REF!</v>
      </c>
      <c r="CZ14" t="e">
        <f>AND(#REF!,"AAAAAD7+92c=")</f>
        <v>#REF!</v>
      </c>
      <c r="DA14" t="e">
        <f>IF(#REF!,"AAAAAD7+92g=",0)</f>
        <v>#REF!</v>
      </c>
      <c r="DB14" t="e">
        <f>AND(#REF!,"AAAAAD7+92k=")</f>
        <v>#REF!</v>
      </c>
      <c r="DC14" t="e">
        <f>AND(#REF!,"AAAAAD7+92o=")</f>
        <v>#REF!</v>
      </c>
      <c r="DD14" t="e">
        <f>AND(#REF!,"AAAAAD7+92s=")</f>
        <v>#REF!</v>
      </c>
      <c r="DE14" t="e">
        <f>AND(#REF!,"AAAAAD7+92w=")</f>
        <v>#REF!</v>
      </c>
      <c r="DF14" t="e">
        <f>AND(#REF!,"AAAAAD7+920=")</f>
        <v>#REF!</v>
      </c>
      <c r="DG14" t="e">
        <f>AND(#REF!,"AAAAAD7+924=")</f>
        <v>#REF!</v>
      </c>
      <c r="DH14" t="e">
        <f>AND(#REF!,"AAAAAD7+928=")</f>
        <v>#REF!</v>
      </c>
      <c r="DI14" t="e">
        <f>AND(#REF!,"AAAAAD7+93A=")</f>
        <v>#REF!</v>
      </c>
      <c r="DJ14" t="e">
        <f>AND(#REF!,"AAAAAD7+93E=")</f>
        <v>#REF!</v>
      </c>
      <c r="DK14" t="e">
        <f>AND(#REF!,"AAAAAD7+93I=")</f>
        <v>#REF!</v>
      </c>
      <c r="DL14" t="e">
        <f>AND(#REF!,"AAAAAD7+93M=")</f>
        <v>#REF!</v>
      </c>
      <c r="DM14" t="e">
        <f>AND(#REF!,"AAAAAD7+93Q=")</f>
        <v>#REF!</v>
      </c>
      <c r="DN14" t="e">
        <f>AND(#REF!,"AAAAAD7+93U=")</f>
        <v>#REF!</v>
      </c>
      <c r="DO14" t="e">
        <f>AND(#REF!,"AAAAAD7+93Y=")</f>
        <v>#REF!</v>
      </c>
      <c r="DP14" t="e">
        <f>AND(#REF!,"AAAAAD7+93c=")</f>
        <v>#REF!</v>
      </c>
      <c r="DQ14" t="e">
        <f>AND(#REF!,"AAAAAD7+93g=")</f>
        <v>#REF!</v>
      </c>
      <c r="DR14" t="e">
        <f>AND(#REF!,"AAAAAD7+93k=")</f>
        <v>#REF!</v>
      </c>
      <c r="DS14" t="e">
        <f>AND(#REF!,"AAAAAD7+93o=")</f>
        <v>#REF!</v>
      </c>
      <c r="DT14" t="e">
        <f>AND(#REF!,"AAAAAD7+93s=")</f>
        <v>#REF!</v>
      </c>
      <c r="DU14" t="e">
        <f>AND(#REF!,"AAAAAD7+93w=")</f>
        <v>#REF!</v>
      </c>
      <c r="DV14" t="e">
        <f>AND(#REF!,"AAAAAD7+930=")</f>
        <v>#REF!</v>
      </c>
      <c r="DW14" t="e">
        <f>AND(#REF!,"AAAAAD7+934=")</f>
        <v>#REF!</v>
      </c>
      <c r="DX14" t="e">
        <f>AND(#REF!,"AAAAAD7+938=")</f>
        <v>#REF!</v>
      </c>
      <c r="DY14" t="e">
        <f>AND(#REF!,"AAAAAD7+94A=")</f>
        <v>#REF!</v>
      </c>
      <c r="DZ14" t="e">
        <f>AND(#REF!,"AAAAAD7+94E=")</f>
        <v>#REF!</v>
      </c>
      <c r="EA14" t="e">
        <f>AND(#REF!,"AAAAAD7+94I=")</f>
        <v>#REF!</v>
      </c>
      <c r="EB14" t="e">
        <f>AND(#REF!,"AAAAAD7+94M=")</f>
        <v>#REF!</v>
      </c>
      <c r="EC14" t="e">
        <f>AND(#REF!,"AAAAAD7+94Q=")</f>
        <v>#REF!</v>
      </c>
      <c r="ED14" t="e">
        <f>AND(#REF!,"AAAAAD7+94U=")</f>
        <v>#REF!</v>
      </c>
      <c r="EE14" t="e">
        <f>AND(#REF!,"AAAAAD7+94Y=")</f>
        <v>#REF!</v>
      </c>
      <c r="EF14" t="e">
        <f>AND(#REF!,"AAAAAD7+94c=")</f>
        <v>#REF!</v>
      </c>
      <c r="EG14" t="e">
        <f>AND(#REF!,"AAAAAD7+94g=")</f>
        <v>#REF!</v>
      </c>
      <c r="EH14" t="e">
        <f>AND(#REF!,"AAAAAD7+94k=")</f>
        <v>#REF!</v>
      </c>
      <c r="EI14" t="e">
        <f>AND(#REF!,"AAAAAD7+94o=")</f>
        <v>#REF!</v>
      </c>
      <c r="EJ14" t="e">
        <f>AND(#REF!,"AAAAAD7+94s=")</f>
        <v>#REF!</v>
      </c>
      <c r="EK14" t="e">
        <f>AND(#REF!,"AAAAAD7+94w=")</f>
        <v>#REF!</v>
      </c>
      <c r="EL14" t="e">
        <f>AND(#REF!,"AAAAAD7+940=")</f>
        <v>#REF!</v>
      </c>
      <c r="EM14" t="e">
        <f>AND(#REF!,"AAAAAD7+944=")</f>
        <v>#REF!</v>
      </c>
      <c r="EN14" t="e">
        <f>AND(#REF!,"AAAAAD7+948=")</f>
        <v>#REF!</v>
      </c>
      <c r="EO14" t="e">
        <f>AND(#REF!,"AAAAAD7+95A=")</f>
        <v>#REF!</v>
      </c>
      <c r="EP14" t="e">
        <f>AND(#REF!,"AAAAAD7+95E=")</f>
        <v>#REF!</v>
      </c>
      <c r="EQ14" t="e">
        <f>AND(#REF!,"AAAAAD7+95I=")</f>
        <v>#REF!</v>
      </c>
      <c r="ER14" t="e">
        <f>AND(#REF!,"AAAAAD7+95M=")</f>
        <v>#REF!</v>
      </c>
      <c r="ES14" t="e">
        <f>IF(#REF!,"AAAAAD7+95Q=",0)</f>
        <v>#REF!</v>
      </c>
      <c r="ET14" t="e">
        <f>AND(#REF!,"AAAAAD7+95U=")</f>
        <v>#REF!</v>
      </c>
      <c r="EU14" t="e">
        <f>AND(#REF!,"AAAAAD7+95Y=")</f>
        <v>#REF!</v>
      </c>
      <c r="EV14" t="e">
        <f>AND(#REF!,"AAAAAD7+95c=")</f>
        <v>#REF!</v>
      </c>
      <c r="EW14" t="e">
        <f>AND(#REF!,"AAAAAD7+95g=")</f>
        <v>#REF!</v>
      </c>
      <c r="EX14" t="e">
        <f>AND(#REF!,"AAAAAD7+95k=")</f>
        <v>#REF!</v>
      </c>
      <c r="EY14" t="e">
        <f>AND(#REF!,"AAAAAD7+95o=")</f>
        <v>#REF!</v>
      </c>
      <c r="EZ14" t="e">
        <f>AND(#REF!,"AAAAAD7+95s=")</f>
        <v>#REF!</v>
      </c>
      <c r="FA14" t="e">
        <f>AND(#REF!,"AAAAAD7+95w=")</f>
        <v>#REF!</v>
      </c>
      <c r="FB14" t="e">
        <f>AND(#REF!,"AAAAAD7+950=")</f>
        <v>#REF!</v>
      </c>
      <c r="FC14" t="e">
        <f>AND(#REF!,"AAAAAD7+954=")</f>
        <v>#REF!</v>
      </c>
      <c r="FD14" t="e">
        <f>AND(#REF!,"AAAAAD7+958=")</f>
        <v>#REF!</v>
      </c>
      <c r="FE14" t="e">
        <f>AND(#REF!,"AAAAAD7+96A=")</f>
        <v>#REF!</v>
      </c>
      <c r="FF14" t="e">
        <f>AND(#REF!,"AAAAAD7+96E=")</f>
        <v>#REF!</v>
      </c>
      <c r="FG14" t="e">
        <f>AND(#REF!,"AAAAAD7+96I=")</f>
        <v>#REF!</v>
      </c>
      <c r="FH14" t="e">
        <f>AND(#REF!,"AAAAAD7+96M=")</f>
        <v>#REF!</v>
      </c>
      <c r="FI14" t="e">
        <f>AND(#REF!,"AAAAAD7+96Q=")</f>
        <v>#REF!</v>
      </c>
      <c r="FJ14" t="e">
        <f>AND(#REF!,"AAAAAD7+96U=")</f>
        <v>#REF!</v>
      </c>
      <c r="FK14" t="e">
        <f>AND(#REF!,"AAAAAD7+96Y=")</f>
        <v>#REF!</v>
      </c>
      <c r="FL14" t="e">
        <f>AND(#REF!,"AAAAAD7+96c=")</f>
        <v>#REF!</v>
      </c>
      <c r="FM14" t="e">
        <f>AND(#REF!,"AAAAAD7+96g=")</f>
        <v>#REF!</v>
      </c>
      <c r="FN14" t="e">
        <f>AND(#REF!,"AAAAAD7+96k=")</f>
        <v>#REF!</v>
      </c>
      <c r="FO14" t="e">
        <f>AND(#REF!,"AAAAAD7+96o=")</f>
        <v>#REF!</v>
      </c>
      <c r="FP14" t="e">
        <f>AND(#REF!,"AAAAAD7+96s=")</f>
        <v>#REF!</v>
      </c>
      <c r="FQ14" t="e">
        <f>AND(#REF!,"AAAAAD7+96w=")</f>
        <v>#REF!</v>
      </c>
      <c r="FR14" t="e">
        <f>AND(#REF!,"AAAAAD7+960=")</f>
        <v>#REF!</v>
      </c>
      <c r="FS14" t="e">
        <f>AND(#REF!,"AAAAAD7+964=")</f>
        <v>#REF!</v>
      </c>
      <c r="FT14" t="e">
        <f>AND(#REF!,"AAAAAD7+968=")</f>
        <v>#REF!</v>
      </c>
      <c r="FU14" t="e">
        <f>AND(#REF!,"AAAAAD7+97A=")</f>
        <v>#REF!</v>
      </c>
      <c r="FV14" t="e">
        <f>AND(#REF!,"AAAAAD7+97E=")</f>
        <v>#REF!</v>
      </c>
      <c r="FW14" t="e">
        <f>AND(#REF!,"AAAAAD7+97I=")</f>
        <v>#REF!</v>
      </c>
      <c r="FX14" t="e">
        <f>AND(#REF!,"AAAAAD7+97M=")</f>
        <v>#REF!</v>
      </c>
      <c r="FY14" t="e">
        <f>AND(#REF!,"AAAAAD7+97Q=")</f>
        <v>#REF!</v>
      </c>
      <c r="FZ14" t="e">
        <f>AND(#REF!,"AAAAAD7+97U=")</f>
        <v>#REF!</v>
      </c>
      <c r="GA14" t="e">
        <f>AND(#REF!,"AAAAAD7+97Y=")</f>
        <v>#REF!</v>
      </c>
      <c r="GB14" t="e">
        <f>AND(#REF!,"AAAAAD7+97c=")</f>
        <v>#REF!</v>
      </c>
      <c r="GC14" t="e">
        <f>AND(#REF!,"AAAAAD7+97g=")</f>
        <v>#REF!</v>
      </c>
      <c r="GD14" t="e">
        <f>AND(#REF!,"AAAAAD7+97k=")</f>
        <v>#REF!</v>
      </c>
      <c r="GE14" t="e">
        <f>AND(#REF!,"AAAAAD7+97o=")</f>
        <v>#REF!</v>
      </c>
      <c r="GF14" t="e">
        <f>AND(#REF!,"AAAAAD7+97s=")</f>
        <v>#REF!</v>
      </c>
      <c r="GG14" t="e">
        <f>AND(#REF!,"AAAAAD7+97w=")</f>
        <v>#REF!</v>
      </c>
      <c r="GH14" t="e">
        <f>AND(#REF!,"AAAAAD7+970=")</f>
        <v>#REF!</v>
      </c>
      <c r="GI14" t="e">
        <f>AND(#REF!,"AAAAAD7+974=")</f>
        <v>#REF!</v>
      </c>
      <c r="GJ14" t="e">
        <f>AND(#REF!,"AAAAAD7+978=")</f>
        <v>#REF!</v>
      </c>
      <c r="GK14" t="e">
        <f>IF(#REF!,"AAAAAD7+98A=",0)</f>
        <v>#REF!</v>
      </c>
      <c r="GL14" t="e">
        <f>AND(#REF!,"AAAAAD7+98E=")</f>
        <v>#REF!</v>
      </c>
      <c r="GM14" t="e">
        <f>AND(#REF!,"AAAAAD7+98I=")</f>
        <v>#REF!</v>
      </c>
      <c r="GN14" t="e">
        <f>AND(#REF!,"AAAAAD7+98M=")</f>
        <v>#REF!</v>
      </c>
      <c r="GO14" t="e">
        <f>AND(#REF!,"AAAAAD7+98Q=")</f>
        <v>#REF!</v>
      </c>
      <c r="GP14" t="e">
        <f>AND(#REF!,"AAAAAD7+98U=")</f>
        <v>#REF!</v>
      </c>
      <c r="GQ14" t="e">
        <f>AND(#REF!,"AAAAAD7+98Y=")</f>
        <v>#REF!</v>
      </c>
      <c r="GR14" t="e">
        <f>AND(#REF!,"AAAAAD7+98c=")</f>
        <v>#REF!</v>
      </c>
      <c r="GS14" t="e">
        <f>AND(#REF!,"AAAAAD7+98g=")</f>
        <v>#REF!</v>
      </c>
      <c r="GT14" t="e">
        <f>AND(#REF!,"AAAAAD7+98k=")</f>
        <v>#REF!</v>
      </c>
      <c r="GU14" t="e">
        <f>AND(#REF!,"AAAAAD7+98o=")</f>
        <v>#REF!</v>
      </c>
      <c r="GV14" t="e">
        <f>AND(#REF!,"AAAAAD7+98s=")</f>
        <v>#REF!</v>
      </c>
      <c r="GW14" t="e">
        <f>AND(#REF!,"AAAAAD7+98w=")</f>
        <v>#REF!</v>
      </c>
      <c r="GX14" t="e">
        <f>AND(#REF!,"AAAAAD7+980=")</f>
        <v>#REF!</v>
      </c>
      <c r="GY14" t="e">
        <f>AND(#REF!,"AAAAAD7+984=")</f>
        <v>#REF!</v>
      </c>
      <c r="GZ14" t="e">
        <f>AND(#REF!,"AAAAAD7+988=")</f>
        <v>#REF!</v>
      </c>
      <c r="HA14" t="e">
        <f>AND(#REF!,"AAAAAD7+99A=")</f>
        <v>#REF!</v>
      </c>
      <c r="HB14" t="e">
        <f>AND(#REF!,"AAAAAD7+99E=")</f>
        <v>#REF!</v>
      </c>
      <c r="HC14" t="e">
        <f>AND(#REF!,"AAAAAD7+99I=")</f>
        <v>#REF!</v>
      </c>
      <c r="HD14" t="e">
        <f>AND(#REF!,"AAAAAD7+99M=")</f>
        <v>#REF!</v>
      </c>
      <c r="HE14" t="e">
        <f>AND(#REF!,"AAAAAD7+99Q=")</f>
        <v>#REF!</v>
      </c>
      <c r="HF14" t="e">
        <f>AND(#REF!,"AAAAAD7+99U=")</f>
        <v>#REF!</v>
      </c>
      <c r="HG14" t="e">
        <f>AND(#REF!,"AAAAAD7+99Y=")</f>
        <v>#REF!</v>
      </c>
      <c r="HH14" t="e">
        <f>AND(#REF!,"AAAAAD7+99c=")</f>
        <v>#REF!</v>
      </c>
      <c r="HI14" t="e">
        <f>AND(#REF!,"AAAAAD7+99g=")</f>
        <v>#REF!</v>
      </c>
      <c r="HJ14" t="e">
        <f>AND(#REF!,"AAAAAD7+99k=")</f>
        <v>#REF!</v>
      </c>
      <c r="HK14" t="e">
        <f>AND(#REF!,"AAAAAD7+99o=")</f>
        <v>#REF!</v>
      </c>
      <c r="HL14" t="e">
        <f>AND(#REF!,"AAAAAD7+99s=")</f>
        <v>#REF!</v>
      </c>
      <c r="HM14" t="e">
        <f>AND(#REF!,"AAAAAD7+99w=")</f>
        <v>#REF!</v>
      </c>
      <c r="HN14" t="e">
        <f>AND(#REF!,"AAAAAD7+990=")</f>
        <v>#REF!</v>
      </c>
      <c r="HO14" t="e">
        <f>AND(#REF!,"AAAAAD7+994=")</f>
        <v>#REF!</v>
      </c>
      <c r="HP14" t="e">
        <f>AND(#REF!,"AAAAAD7+998=")</f>
        <v>#REF!</v>
      </c>
      <c r="HQ14" t="e">
        <f>AND(#REF!,"AAAAAD7+9+A=")</f>
        <v>#REF!</v>
      </c>
      <c r="HR14" t="e">
        <f>AND(#REF!,"AAAAAD7+9+E=")</f>
        <v>#REF!</v>
      </c>
      <c r="HS14" t="e">
        <f>AND(#REF!,"AAAAAD7+9+I=")</f>
        <v>#REF!</v>
      </c>
      <c r="HT14" t="e">
        <f>AND(#REF!,"AAAAAD7+9+M=")</f>
        <v>#REF!</v>
      </c>
      <c r="HU14" t="e">
        <f>AND(#REF!,"AAAAAD7+9+Q=")</f>
        <v>#REF!</v>
      </c>
      <c r="HV14" t="e">
        <f>AND(#REF!,"AAAAAD7+9+U=")</f>
        <v>#REF!</v>
      </c>
      <c r="HW14" t="e">
        <f>AND(#REF!,"AAAAAD7+9+Y=")</f>
        <v>#REF!</v>
      </c>
      <c r="HX14" t="e">
        <f>AND(#REF!,"AAAAAD7+9+c=")</f>
        <v>#REF!</v>
      </c>
      <c r="HY14" t="e">
        <f>AND(#REF!,"AAAAAD7+9+g=")</f>
        <v>#REF!</v>
      </c>
      <c r="HZ14" t="e">
        <f>AND(#REF!,"AAAAAD7+9+k=")</f>
        <v>#REF!</v>
      </c>
      <c r="IA14" t="e">
        <f>AND(#REF!,"AAAAAD7+9+o=")</f>
        <v>#REF!</v>
      </c>
      <c r="IB14" t="e">
        <f>AND(#REF!,"AAAAAD7+9+s=")</f>
        <v>#REF!</v>
      </c>
      <c r="IC14" t="e">
        <f>IF(#REF!,"AAAAAD7+9+w=",0)</f>
        <v>#REF!</v>
      </c>
      <c r="ID14" t="e">
        <f>AND(#REF!,"AAAAAD7+9+0=")</f>
        <v>#REF!</v>
      </c>
      <c r="IE14" t="e">
        <f>AND(#REF!,"AAAAAD7+9+4=")</f>
        <v>#REF!</v>
      </c>
      <c r="IF14" t="e">
        <f>AND(#REF!,"AAAAAD7+9+8=")</f>
        <v>#REF!</v>
      </c>
      <c r="IG14" t="e">
        <f>AND(#REF!,"AAAAAD7+9/A=")</f>
        <v>#REF!</v>
      </c>
      <c r="IH14" t="e">
        <f>AND(#REF!,"AAAAAD7+9/E=")</f>
        <v>#REF!</v>
      </c>
      <c r="II14" t="e">
        <f>AND(#REF!,"AAAAAD7+9/I=")</f>
        <v>#REF!</v>
      </c>
      <c r="IJ14" t="e">
        <f>AND(#REF!,"AAAAAD7+9/M=")</f>
        <v>#REF!</v>
      </c>
      <c r="IK14" t="e">
        <f>AND(#REF!,"AAAAAD7+9/Q=")</f>
        <v>#REF!</v>
      </c>
      <c r="IL14" t="e">
        <f>AND(#REF!,"AAAAAD7+9/U=")</f>
        <v>#REF!</v>
      </c>
      <c r="IM14" t="e">
        <f>AND(#REF!,"AAAAAD7+9/Y=")</f>
        <v>#REF!</v>
      </c>
      <c r="IN14" t="e">
        <f>AND(#REF!,"AAAAAD7+9/c=")</f>
        <v>#REF!</v>
      </c>
      <c r="IO14" t="e">
        <f>AND(#REF!,"AAAAAD7+9/g=")</f>
        <v>#REF!</v>
      </c>
      <c r="IP14" t="e">
        <f>AND(#REF!,"AAAAAD7+9/k=")</f>
        <v>#REF!</v>
      </c>
      <c r="IQ14" t="e">
        <f>AND(#REF!,"AAAAAD7+9/o=")</f>
        <v>#REF!</v>
      </c>
      <c r="IR14" t="e">
        <f>AND(#REF!,"AAAAAD7+9/s=")</f>
        <v>#REF!</v>
      </c>
      <c r="IS14" t="e">
        <f>AND(#REF!,"AAAAAD7+9/w=")</f>
        <v>#REF!</v>
      </c>
      <c r="IT14" t="e">
        <f>AND(#REF!,"AAAAAD7+9/0=")</f>
        <v>#REF!</v>
      </c>
      <c r="IU14" t="e">
        <f>AND(#REF!,"AAAAAD7+9/4=")</f>
        <v>#REF!</v>
      </c>
      <c r="IV14" t="e">
        <f>AND(#REF!,"AAAAAD7+9/8=")</f>
        <v>#REF!</v>
      </c>
    </row>
    <row r="15" spans="1:256" x14ac:dyDescent="0.25">
      <c r="A15" t="e">
        <f>AND(#REF!,"AAAAAE9+lgA=")</f>
        <v>#REF!</v>
      </c>
      <c r="B15" t="e">
        <f>AND(#REF!,"AAAAAE9+lgE=")</f>
        <v>#REF!</v>
      </c>
      <c r="C15" t="e">
        <f>AND(#REF!,"AAAAAE9+lgI=")</f>
        <v>#REF!</v>
      </c>
      <c r="D15" t="e">
        <f>AND(#REF!,"AAAAAE9+lgM=")</f>
        <v>#REF!</v>
      </c>
      <c r="E15" t="e">
        <f>AND(#REF!,"AAAAAE9+lgQ=")</f>
        <v>#REF!</v>
      </c>
      <c r="F15" t="e">
        <f>AND(#REF!,"AAAAAE9+lgU=")</f>
        <v>#REF!</v>
      </c>
      <c r="G15" t="e">
        <f>AND(#REF!,"AAAAAE9+lgY=")</f>
        <v>#REF!</v>
      </c>
      <c r="H15" t="e">
        <f>AND(#REF!,"AAAAAE9+lgc=")</f>
        <v>#REF!</v>
      </c>
      <c r="I15" t="e">
        <f>AND(#REF!,"AAAAAE9+lgg=")</f>
        <v>#REF!</v>
      </c>
      <c r="J15" t="e">
        <f>AND(#REF!,"AAAAAE9+lgk=")</f>
        <v>#REF!</v>
      </c>
      <c r="K15" t="e">
        <f>AND(#REF!,"AAAAAE9+lgo=")</f>
        <v>#REF!</v>
      </c>
      <c r="L15" t="e">
        <f>AND(#REF!,"AAAAAE9+lgs=")</f>
        <v>#REF!</v>
      </c>
      <c r="M15" t="e">
        <f>AND(#REF!,"AAAAAE9+lgw=")</f>
        <v>#REF!</v>
      </c>
      <c r="N15" t="e">
        <f>AND(#REF!,"AAAAAE9+lg0=")</f>
        <v>#REF!</v>
      </c>
      <c r="O15" t="e">
        <f>AND(#REF!,"AAAAAE9+lg4=")</f>
        <v>#REF!</v>
      </c>
      <c r="P15" t="e">
        <f>AND(#REF!,"AAAAAE9+lg8=")</f>
        <v>#REF!</v>
      </c>
      <c r="Q15" t="e">
        <f>AND(#REF!,"AAAAAE9+lhA=")</f>
        <v>#REF!</v>
      </c>
      <c r="R15" t="e">
        <f>AND(#REF!,"AAAAAE9+lhE=")</f>
        <v>#REF!</v>
      </c>
      <c r="S15" t="e">
        <f>AND(#REF!,"AAAAAE9+lhI=")</f>
        <v>#REF!</v>
      </c>
      <c r="T15" t="e">
        <f>AND(#REF!,"AAAAAE9+lhM=")</f>
        <v>#REF!</v>
      </c>
      <c r="U15" t="e">
        <f>AND(#REF!,"AAAAAE9+lhQ=")</f>
        <v>#REF!</v>
      </c>
      <c r="V15" t="e">
        <f>AND(#REF!,"AAAAAE9+lhU=")</f>
        <v>#REF!</v>
      </c>
      <c r="W15" t="e">
        <f>AND(#REF!,"AAAAAE9+lhY=")</f>
        <v>#REF!</v>
      </c>
      <c r="X15" t="e">
        <f>AND(#REF!,"AAAAAE9+lhc=")</f>
        <v>#REF!</v>
      </c>
      <c r="Y15" t="e">
        <f>IF(#REF!,"AAAAAE9+lhg=",0)</f>
        <v>#REF!</v>
      </c>
      <c r="Z15" t="e">
        <f>AND(#REF!,"AAAAAE9+lhk=")</f>
        <v>#REF!</v>
      </c>
      <c r="AA15" t="e">
        <f>AND(#REF!,"AAAAAE9+lho=")</f>
        <v>#REF!</v>
      </c>
      <c r="AB15" t="e">
        <f>AND(#REF!,"AAAAAE9+lhs=")</f>
        <v>#REF!</v>
      </c>
      <c r="AC15" t="e">
        <f>AND(#REF!,"AAAAAE9+lhw=")</f>
        <v>#REF!</v>
      </c>
      <c r="AD15" t="e">
        <f>AND(#REF!,"AAAAAE9+lh0=")</f>
        <v>#REF!</v>
      </c>
      <c r="AE15" t="e">
        <f>AND(#REF!,"AAAAAE9+lh4=")</f>
        <v>#REF!</v>
      </c>
      <c r="AF15" t="e">
        <f>AND(#REF!,"AAAAAE9+lh8=")</f>
        <v>#REF!</v>
      </c>
      <c r="AG15" t="e">
        <f>AND(#REF!,"AAAAAE9+liA=")</f>
        <v>#REF!</v>
      </c>
      <c r="AH15" t="e">
        <f>AND(#REF!,"AAAAAE9+liE=")</f>
        <v>#REF!</v>
      </c>
      <c r="AI15" t="e">
        <f>AND(#REF!,"AAAAAE9+liI=")</f>
        <v>#REF!</v>
      </c>
      <c r="AJ15" t="e">
        <f>AND(#REF!,"AAAAAE9+liM=")</f>
        <v>#REF!</v>
      </c>
      <c r="AK15" t="e">
        <f>AND(#REF!,"AAAAAE9+liQ=")</f>
        <v>#REF!</v>
      </c>
      <c r="AL15" t="e">
        <f>AND(#REF!,"AAAAAE9+liU=")</f>
        <v>#REF!</v>
      </c>
      <c r="AM15" t="e">
        <f>AND(#REF!,"AAAAAE9+liY=")</f>
        <v>#REF!</v>
      </c>
      <c r="AN15" t="e">
        <f>AND(#REF!,"AAAAAE9+lic=")</f>
        <v>#REF!</v>
      </c>
      <c r="AO15" t="e">
        <f>AND(#REF!,"AAAAAE9+lig=")</f>
        <v>#REF!</v>
      </c>
      <c r="AP15" t="e">
        <f>AND(#REF!,"AAAAAE9+lik=")</f>
        <v>#REF!</v>
      </c>
      <c r="AQ15" t="e">
        <f>AND(#REF!,"AAAAAE9+lio=")</f>
        <v>#REF!</v>
      </c>
      <c r="AR15" t="e">
        <f>AND(#REF!,"AAAAAE9+lis=")</f>
        <v>#REF!</v>
      </c>
      <c r="AS15" t="e">
        <f>AND(#REF!,"AAAAAE9+liw=")</f>
        <v>#REF!</v>
      </c>
      <c r="AT15" t="e">
        <f>AND(#REF!,"AAAAAE9+li0=")</f>
        <v>#REF!</v>
      </c>
      <c r="AU15" t="e">
        <f>AND(#REF!,"AAAAAE9+li4=")</f>
        <v>#REF!</v>
      </c>
      <c r="AV15" t="e">
        <f>AND(#REF!,"AAAAAE9+li8=")</f>
        <v>#REF!</v>
      </c>
      <c r="AW15" t="e">
        <f>AND(#REF!,"AAAAAE9+ljA=")</f>
        <v>#REF!</v>
      </c>
      <c r="AX15" t="e">
        <f>AND(#REF!,"AAAAAE9+ljE=")</f>
        <v>#REF!</v>
      </c>
      <c r="AY15" t="e">
        <f>AND(#REF!,"AAAAAE9+ljI=")</f>
        <v>#REF!</v>
      </c>
      <c r="AZ15" t="e">
        <f>AND(#REF!,"AAAAAE9+ljM=")</f>
        <v>#REF!</v>
      </c>
      <c r="BA15" t="e">
        <f>AND(#REF!,"AAAAAE9+ljQ=")</f>
        <v>#REF!</v>
      </c>
      <c r="BB15" t="e">
        <f>AND(#REF!,"AAAAAE9+ljU=")</f>
        <v>#REF!</v>
      </c>
      <c r="BC15" t="e">
        <f>AND(#REF!,"AAAAAE9+ljY=")</f>
        <v>#REF!</v>
      </c>
      <c r="BD15" t="e">
        <f>AND(#REF!,"AAAAAE9+ljc=")</f>
        <v>#REF!</v>
      </c>
      <c r="BE15" t="e">
        <f>AND(#REF!,"AAAAAE9+ljg=")</f>
        <v>#REF!</v>
      </c>
      <c r="BF15" t="e">
        <f>AND(#REF!,"AAAAAE9+ljk=")</f>
        <v>#REF!</v>
      </c>
      <c r="BG15" t="e">
        <f>AND(#REF!,"AAAAAE9+ljo=")</f>
        <v>#REF!</v>
      </c>
      <c r="BH15" t="e">
        <f>AND(#REF!,"AAAAAE9+ljs=")</f>
        <v>#REF!</v>
      </c>
      <c r="BI15" t="e">
        <f>AND(#REF!,"AAAAAE9+ljw=")</f>
        <v>#REF!</v>
      </c>
      <c r="BJ15" t="e">
        <f>AND(#REF!,"AAAAAE9+lj0=")</f>
        <v>#REF!</v>
      </c>
      <c r="BK15" t="e">
        <f>AND(#REF!,"AAAAAE9+lj4=")</f>
        <v>#REF!</v>
      </c>
      <c r="BL15" t="e">
        <f>AND(#REF!,"AAAAAE9+lj8=")</f>
        <v>#REF!</v>
      </c>
      <c r="BM15" t="e">
        <f>AND(#REF!,"AAAAAE9+lkA=")</f>
        <v>#REF!</v>
      </c>
      <c r="BN15" t="e">
        <f>AND(#REF!,"AAAAAE9+lkE=")</f>
        <v>#REF!</v>
      </c>
      <c r="BO15" t="e">
        <f>AND(#REF!,"AAAAAE9+lkI=")</f>
        <v>#REF!</v>
      </c>
      <c r="BP15" t="e">
        <f>AND(#REF!,"AAAAAE9+lkM=")</f>
        <v>#REF!</v>
      </c>
      <c r="BQ15" t="e">
        <f>IF(#REF!,"AAAAAE9+lkQ=",0)</f>
        <v>#REF!</v>
      </c>
      <c r="BR15" t="e">
        <f>AND(#REF!,"AAAAAE9+lkU=")</f>
        <v>#REF!</v>
      </c>
      <c r="BS15" t="e">
        <f>AND(#REF!,"AAAAAE9+lkY=")</f>
        <v>#REF!</v>
      </c>
      <c r="BT15" t="e">
        <f>AND(#REF!,"AAAAAE9+lkc=")</f>
        <v>#REF!</v>
      </c>
      <c r="BU15" t="e">
        <f>AND(#REF!,"AAAAAE9+lkg=")</f>
        <v>#REF!</v>
      </c>
      <c r="BV15" t="e">
        <f>AND(#REF!,"AAAAAE9+lkk=")</f>
        <v>#REF!</v>
      </c>
      <c r="BW15" t="e">
        <f>AND(#REF!,"AAAAAE9+lko=")</f>
        <v>#REF!</v>
      </c>
      <c r="BX15" t="e">
        <f>AND(#REF!,"AAAAAE9+lks=")</f>
        <v>#REF!</v>
      </c>
      <c r="BY15" t="e">
        <f>AND(#REF!,"AAAAAE9+lkw=")</f>
        <v>#REF!</v>
      </c>
      <c r="BZ15" t="e">
        <f>AND(#REF!,"AAAAAE9+lk0=")</f>
        <v>#REF!</v>
      </c>
      <c r="CA15" t="e">
        <f>AND(#REF!,"AAAAAE9+lk4=")</f>
        <v>#REF!</v>
      </c>
      <c r="CB15" t="e">
        <f>AND(#REF!,"AAAAAE9+lk8=")</f>
        <v>#REF!</v>
      </c>
      <c r="CC15" t="e">
        <f>AND(#REF!,"AAAAAE9+llA=")</f>
        <v>#REF!</v>
      </c>
      <c r="CD15" t="e">
        <f>AND(#REF!,"AAAAAE9+llE=")</f>
        <v>#REF!</v>
      </c>
      <c r="CE15" t="e">
        <f>AND(#REF!,"AAAAAE9+llI=")</f>
        <v>#REF!</v>
      </c>
      <c r="CF15" t="e">
        <f>AND(#REF!,"AAAAAE9+llM=")</f>
        <v>#REF!</v>
      </c>
      <c r="CG15" t="e">
        <f>AND(#REF!,"AAAAAE9+llQ=")</f>
        <v>#REF!</v>
      </c>
      <c r="CH15" t="e">
        <f>AND(#REF!,"AAAAAE9+llU=")</f>
        <v>#REF!</v>
      </c>
      <c r="CI15" t="e">
        <f>AND(#REF!,"AAAAAE9+llY=")</f>
        <v>#REF!</v>
      </c>
      <c r="CJ15" t="e">
        <f>AND(#REF!,"AAAAAE9+llc=")</f>
        <v>#REF!</v>
      </c>
      <c r="CK15" t="e">
        <f>AND(#REF!,"AAAAAE9+llg=")</f>
        <v>#REF!</v>
      </c>
      <c r="CL15" t="e">
        <f>AND(#REF!,"AAAAAE9+llk=")</f>
        <v>#REF!</v>
      </c>
      <c r="CM15" t="e">
        <f>AND(#REF!,"AAAAAE9+llo=")</f>
        <v>#REF!</v>
      </c>
      <c r="CN15" t="e">
        <f>AND(#REF!,"AAAAAE9+lls=")</f>
        <v>#REF!</v>
      </c>
      <c r="CO15" t="e">
        <f>AND(#REF!,"AAAAAE9+llw=")</f>
        <v>#REF!</v>
      </c>
      <c r="CP15" t="e">
        <f>AND(#REF!,"AAAAAE9+ll0=")</f>
        <v>#REF!</v>
      </c>
      <c r="CQ15" t="e">
        <f>AND(#REF!,"AAAAAE9+ll4=")</f>
        <v>#REF!</v>
      </c>
      <c r="CR15" t="e">
        <f>AND(#REF!,"AAAAAE9+ll8=")</f>
        <v>#REF!</v>
      </c>
      <c r="CS15" t="e">
        <f>AND(#REF!,"AAAAAE9+lmA=")</f>
        <v>#REF!</v>
      </c>
      <c r="CT15" t="e">
        <f>AND(#REF!,"AAAAAE9+lmE=")</f>
        <v>#REF!</v>
      </c>
      <c r="CU15" t="e">
        <f>AND(#REF!,"AAAAAE9+lmI=")</f>
        <v>#REF!</v>
      </c>
      <c r="CV15" t="e">
        <f>AND(#REF!,"AAAAAE9+lmM=")</f>
        <v>#REF!</v>
      </c>
      <c r="CW15" t="e">
        <f>AND(#REF!,"AAAAAE9+lmQ=")</f>
        <v>#REF!</v>
      </c>
      <c r="CX15" t="e">
        <f>AND(#REF!,"AAAAAE9+lmU=")</f>
        <v>#REF!</v>
      </c>
      <c r="CY15" t="e">
        <f>AND(#REF!,"AAAAAE9+lmY=")</f>
        <v>#REF!</v>
      </c>
      <c r="CZ15" t="e">
        <f>AND(#REF!,"AAAAAE9+lmc=")</f>
        <v>#REF!</v>
      </c>
      <c r="DA15" t="e">
        <f>AND(#REF!,"AAAAAE9+lmg=")</f>
        <v>#REF!</v>
      </c>
      <c r="DB15" t="e">
        <f>AND(#REF!,"AAAAAE9+lmk=")</f>
        <v>#REF!</v>
      </c>
      <c r="DC15" t="e">
        <f>AND(#REF!,"AAAAAE9+lmo=")</f>
        <v>#REF!</v>
      </c>
      <c r="DD15" t="e">
        <f>AND(#REF!,"AAAAAE9+lms=")</f>
        <v>#REF!</v>
      </c>
      <c r="DE15" t="e">
        <f>AND(#REF!,"AAAAAE9+lmw=")</f>
        <v>#REF!</v>
      </c>
      <c r="DF15" t="e">
        <f>AND(#REF!,"AAAAAE9+lm0=")</f>
        <v>#REF!</v>
      </c>
      <c r="DG15" t="e">
        <f>AND(#REF!,"AAAAAE9+lm4=")</f>
        <v>#REF!</v>
      </c>
      <c r="DH15" t="e">
        <f>AND(#REF!,"AAAAAE9+lm8=")</f>
        <v>#REF!</v>
      </c>
      <c r="DI15" t="e">
        <f>IF(#REF!,"AAAAAE9+lnA=",0)</f>
        <v>#REF!</v>
      </c>
      <c r="DJ15" t="e">
        <f>AND(#REF!,"AAAAAE9+lnE=")</f>
        <v>#REF!</v>
      </c>
      <c r="DK15" t="e">
        <f>AND(#REF!,"AAAAAE9+lnI=")</f>
        <v>#REF!</v>
      </c>
      <c r="DL15" t="e">
        <f>AND(#REF!,"AAAAAE9+lnM=")</f>
        <v>#REF!</v>
      </c>
      <c r="DM15" t="e">
        <f>AND(#REF!,"AAAAAE9+lnQ=")</f>
        <v>#REF!</v>
      </c>
      <c r="DN15" t="e">
        <f>AND(#REF!,"AAAAAE9+lnU=")</f>
        <v>#REF!</v>
      </c>
      <c r="DO15" t="e">
        <f>AND(#REF!,"AAAAAE9+lnY=")</f>
        <v>#REF!</v>
      </c>
      <c r="DP15" t="e">
        <f>AND(#REF!,"AAAAAE9+lnc=")</f>
        <v>#REF!</v>
      </c>
      <c r="DQ15" t="e">
        <f>AND(#REF!,"AAAAAE9+lng=")</f>
        <v>#REF!</v>
      </c>
      <c r="DR15" t="e">
        <f>AND(#REF!,"AAAAAE9+lnk=")</f>
        <v>#REF!</v>
      </c>
      <c r="DS15" t="e">
        <f>AND(#REF!,"AAAAAE9+lno=")</f>
        <v>#REF!</v>
      </c>
      <c r="DT15" t="e">
        <f>AND(#REF!,"AAAAAE9+lns=")</f>
        <v>#REF!</v>
      </c>
      <c r="DU15" t="e">
        <f>AND(#REF!,"AAAAAE9+lnw=")</f>
        <v>#REF!</v>
      </c>
      <c r="DV15" t="e">
        <f>AND(#REF!,"AAAAAE9+ln0=")</f>
        <v>#REF!</v>
      </c>
      <c r="DW15" t="e">
        <f>AND(#REF!,"AAAAAE9+ln4=")</f>
        <v>#REF!</v>
      </c>
      <c r="DX15" t="e">
        <f>AND(#REF!,"AAAAAE9+ln8=")</f>
        <v>#REF!</v>
      </c>
      <c r="DY15" t="e">
        <f>AND(#REF!,"AAAAAE9+loA=")</f>
        <v>#REF!</v>
      </c>
      <c r="DZ15" t="e">
        <f>AND(#REF!,"AAAAAE9+loE=")</f>
        <v>#REF!</v>
      </c>
      <c r="EA15" t="e">
        <f>AND(#REF!,"AAAAAE9+loI=")</f>
        <v>#REF!</v>
      </c>
      <c r="EB15" t="e">
        <f>AND(#REF!,"AAAAAE9+loM=")</f>
        <v>#REF!</v>
      </c>
      <c r="EC15" t="e">
        <f>AND(#REF!,"AAAAAE9+loQ=")</f>
        <v>#REF!</v>
      </c>
      <c r="ED15" t="e">
        <f>AND(#REF!,"AAAAAE9+loU=")</f>
        <v>#REF!</v>
      </c>
      <c r="EE15" t="e">
        <f>AND(#REF!,"AAAAAE9+loY=")</f>
        <v>#REF!</v>
      </c>
      <c r="EF15" t="e">
        <f>AND(#REF!,"AAAAAE9+loc=")</f>
        <v>#REF!</v>
      </c>
      <c r="EG15" t="e">
        <f>AND(#REF!,"AAAAAE9+log=")</f>
        <v>#REF!</v>
      </c>
      <c r="EH15" t="e">
        <f>AND(#REF!,"AAAAAE9+lok=")</f>
        <v>#REF!</v>
      </c>
      <c r="EI15" t="e">
        <f>AND(#REF!,"AAAAAE9+loo=")</f>
        <v>#REF!</v>
      </c>
      <c r="EJ15" t="e">
        <f>AND(#REF!,"AAAAAE9+los=")</f>
        <v>#REF!</v>
      </c>
      <c r="EK15" t="e">
        <f>AND(#REF!,"AAAAAE9+low=")</f>
        <v>#REF!</v>
      </c>
      <c r="EL15" t="e">
        <f>AND(#REF!,"AAAAAE9+lo0=")</f>
        <v>#REF!</v>
      </c>
      <c r="EM15" t="e">
        <f>AND(#REF!,"AAAAAE9+lo4=")</f>
        <v>#REF!</v>
      </c>
      <c r="EN15" t="e">
        <f>AND(#REF!,"AAAAAE9+lo8=")</f>
        <v>#REF!</v>
      </c>
      <c r="EO15" t="e">
        <f>AND(#REF!,"AAAAAE9+lpA=")</f>
        <v>#REF!</v>
      </c>
      <c r="EP15" t="e">
        <f>AND(#REF!,"AAAAAE9+lpE=")</f>
        <v>#REF!</v>
      </c>
      <c r="EQ15" t="e">
        <f>AND(#REF!,"AAAAAE9+lpI=")</f>
        <v>#REF!</v>
      </c>
      <c r="ER15" t="e">
        <f>AND(#REF!,"AAAAAE9+lpM=")</f>
        <v>#REF!</v>
      </c>
      <c r="ES15" t="e">
        <f>AND(#REF!,"AAAAAE9+lpQ=")</f>
        <v>#REF!</v>
      </c>
      <c r="ET15" t="e">
        <f>AND(#REF!,"AAAAAE9+lpU=")</f>
        <v>#REF!</v>
      </c>
      <c r="EU15" t="e">
        <f>AND(#REF!,"AAAAAE9+lpY=")</f>
        <v>#REF!</v>
      </c>
      <c r="EV15" t="e">
        <f>AND(#REF!,"AAAAAE9+lpc=")</f>
        <v>#REF!</v>
      </c>
      <c r="EW15" t="e">
        <f>AND(#REF!,"AAAAAE9+lpg=")</f>
        <v>#REF!</v>
      </c>
      <c r="EX15" t="e">
        <f>AND(#REF!,"AAAAAE9+lpk=")</f>
        <v>#REF!</v>
      </c>
      <c r="EY15" t="e">
        <f>AND(#REF!,"AAAAAE9+lpo=")</f>
        <v>#REF!</v>
      </c>
      <c r="EZ15" t="e">
        <f>AND(#REF!,"AAAAAE9+lps=")</f>
        <v>#REF!</v>
      </c>
      <c r="FA15" t="e">
        <f>IF(#REF!,"AAAAAE9+lpw=",0)</f>
        <v>#REF!</v>
      </c>
      <c r="FB15" t="e">
        <f>AND(#REF!,"AAAAAE9+lp0=")</f>
        <v>#REF!</v>
      </c>
      <c r="FC15" t="e">
        <f>AND(#REF!,"AAAAAE9+lp4=")</f>
        <v>#REF!</v>
      </c>
      <c r="FD15" t="e">
        <f>AND(#REF!,"AAAAAE9+lp8=")</f>
        <v>#REF!</v>
      </c>
      <c r="FE15" t="e">
        <f>AND(#REF!,"AAAAAE9+lqA=")</f>
        <v>#REF!</v>
      </c>
      <c r="FF15" t="e">
        <f>AND(#REF!,"AAAAAE9+lqE=")</f>
        <v>#REF!</v>
      </c>
      <c r="FG15" t="e">
        <f>AND(#REF!,"AAAAAE9+lqI=")</f>
        <v>#REF!</v>
      </c>
      <c r="FH15" t="e">
        <f>AND(#REF!,"AAAAAE9+lqM=")</f>
        <v>#REF!</v>
      </c>
      <c r="FI15" t="e">
        <f>AND(#REF!,"AAAAAE9+lqQ=")</f>
        <v>#REF!</v>
      </c>
      <c r="FJ15" t="e">
        <f>AND(#REF!,"AAAAAE9+lqU=")</f>
        <v>#REF!</v>
      </c>
      <c r="FK15" t="e">
        <f>AND(#REF!,"AAAAAE9+lqY=")</f>
        <v>#REF!</v>
      </c>
      <c r="FL15" t="e">
        <f>AND(#REF!,"AAAAAE9+lqc=")</f>
        <v>#REF!</v>
      </c>
      <c r="FM15" t="e">
        <f>AND(#REF!,"AAAAAE9+lqg=")</f>
        <v>#REF!</v>
      </c>
      <c r="FN15" t="e">
        <f>AND(#REF!,"AAAAAE9+lqk=")</f>
        <v>#REF!</v>
      </c>
      <c r="FO15" t="e">
        <f>AND(#REF!,"AAAAAE9+lqo=")</f>
        <v>#REF!</v>
      </c>
      <c r="FP15" t="e">
        <f>AND(#REF!,"AAAAAE9+lqs=")</f>
        <v>#REF!</v>
      </c>
      <c r="FQ15" t="e">
        <f>AND(#REF!,"AAAAAE9+lqw=")</f>
        <v>#REF!</v>
      </c>
      <c r="FR15" t="e">
        <f>AND(#REF!,"AAAAAE9+lq0=")</f>
        <v>#REF!</v>
      </c>
      <c r="FS15" t="e">
        <f>AND(#REF!,"AAAAAE9+lq4=")</f>
        <v>#REF!</v>
      </c>
      <c r="FT15" t="e">
        <f>AND(#REF!,"AAAAAE9+lq8=")</f>
        <v>#REF!</v>
      </c>
      <c r="FU15" t="e">
        <f>AND(#REF!,"AAAAAE9+lrA=")</f>
        <v>#REF!</v>
      </c>
      <c r="FV15" t="e">
        <f>AND(#REF!,"AAAAAE9+lrE=")</f>
        <v>#REF!</v>
      </c>
      <c r="FW15" t="e">
        <f>AND(#REF!,"AAAAAE9+lrI=")</f>
        <v>#REF!</v>
      </c>
      <c r="FX15" t="e">
        <f>AND(#REF!,"AAAAAE9+lrM=")</f>
        <v>#REF!</v>
      </c>
      <c r="FY15" t="e">
        <f>AND(#REF!,"AAAAAE9+lrQ=")</f>
        <v>#REF!</v>
      </c>
      <c r="FZ15" t="e">
        <f>AND(#REF!,"AAAAAE9+lrU=")</f>
        <v>#REF!</v>
      </c>
      <c r="GA15" t="e">
        <f>AND(#REF!,"AAAAAE9+lrY=")</f>
        <v>#REF!</v>
      </c>
      <c r="GB15" t="e">
        <f>AND(#REF!,"AAAAAE9+lrc=")</f>
        <v>#REF!</v>
      </c>
      <c r="GC15" t="e">
        <f>AND(#REF!,"AAAAAE9+lrg=")</f>
        <v>#REF!</v>
      </c>
      <c r="GD15" t="e">
        <f>AND(#REF!,"AAAAAE9+lrk=")</f>
        <v>#REF!</v>
      </c>
      <c r="GE15" t="e">
        <f>AND(#REF!,"AAAAAE9+lro=")</f>
        <v>#REF!</v>
      </c>
      <c r="GF15" t="e">
        <f>AND(#REF!,"AAAAAE9+lrs=")</f>
        <v>#REF!</v>
      </c>
      <c r="GG15" t="e">
        <f>AND(#REF!,"AAAAAE9+lrw=")</f>
        <v>#REF!</v>
      </c>
      <c r="GH15" t="e">
        <f>AND(#REF!,"AAAAAE9+lr0=")</f>
        <v>#REF!</v>
      </c>
      <c r="GI15" t="e">
        <f>AND(#REF!,"AAAAAE9+lr4=")</f>
        <v>#REF!</v>
      </c>
      <c r="GJ15" t="e">
        <f>AND(#REF!,"AAAAAE9+lr8=")</f>
        <v>#REF!</v>
      </c>
      <c r="GK15" t="e">
        <f>AND(#REF!,"AAAAAE9+lsA=")</f>
        <v>#REF!</v>
      </c>
      <c r="GL15" t="e">
        <f>AND(#REF!,"AAAAAE9+lsE=")</f>
        <v>#REF!</v>
      </c>
      <c r="GM15" t="e">
        <f>AND(#REF!,"AAAAAE9+lsI=")</f>
        <v>#REF!</v>
      </c>
      <c r="GN15" t="e">
        <f>AND(#REF!,"AAAAAE9+lsM=")</f>
        <v>#REF!</v>
      </c>
      <c r="GO15" t="e">
        <f>AND(#REF!,"AAAAAE9+lsQ=")</f>
        <v>#REF!</v>
      </c>
      <c r="GP15" t="e">
        <f>AND(#REF!,"AAAAAE9+lsU=")</f>
        <v>#REF!</v>
      </c>
      <c r="GQ15" t="e">
        <f>AND(#REF!,"AAAAAE9+lsY=")</f>
        <v>#REF!</v>
      </c>
      <c r="GR15" t="e">
        <f>AND(#REF!,"AAAAAE9+lsc=")</f>
        <v>#REF!</v>
      </c>
      <c r="GS15" t="e">
        <f>IF(#REF!,"AAAAAE9+lsg=",0)</f>
        <v>#REF!</v>
      </c>
      <c r="GT15" t="e">
        <f>AND(#REF!,"AAAAAE9+lsk=")</f>
        <v>#REF!</v>
      </c>
      <c r="GU15" t="e">
        <f>AND(#REF!,"AAAAAE9+lso=")</f>
        <v>#REF!</v>
      </c>
      <c r="GV15" t="e">
        <f>AND(#REF!,"AAAAAE9+lss=")</f>
        <v>#REF!</v>
      </c>
      <c r="GW15" t="e">
        <f>AND(#REF!,"AAAAAE9+lsw=")</f>
        <v>#REF!</v>
      </c>
      <c r="GX15" t="e">
        <f>AND(#REF!,"AAAAAE9+ls0=")</f>
        <v>#REF!</v>
      </c>
      <c r="GY15" t="e">
        <f>AND(#REF!,"AAAAAE9+ls4=")</f>
        <v>#REF!</v>
      </c>
      <c r="GZ15" t="e">
        <f>AND(#REF!,"AAAAAE9+ls8=")</f>
        <v>#REF!</v>
      </c>
      <c r="HA15" t="e">
        <f>AND(#REF!,"AAAAAE9+ltA=")</f>
        <v>#REF!</v>
      </c>
      <c r="HB15" t="e">
        <f>AND(#REF!,"AAAAAE9+ltE=")</f>
        <v>#REF!</v>
      </c>
      <c r="HC15" t="e">
        <f>AND(#REF!,"AAAAAE9+ltI=")</f>
        <v>#REF!</v>
      </c>
      <c r="HD15" t="e">
        <f>AND(#REF!,"AAAAAE9+ltM=")</f>
        <v>#REF!</v>
      </c>
      <c r="HE15" t="e">
        <f>AND(#REF!,"AAAAAE9+ltQ=")</f>
        <v>#REF!</v>
      </c>
      <c r="HF15" t="e">
        <f>AND(#REF!,"AAAAAE9+ltU=")</f>
        <v>#REF!</v>
      </c>
      <c r="HG15" t="e">
        <f>AND(#REF!,"AAAAAE9+ltY=")</f>
        <v>#REF!</v>
      </c>
      <c r="HH15" t="e">
        <f>AND(#REF!,"AAAAAE9+ltc=")</f>
        <v>#REF!</v>
      </c>
      <c r="HI15" t="e">
        <f>AND(#REF!,"AAAAAE9+ltg=")</f>
        <v>#REF!</v>
      </c>
      <c r="HJ15" t="e">
        <f>AND(#REF!,"AAAAAE9+ltk=")</f>
        <v>#REF!</v>
      </c>
      <c r="HK15" t="e">
        <f>AND(#REF!,"AAAAAE9+lto=")</f>
        <v>#REF!</v>
      </c>
      <c r="HL15" t="e">
        <f>AND(#REF!,"AAAAAE9+lts=")</f>
        <v>#REF!</v>
      </c>
      <c r="HM15" t="e">
        <f>AND(#REF!,"AAAAAE9+ltw=")</f>
        <v>#REF!</v>
      </c>
      <c r="HN15" t="e">
        <f>AND(#REF!,"AAAAAE9+lt0=")</f>
        <v>#REF!</v>
      </c>
      <c r="HO15" t="e">
        <f>AND(#REF!,"AAAAAE9+lt4=")</f>
        <v>#REF!</v>
      </c>
      <c r="HP15" t="e">
        <f>AND(#REF!,"AAAAAE9+lt8=")</f>
        <v>#REF!</v>
      </c>
      <c r="HQ15" t="e">
        <f>AND(#REF!,"AAAAAE9+luA=")</f>
        <v>#REF!</v>
      </c>
      <c r="HR15" t="e">
        <f>AND(#REF!,"AAAAAE9+luE=")</f>
        <v>#REF!</v>
      </c>
      <c r="HS15" t="e">
        <f>AND(#REF!,"AAAAAE9+luI=")</f>
        <v>#REF!</v>
      </c>
      <c r="HT15" t="e">
        <f>AND(#REF!,"AAAAAE9+luM=")</f>
        <v>#REF!</v>
      </c>
      <c r="HU15" t="e">
        <f>AND(#REF!,"AAAAAE9+luQ=")</f>
        <v>#REF!</v>
      </c>
      <c r="HV15" t="e">
        <f>AND(#REF!,"AAAAAE9+luU=")</f>
        <v>#REF!</v>
      </c>
      <c r="HW15" t="e">
        <f>AND(#REF!,"AAAAAE9+luY=")</f>
        <v>#REF!</v>
      </c>
      <c r="HX15" t="e">
        <f>AND(#REF!,"AAAAAE9+luc=")</f>
        <v>#REF!</v>
      </c>
      <c r="HY15" t="e">
        <f>AND(#REF!,"AAAAAE9+lug=")</f>
        <v>#REF!</v>
      </c>
      <c r="HZ15" t="e">
        <f>AND(#REF!,"AAAAAE9+luk=")</f>
        <v>#REF!</v>
      </c>
      <c r="IA15" t="e">
        <f>AND(#REF!,"AAAAAE9+luo=")</f>
        <v>#REF!</v>
      </c>
      <c r="IB15" t="e">
        <f>AND(#REF!,"AAAAAE9+lus=")</f>
        <v>#REF!</v>
      </c>
      <c r="IC15" t="e">
        <f>AND(#REF!,"AAAAAE9+luw=")</f>
        <v>#REF!</v>
      </c>
      <c r="ID15" t="e">
        <f>AND(#REF!,"AAAAAE9+lu0=")</f>
        <v>#REF!</v>
      </c>
      <c r="IE15" t="e">
        <f>AND(#REF!,"AAAAAE9+lu4=")</f>
        <v>#REF!</v>
      </c>
      <c r="IF15" t="e">
        <f>AND(#REF!,"AAAAAE9+lu8=")</f>
        <v>#REF!</v>
      </c>
      <c r="IG15" t="e">
        <f>AND(#REF!,"AAAAAE9+lvA=")</f>
        <v>#REF!</v>
      </c>
      <c r="IH15" t="e">
        <f>AND(#REF!,"AAAAAE9+lvE=")</f>
        <v>#REF!</v>
      </c>
      <c r="II15" t="e">
        <f>AND(#REF!,"AAAAAE9+lvI=")</f>
        <v>#REF!</v>
      </c>
      <c r="IJ15" t="e">
        <f>AND(#REF!,"AAAAAE9+lvM=")</f>
        <v>#REF!</v>
      </c>
      <c r="IK15" t="e">
        <f>IF(#REF!,"AAAAAE9+lvQ=",0)</f>
        <v>#REF!</v>
      </c>
      <c r="IL15" t="e">
        <f>AND(#REF!,"AAAAAE9+lvU=")</f>
        <v>#REF!</v>
      </c>
      <c r="IM15" t="e">
        <f>AND(#REF!,"AAAAAE9+lvY=")</f>
        <v>#REF!</v>
      </c>
      <c r="IN15" t="e">
        <f>AND(#REF!,"AAAAAE9+lvc=")</f>
        <v>#REF!</v>
      </c>
      <c r="IO15" t="e">
        <f>AND(#REF!,"AAAAAE9+lvg=")</f>
        <v>#REF!</v>
      </c>
      <c r="IP15" t="e">
        <f>AND(#REF!,"AAAAAE9+lvk=")</f>
        <v>#REF!</v>
      </c>
      <c r="IQ15" t="e">
        <f>AND(#REF!,"AAAAAE9+lvo=")</f>
        <v>#REF!</v>
      </c>
      <c r="IR15" t="e">
        <f>AND(#REF!,"AAAAAE9+lvs=")</f>
        <v>#REF!</v>
      </c>
      <c r="IS15" t="e">
        <f>AND(#REF!,"AAAAAE9+lvw=")</f>
        <v>#REF!</v>
      </c>
      <c r="IT15" t="e">
        <f>AND(#REF!,"AAAAAE9+lv0=")</f>
        <v>#REF!</v>
      </c>
      <c r="IU15" t="e">
        <f>AND(#REF!,"AAAAAE9+lv4=")</f>
        <v>#REF!</v>
      </c>
      <c r="IV15" t="e">
        <f>AND(#REF!,"AAAAAE9+lv8=")</f>
        <v>#REF!</v>
      </c>
    </row>
    <row r="16" spans="1:256" x14ac:dyDescent="0.25">
      <c r="A16" t="e">
        <f>AND(#REF!,"AAAAADP71QA=")</f>
        <v>#REF!</v>
      </c>
      <c r="B16" t="e">
        <f>AND(#REF!,"AAAAADP71QE=")</f>
        <v>#REF!</v>
      </c>
      <c r="C16" t="e">
        <f>AND(#REF!,"AAAAADP71QI=")</f>
        <v>#REF!</v>
      </c>
      <c r="D16" t="e">
        <f>AND(#REF!,"AAAAADP71QM=")</f>
        <v>#REF!</v>
      </c>
      <c r="E16" t="e">
        <f>AND(#REF!,"AAAAADP71QQ=")</f>
        <v>#REF!</v>
      </c>
      <c r="F16" t="e">
        <f>AND(#REF!,"AAAAADP71QU=")</f>
        <v>#REF!</v>
      </c>
      <c r="G16" t="e">
        <f>AND(#REF!,"AAAAADP71QY=")</f>
        <v>#REF!</v>
      </c>
      <c r="H16" t="e">
        <f>AND(#REF!,"AAAAADP71Qc=")</f>
        <v>#REF!</v>
      </c>
      <c r="I16" t="e">
        <f>AND(#REF!,"AAAAADP71Qg=")</f>
        <v>#REF!</v>
      </c>
      <c r="J16" t="e">
        <f>AND(#REF!,"AAAAADP71Qk=")</f>
        <v>#REF!</v>
      </c>
      <c r="K16" t="e">
        <f>AND(#REF!,"AAAAADP71Qo=")</f>
        <v>#REF!</v>
      </c>
      <c r="L16" t="e">
        <f>AND(#REF!,"AAAAADP71Qs=")</f>
        <v>#REF!</v>
      </c>
      <c r="M16" t="e">
        <f>AND(#REF!,"AAAAADP71Qw=")</f>
        <v>#REF!</v>
      </c>
      <c r="N16" t="e">
        <f>AND(#REF!,"AAAAADP71Q0=")</f>
        <v>#REF!</v>
      </c>
      <c r="O16" t="e">
        <f>AND(#REF!,"AAAAADP71Q4=")</f>
        <v>#REF!</v>
      </c>
      <c r="P16" t="e">
        <f>AND(#REF!,"AAAAADP71Q8=")</f>
        <v>#REF!</v>
      </c>
      <c r="Q16" t="e">
        <f>AND(#REF!,"AAAAADP71RA=")</f>
        <v>#REF!</v>
      </c>
      <c r="R16" t="e">
        <f>AND(#REF!,"AAAAADP71RE=")</f>
        <v>#REF!</v>
      </c>
      <c r="S16" t="e">
        <f>AND(#REF!,"AAAAADP71RI=")</f>
        <v>#REF!</v>
      </c>
      <c r="T16" t="e">
        <f>AND(#REF!,"AAAAADP71RM=")</f>
        <v>#REF!</v>
      </c>
      <c r="U16" t="e">
        <f>AND(#REF!,"AAAAADP71RQ=")</f>
        <v>#REF!</v>
      </c>
      <c r="V16" t="e">
        <f>AND(#REF!,"AAAAADP71RU=")</f>
        <v>#REF!</v>
      </c>
      <c r="W16" t="e">
        <f>AND(#REF!,"AAAAADP71RY=")</f>
        <v>#REF!</v>
      </c>
      <c r="X16" t="e">
        <f>AND(#REF!,"AAAAADP71Rc=")</f>
        <v>#REF!</v>
      </c>
      <c r="Y16" t="e">
        <f>AND(#REF!,"AAAAADP71Rg=")</f>
        <v>#REF!</v>
      </c>
      <c r="Z16" t="e">
        <f>AND(#REF!,"AAAAADP71Rk=")</f>
        <v>#REF!</v>
      </c>
      <c r="AA16" t="e">
        <f>AND(#REF!,"AAAAADP71Ro=")</f>
        <v>#REF!</v>
      </c>
      <c r="AB16" t="e">
        <f>AND(#REF!,"AAAAADP71Rs=")</f>
        <v>#REF!</v>
      </c>
      <c r="AC16" t="e">
        <f>AND(#REF!,"AAAAADP71Rw=")</f>
        <v>#REF!</v>
      </c>
      <c r="AD16" t="e">
        <f>AND(#REF!,"AAAAADP71R0=")</f>
        <v>#REF!</v>
      </c>
      <c r="AE16" t="e">
        <f>AND(#REF!,"AAAAADP71R4=")</f>
        <v>#REF!</v>
      </c>
      <c r="AF16" t="e">
        <f>AND(#REF!,"AAAAADP71R8=")</f>
        <v>#REF!</v>
      </c>
      <c r="AG16" t="e">
        <f>IF(#REF!,"AAAAADP71SA=",0)</f>
        <v>#REF!</v>
      </c>
      <c r="AH16" t="e">
        <f>AND(#REF!,"AAAAADP71SE=")</f>
        <v>#REF!</v>
      </c>
      <c r="AI16" t="e">
        <f>AND(#REF!,"AAAAADP71SI=")</f>
        <v>#REF!</v>
      </c>
      <c r="AJ16" t="e">
        <f>AND(#REF!,"AAAAADP71SM=")</f>
        <v>#REF!</v>
      </c>
      <c r="AK16" t="e">
        <f>AND(#REF!,"AAAAADP71SQ=")</f>
        <v>#REF!</v>
      </c>
      <c r="AL16" t="e">
        <f>AND(#REF!,"AAAAADP71SU=")</f>
        <v>#REF!</v>
      </c>
      <c r="AM16" t="e">
        <f>AND(#REF!,"AAAAADP71SY=")</f>
        <v>#REF!</v>
      </c>
      <c r="AN16" t="e">
        <f>AND(#REF!,"AAAAADP71Sc=")</f>
        <v>#REF!</v>
      </c>
      <c r="AO16" t="e">
        <f>AND(#REF!,"AAAAADP71Sg=")</f>
        <v>#REF!</v>
      </c>
      <c r="AP16" t="e">
        <f>AND(#REF!,"AAAAADP71Sk=")</f>
        <v>#REF!</v>
      </c>
      <c r="AQ16" t="e">
        <f>AND(#REF!,"AAAAADP71So=")</f>
        <v>#REF!</v>
      </c>
      <c r="AR16" t="e">
        <f>AND(#REF!,"AAAAADP71Ss=")</f>
        <v>#REF!</v>
      </c>
      <c r="AS16" t="e">
        <f>AND(#REF!,"AAAAADP71Sw=")</f>
        <v>#REF!</v>
      </c>
      <c r="AT16" t="e">
        <f>AND(#REF!,"AAAAADP71S0=")</f>
        <v>#REF!</v>
      </c>
      <c r="AU16" t="e">
        <f>AND(#REF!,"AAAAADP71S4=")</f>
        <v>#REF!</v>
      </c>
      <c r="AV16" t="e">
        <f>AND(#REF!,"AAAAADP71S8=")</f>
        <v>#REF!</v>
      </c>
      <c r="AW16" t="e">
        <f>AND(#REF!,"AAAAADP71TA=")</f>
        <v>#REF!</v>
      </c>
      <c r="AX16" t="e">
        <f>AND(#REF!,"AAAAADP71TE=")</f>
        <v>#REF!</v>
      </c>
      <c r="AY16" t="e">
        <f>AND(#REF!,"AAAAADP71TI=")</f>
        <v>#REF!</v>
      </c>
      <c r="AZ16" t="e">
        <f>AND(#REF!,"AAAAADP71TM=")</f>
        <v>#REF!</v>
      </c>
      <c r="BA16" t="e">
        <f>AND(#REF!,"AAAAADP71TQ=")</f>
        <v>#REF!</v>
      </c>
      <c r="BB16" t="e">
        <f>AND(#REF!,"AAAAADP71TU=")</f>
        <v>#REF!</v>
      </c>
      <c r="BC16" t="e">
        <f>AND(#REF!,"AAAAADP71TY=")</f>
        <v>#REF!</v>
      </c>
      <c r="BD16" t="e">
        <f>AND(#REF!,"AAAAADP71Tc=")</f>
        <v>#REF!</v>
      </c>
      <c r="BE16" t="e">
        <f>AND(#REF!,"AAAAADP71Tg=")</f>
        <v>#REF!</v>
      </c>
      <c r="BF16" t="e">
        <f>AND(#REF!,"AAAAADP71Tk=")</f>
        <v>#REF!</v>
      </c>
      <c r="BG16" t="e">
        <f>AND(#REF!,"AAAAADP71To=")</f>
        <v>#REF!</v>
      </c>
      <c r="BH16" t="e">
        <f>AND(#REF!,"AAAAADP71Ts=")</f>
        <v>#REF!</v>
      </c>
      <c r="BI16" t="e">
        <f>AND(#REF!,"AAAAADP71Tw=")</f>
        <v>#REF!</v>
      </c>
      <c r="BJ16" t="e">
        <f>AND(#REF!,"AAAAADP71T0=")</f>
        <v>#REF!</v>
      </c>
      <c r="BK16" t="e">
        <f>AND(#REF!,"AAAAADP71T4=")</f>
        <v>#REF!</v>
      </c>
      <c r="BL16" t="e">
        <f>AND(#REF!,"AAAAADP71T8=")</f>
        <v>#REF!</v>
      </c>
      <c r="BM16" t="e">
        <f>AND(#REF!,"AAAAADP71UA=")</f>
        <v>#REF!</v>
      </c>
      <c r="BN16" t="e">
        <f>AND(#REF!,"AAAAADP71UE=")</f>
        <v>#REF!</v>
      </c>
      <c r="BO16" t="e">
        <f>AND(#REF!,"AAAAADP71UI=")</f>
        <v>#REF!</v>
      </c>
      <c r="BP16" t="e">
        <f>AND(#REF!,"AAAAADP71UM=")</f>
        <v>#REF!</v>
      </c>
      <c r="BQ16" t="e">
        <f>AND(#REF!,"AAAAADP71UQ=")</f>
        <v>#REF!</v>
      </c>
      <c r="BR16" t="e">
        <f>AND(#REF!,"AAAAADP71UU=")</f>
        <v>#REF!</v>
      </c>
      <c r="BS16" t="e">
        <f>AND(#REF!,"AAAAADP71UY=")</f>
        <v>#REF!</v>
      </c>
      <c r="BT16" t="e">
        <f>AND(#REF!,"AAAAADP71Uc=")</f>
        <v>#REF!</v>
      </c>
      <c r="BU16" t="e">
        <f>AND(#REF!,"AAAAADP71Ug=")</f>
        <v>#REF!</v>
      </c>
      <c r="BV16" t="e">
        <f>AND(#REF!,"AAAAADP71Uk=")</f>
        <v>#REF!</v>
      </c>
      <c r="BW16" t="e">
        <f>AND(#REF!,"AAAAADP71Uo=")</f>
        <v>#REF!</v>
      </c>
      <c r="BX16" t="e">
        <f>AND(#REF!,"AAAAADP71Us=")</f>
        <v>#REF!</v>
      </c>
      <c r="BY16" t="e">
        <f>IF(#REF!,"AAAAADP71Uw=",0)</f>
        <v>#REF!</v>
      </c>
      <c r="BZ16" t="e">
        <f>AND(#REF!,"AAAAADP71U0=")</f>
        <v>#REF!</v>
      </c>
      <c r="CA16" t="e">
        <f>AND(#REF!,"AAAAADP71U4=")</f>
        <v>#REF!</v>
      </c>
      <c r="CB16" t="e">
        <f>AND(#REF!,"AAAAADP71U8=")</f>
        <v>#REF!</v>
      </c>
      <c r="CC16" t="e">
        <f>AND(#REF!,"AAAAADP71VA=")</f>
        <v>#REF!</v>
      </c>
      <c r="CD16" t="e">
        <f>AND(#REF!,"AAAAADP71VE=")</f>
        <v>#REF!</v>
      </c>
      <c r="CE16" t="e">
        <f>AND(#REF!,"AAAAADP71VI=")</f>
        <v>#REF!</v>
      </c>
      <c r="CF16" t="e">
        <f>AND(#REF!,"AAAAADP71VM=")</f>
        <v>#REF!</v>
      </c>
      <c r="CG16" t="e">
        <f>AND(#REF!,"AAAAADP71VQ=")</f>
        <v>#REF!</v>
      </c>
      <c r="CH16" t="e">
        <f>AND(#REF!,"AAAAADP71VU=")</f>
        <v>#REF!</v>
      </c>
      <c r="CI16" t="e">
        <f>AND(#REF!,"AAAAADP71VY=")</f>
        <v>#REF!</v>
      </c>
      <c r="CJ16" t="e">
        <f>AND(#REF!,"AAAAADP71Vc=")</f>
        <v>#REF!</v>
      </c>
      <c r="CK16" t="e">
        <f>AND(#REF!,"AAAAADP71Vg=")</f>
        <v>#REF!</v>
      </c>
      <c r="CL16" t="e">
        <f>AND(#REF!,"AAAAADP71Vk=")</f>
        <v>#REF!</v>
      </c>
      <c r="CM16" t="e">
        <f>AND(#REF!,"AAAAADP71Vo=")</f>
        <v>#REF!</v>
      </c>
      <c r="CN16" t="e">
        <f>AND(#REF!,"AAAAADP71Vs=")</f>
        <v>#REF!</v>
      </c>
      <c r="CO16" t="e">
        <f>AND(#REF!,"AAAAADP71Vw=")</f>
        <v>#REF!</v>
      </c>
      <c r="CP16" t="e">
        <f>AND(#REF!,"AAAAADP71V0=")</f>
        <v>#REF!</v>
      </c>
      <c r="CQ16" t="e">
        <f>AND(#REF!,"AAAAADP71V4=")</f>
        <v>#REF!</v>
      </c>
      <c r="CR16" t="e">
        <f>AND(#REF!,"AAAAADP71V8=")</f>
        <v>#REF!</v>
      </c>
      <c r="CS16" t="e">
        <f>AND(#REF!,"AAAAADP71WA=")</f>
        <v>#REF!</v>
      </c>
      <c r="CT16" t="e">
        <f>AND(#REF!,"AAAAADP71WE=")</f>
        <v>#REF!</v>
      </c>
      <c r="CU16" t="e">
        <f>AND(#REF!,"AAAAADP71WI=")</f>
        <v>#REF!</v>
      </c>
      <c r="CV16" t="e">
        <f>AND(#REF!,"AAAAADP71WM=")</f>
        <v>#REF!</v>
      </c>
      <c r="CW16" t="e">
        <f>AND(#REF!,"AAAAADP71WQ=")</f>
        <v>#REF!</v>
      </c>
      <c r="CX16" t="e">
        <f>AND(#REF!,"AAAAADP71WU=")</f>
        <v>#REF!</v>
      </c>
      <c r="CY16" t="e">
        <f>AND(#REF!,"AAAAADP71WY=")</f>
        <v>#REF!</v>
      </c>
      <c r="CZ16" t="e">
        <f>AND(#REF!,"AAAAADP71Wc=")</f>
        <v>#REF!</v>
      </c>
      <c r="DA16" t="e">
        <f>AND(#REF!,"AAAAADP71Wg=")</f>
        <v>#REF!</v>
      </c>
      <c r="DB16" t="e">
        <f>AND(#REF!,"AAAAADP71Wk=")</f>
        <v>#REF!</v>
      </c>
      <c r="DC16" t="e">
        <f>AND(#REF!,"AAAAADP71Wo=")</f>
        <v>#REF!</v>
      </c>
      <c r="DD16" t="e">
        <f>AND(#REF!,"AAAAADP71Ws=")</f>
        <v>#REF!</v>
      </c>
      <c r="DE16" t="e">
        <f>AND(#REF!,"AAAAADP71Ww=")</f>
        <v>#REF!</v>
      </c>
      <c r="DF16" t="e">
        <f>AND(#REF!,"AAAAADP71W0=")</f>
        <v>#REF!</v>
      </c>
      <c r="DG16" t="e">
        <f>AND(#REF!,"AAAAADP71W4=")</f>
        <v>#REF!</v>
      </c>
      <c r="DH16" t="e">
        <f>AND(#REF!,"AAAAADP71W8=")</f>
        <v>#REF!</v>
      </c>
      <c r="DI16" t="e">
        <f>AND(#REF!,"AAAAADP71XA=")</f>
        <v>#REF!</v>
      </c>
      <c r="DJ16" t="e">
        <f>AND(#REF!,"AAAAADP71XE=")</f>
        <v>#REF!</v>
      </c>
      <c r="DK16" t="e">
        <f>AND(#REF!,"AAAAADP71XI=")</f>
        <v>#REF!</v>
      </c>
      <c r="DL16" t="e">
        <f>AND(#REF!,"AAAAADP71XM=")</f>
        <v>#REF!</v>
      </c>
      <c r="DM16" t="e">
        <f>AND(#REF!,"AAAAADP71XQ=")</f>
        <v>#REF!</v>
      </c>
      <c r="DN16" t="e">
        <f>AND(#REF!,"AAAAADP71XU=")</f>
        <v>#REF!</v>
      </c>
      <c r="DO16" t="e">
        <f>AND(#REF!,"AAAAADP71XY=")</f>
        <v>#REF!</v>
      </c>
      <c r="DP16" t="e">
        <f>AND(#REF!,"AAAAADP71Xc=")</f>
        <v>#REF!</v>
      </c>
      <c r="DQ16" t="e">
        <f>IF(#REF!,"AAAAADP71Xg=",0)</f>
        <v>#REF!</v>
      </c>
      <c r="DR16" t="e">
        <f>AND(#REF!,"AAAAADP71Xk=")</f>
        <v>#REF!</v>
      </c>
      <c r="DS16" t="e">
        <f>AND(#REF!,"AAAAADP71Xo=")</f>
        <v>#REF!</v>
      </c>
      <c r="DT16" t="e">
        <f>AND(#REF!,"AAAAADP71Xs=")</f>
        <v>#REF!</v>
      </c>
      <c r="DU16" t="e">
        <f>AND(#REF!,"AAAAADP71Xw=")</f>
        <v>#REF!</v>
      </c>
      <c r="DV16" t="e">
        <f>AND(#REF!,"AAAAADP71X0=")</f>
        <v>#REF!</v>
      </c>
      <c r="DW16" t="e">
        <f>AND(#REF!,"AAAAADP71X4=")</f>
        <v>#REF!</v>
      </c>
      <c r="DX16" t="e">
        <f>AND(#REF!,"AAAAADP71X8=")</f>
        <v>#REF!</v>
      </c>
      <c r="DY16" t="e">
        <f>AND(#REF!,"AAAAADP71YA=")</f>
        <v>#REF!</v>
      </c>
      <c r="DZ16" t="e">
        <f>AND(#REF!,"AAAAADP71YE=")</f>
        <v>#REF!</v>
      </c>
      <c r="EA16" t="e">
        <f>AND(#REF!,"AAAAADP71YI=")</f>
        <v>#REF!</v>
      </c>
      <c r="EB16" t="e">
        <f>AND(#REF!,"AAAAADP71YM=")</f>
        <v>#REF!</v>
      </c>
      <c r="EC16" t="e">
        <f>AND(#REF!,"AAAAADP71YQ=")</f>
        <v>#REF!</v>
      </c>
      <c r="ED16" t="e">
        <f>AND(#REF!,"AAAAADP71YU=")</f>
        <v>#REF!</v>
      </c>
      <c r="EE16" t="e">
        <f>AND(#REF!,"AAAAADP71YY=")</f>
        <v>#REF!</v>
      </c>
      <c r="EF16" t="e">
        <f>AND(#REF!,"AAAAADP71Yc=")</f>
        <v>#REF!</v>
      </c>
      <c r="EG16" t="e">
        <f>AND(#REF!,"AAAAADP71Yg=")</f>
        <v>#REF!</v>
      </c>
      <c r="EH16" t="e">
        <f>AND(#REF!,"AAAAADP71Yk=")</f>
        <v>#REF!</v>
      </c>
      <c r="EI16" t="e">
        <f>AND(#REF!,"AAAAADP71Yo=")</f>
        <v>#REF!</v>
      </c>
      <c r="EJ16" t="e">
        <f>AND(#REF!,"AAAAADP71Ys=")</f>
        <v>#REF!</v>
      </c>
      <c r="EK16" t="e">
        <f>AND(#REF!,"AAAAADP71Yw=")</f>
        <v>#REF!</v>
      </c>
      <c r="EL16" t="e">
        <f>AND(#REF!,"AAAAADP71Y0=")</f>
        <v>#REF!</v>
      </c>
      <c r="EM16" t="e">
        <f>AND(#REF!,"AAAAADP71Y4=")</f>
        <v>#REF!</v>
      </c>
      <c r="EN16" t="e">
        <f>AND(#REF!,"AAAAADP71Y8=")</f>
        <v>#REF!</v>
      </c>
      <c r="EO16" t="e">
        <f>AND(#REF!,"AAAAADP71ZA=")</f>
        <v>#REF!</v>
      </c>
      <c r="EP16" t="e">
        <f>AND(#REF!,"AAAAADP71ZE=")</f>
        <v>#REF!</v>
      </c>
      <c r="EQ16" t="e">
        <f>AND(#REF!,"AAAAADP71ZI=")</f>
        <v>#REF!</v>
      </c>
      <c r="ER16" t="e">
        <f>AND(#REF!,"AAAAADP71ZM=")</f>
        <v>#REF!</v>
      </c>
      <c r="ES16" t="e">
        <f>AND(#REF!,"AAAAADP71ZQ=")</f>
        <v>#REF!</v>
      </c>
      <c r="ET16" t="e">
        <f>AND(#REF!,"AAAAADP71ZU=")</f>
        <v>#REF!</v>
      </c>
      <c r="EU16" t="e">
        <f>AND(#REF!,"AAAAADP71ZY=")</f>
        <v>#REF!</v>
      </c>
      <c r="EV16" t="e">
        <f>AND(#REF!,"AAAAADP71Zc=")</f>
        <v>#REF!</v>
      </c>
      <c r="EW16" t="e">
        <f>AND(#REF!,"AAAAADP71Zg=")</f>
        <v>#REF!</v>
      </c>
      <c r="EX16" t="e">
        <f>AND(#REF!,"AAAAADP71Zk=")</f>
        <v>#REF!</v>
      </c>
      <c r="EY16" t="e">
        <f>AND(#REF!,"AAAAADP71Zo=")</f>
        <v>#REF!</v>
      </c>
      <c r="EZ16" t="e">
        <f>AND(#REF!,"AAAAADP71Zs=")</f>
        <v>#REF!</v>
      </c>
      <c r="FA16" t="e">
        <f>AND(#REF!,"AAAAADP71Zw=")</f>
        <v>#REF!</v>
      </c>
      <c r="FB16" t="e">
        <f>AND(#REF!,"AAAAADP71Z0=")</f>
        <v>#REF!</v>
      </c>
      <c r="FC16" t="e">
        <f>AND(#REF!,"AAAAADP71Z4=")</f>
        <v>#REF!</v>
      </c>
      <c r="FD16" t="e">
        <f>AND(#REF!,"AAAAADP71Z8=")</f>
        <v>#REF!</v>
      </c>
      <c r="FE16" t="e">
        <f>AND(#REF!,"AAAAADP71aA=")</f>
        <v>#REF!</v>
      </c>
      <c r="FF16" t="e">
        <f>AND(#REF!,"AAAAADP71aE=")</f>
        <v>#REF!</v>
      </c>
      <c r="FG16" t="e">
        <f>AND(#REF!,"AAAAADP71aI=")</f>
        <v>#REF!</v>
      </c>
      <c r="FH16" t="e">
        <f>AND(#REF!,"AAAAADP71aM=")</f>
        <v>#REF!</v>
      </c>
      <c r="FI16" t="e">
        <f>IF(#REF!,"AAAAADP71aQ=",0)</f>
        <v>#REF!</v>
      </c>
      <c r="FJ16" t="e">
        <f>AND(#REF!,"AAAAADP71aU=")</f>
        <v>#REF!</v>
      </c>
      <c r="FK16" t="e">
        <f>AND(#REF!,"AAAAADP71aY=")</f>
        <v>#REF!</v>
      </c>
      <c r="FL16" t="e">
        <f>AND(#REF!,"AAAAADP71ac=")</f>
        <v>#REF!</v>
      </c>
      <c r="FM16" t="e">
        <f>AND(#REF!,"AAAAADP71ag=")</f>
        <v>#REF!</v>
      </c>
      <c r="FN16" t="e">
        <f>AND(#REF!,"AAAAADP71ak=")</f>
        <v>#REF!</v>
      </c>
      <c r="FO16" t="e">
        <f>AND(#REF!,"AAAAADP71ao=")</f>
        <v>#REF!</v>
      </c>
      <c r="FP16" t="e">
        <f>AND(#REF!,"AAAAADP71as=")</f>
        <v>#REF!</v>
      </c>
      <c r="FQ16" t="e">
        <f>AND(#REF!,"AAAAADP71aw=")</f>
        <v>#REF!</v>
      </c>
      <c r="FR16" t="e">
        <f>AND(#REF!,"AAAAADP71a0=")</f>
        <v>#REF!</v>
      </c>
      <c r="FS16" t="e">
        <f>AND(#REF!,"AAAAADP71a4=")</f>
        <v>#REF!</v>
      </c>
      <c r="FT16" t="e">
        <f>AND(#REF!,"AAAAADP71a8=")</f>
        <v>#REF!</v>
      </c>
      <c r="FU16" t="e">
        <f>AND(#REF!,"AAAAADP71bA=")</f>
        <v>#REF!</v>
      </c>
      <c r="FV16" t="e">
        <f>AND(#REF!,"AAAAADP71bE=")</f>
        <v>#REF!</v>
      </c>
      <c r="FW16" t="e">
        <f>AND(#REF!,"AAAAADP71bI=")</f>
        <v>#REF!</v>
      </c>
      <c r="FX16" t="e">
        <f>AND(#REF!,"AAAAADP71bM=")</f>
        <v>#REF!</v>
      </c>
      <c r="FY16" t="e">
        <f>AND(#REF!,"AAAAADP71bQ=")</f>
        <v>#REF!</v>
      </c>
      <c r="FZ16" t="e">
        <f>AND(#REF!,"AAAAADP71bU=")</f>
        <v>#REF!</v>
      </c>
      <c r="GA16" t="e">
        <f>AND(#REF!,"AAAAADP71bY=")</f>
        <v>#REF!</v>
      </c>
      <c r="GB16" t="e">
        <f>AND(#REF!,"AAAAADP71bc=")</f>
        <v>#REF!</v>
      </c>
      <c r="GC16" t="e">
        <f>AND(#REF!,"AAAAADP71bg=")</f>
        <v>#REF!</v>
      </c>
      <c r="GD16" t="e">
        <f>AND(#REF!,"AAAAADP71bk=")</f>
        <v>#REF!</v>
      </c>
      <c r="GE16" t="e">
        <f>AND(#REF!,"AAAAADP71bo=")</f>
        <v>#REF!</v>
      </c>
      <c r="GF16" t="e">
        <f>AND(#REF!,"AAAAADP71bs=")</f>
        <v>#REF!</v>
      </c>
      <c r="GG16" t="e">
        <f>AND(#REF!,"AAAAADP71bw=")</f>
        <v>#REF!</v>
      </c>
      <c r="GH16" t="e">
        <f>AND(#REF!,"AAAAADP71b0=")</f>
        <v>#REF!</v>
      </c>
      <c r="GI16" t="e">
        <f>AND(#REF!,"AAAAADP71b4=")</f>
        <v>#REF!</v>
      </c>
      <c r="GJ16" t="e">
        <f>AND(#REF!,"AAAAADP71b8=")</f>
        <v>#REF!</v>
      </c>
      <c r="GK16" t="e">
        <f>AND(#REF!,"AAAAADP71cA=")</f>
        <v>#REF!</v>
      </c>
      <c r="GL16" t="e">
        <f>AND(#REF!,"AAAAADP71cE=")</f>
        <v>#REF!</v>
      </c>
      <c r="GM16" t="e">
        <f>AND(#REF!,"AAAAADP71cI=")</f>
        <v>#REF!</v>
      </c>
      <c r="GN16" t="e">
        <f>AND(#REF!,"AAAAADP71cM=")</f>
        <v>#REF!</v>
      </c>
      <c r="GO16" t="e">
        <f>AND(#REF!,"AAAAADP71cQ=")</f>
        <v>#REF!</v>
      </c>
      <c r="GP16" t="e">
        <f>AND(#REF!,"AAAAADP71cU=")</f>
        <v>#REF!</v>
      </c>
      <c r="GQ16" t="e">
        <f>AND(#REF!,"AAAAADP71cY=")</f>
        <v>#REF!</v>
      </c>
      <c r="GR16" t="e">
        <f>AND(#REF!,"AAAAADP71cc=")</f>
        <v>#REF!</v>
      </c>
      <c r="GS16" t="e">
        <f>AND(#REF!,"AAAAADP71cg=")</f>
        <v>#REF!</v>
      </c>
      <c r="GT16" t="e">
        <f>AND(#REF!,"AAAAADP71ck=")</f>
        <v>#REF!</v>
      </c>
      <c r="GU16" t="e">
        <f>AND(#REF!,"AAAAADP71co=")</f>
        <v>#REF!</v>
      </c>
      <c r="GV16" t="e">
        <f>AND(#REF!,"AAAAADP71cs=")</f>
        <v>#REF!</v>
      </c>
      <c r="GW16" t="e">
        <f>AND(#REF!,"AAAAADP71cw=")</f>
        <v>#REF!</v>
      </c>
      <c r="GX16" t="e">
        <f>AND(#REF!,"AAAAADP71c0=")</f>
        <v>#REF!</v>
      </c>
      <c r="GY16" t="e">
        <f>AND(#REF!,"AAAAADP71c4=")</f>
        <v>#REF!</v>
      </c>
      <c r="GZ16" t="e">
        <f>AND(#REF!,"AAAAADP71c8=")</f>
        <v>#REF!</v>
      </c>
      <c r="HA16" t="e">
        <f>IF(#REF!,"AAAAADP71dA=",0)</f>
        <v>#REF!</v>
      </c>
      <c r="HB16" t="e">
        <f>AND(#REF!,"AAAAADP71dE=")</f>
        <v>#REF!</v>
      </c>
      <c r="HC16" t="e">
        <f>AND(#REF!,"AAAAADP71dI=")</f>
        <v>#REF!</v>
      </c>
      <c r="HD16" t="e">
        <f>AND(#REF!,"AAAAADP71dM=")</f>
        <v>#REF!</v>
      </c>
      <c r="HE16" t="e">
        <f>AND(#REF!,"AAAAADP71dQ=")</f>
        <v>#REF!</v>
      </c>
      <c r="HF16" t="e">
        <f>AND(#REF!,"AAAAADP71dU=")</f>
        <v>#REF!</v>
      </c>
      <c r="HG16" t="e">
        <f>AND(#REF!,"AAAAADP71dY=")</f>
        <v>#REF!</v>
      </c>
      <c r="HH16" t="e">
        <f>AND(#REF!,"AAAAADP71dc=")</f>
        <v>#REF!</v>
      </c>
      <c r="HI16" t="e">
        <f>AND(#REF!,"AAAAADP71dg=")</f>
        <v>#REF!</v>
      </c>
      <c r="HJ16" t="e">
        <f>AND(#REF!,"AAAAADP71dk=")</f>
        <v>#REF!</v>
      </c>
      <c r="HK16" t="e">
        <f>AND(#REF!,"AAAAADP71do=")</f>
        <v>#REF!</v>
      </c>
      <c r="HL16" t="e">
        <f>AND(#REF!,"AAAAADP71ds=")</f>
        <v>#REF!</v>
      </c>
      <c r="HM16" t="e">
        <f>AND(#REF!,"AAAAADP71dw=")</f>
        <v>#REF!</v>
      </c>
      <c r="HN16" t="e">
        <f>AND(#REF!,"AAAAADP71d0=")</f>
        <v>#REF!</v>
      </c>
      <c r="HO16" t="e">
        <f>AND(#REF!,"AAAAADP71d4=")</f>
        <v>#REF!</v>
      </c>
      <c r="HP16" t="e">
        <f>AND(#REF!,"AAAAADP71d8=")</f>
        <v>#REF!</v>
      </c>
      <c r="HQ16" t="e">
        <f>AND(#REF!,"AAAAADP71eA=")</f>
        <v>#REF!</v>
      </c>
      <c r="HR16" t="e">
        <f>AND(#REF!,"AAAAADP71eE=")</f>
        <v>#REF!</v>
      </c>
      <c r="HS16" t="e">
        <f>AND(#REF!,"AAAAADP71eI=")</f>
        <v>#REF!</v>
      </c>
      <c r="HT16" t="e">
        <f>AND(#REF!,"AAAAADP71eM=")</f>
        <v>#REF!</v>
      </c>
      <c r="HU16" t="e">
        <f>AND(#REF!,"AAAAADP71eQ=")</f>
        <v>#REF!</v>
      </c>
      <c r="HV16" t="e">
        <f>AND(#REF!,"AAAAADP71eU=")</f>
        <v>#REF!</v>
      </c>
      <c r="HW16" t="e">
        <f>AND(#REF!,"AAAAADP71eY=")</f>
        <v>#REF!</v>
      </c>
      <c r="HX16" t="e">
        <f>AND(#REF!,"AAAAADP71ec=")</f>
        <v>#REF!</v>
      </c>
      <c r="HY16" t="e">
        <f>AND(#REF!,"AAAAADP71eg=")</f>
        <v>#REF!</v>
      </c>
      <c r="HZ16" t="e">
        <f>AND(#REF!,"AAAAADP71ek=")</f>
        <v>#REF!</v>
      </c>
      <c r="IA16" t="e">
        <f>AND(#REF!,"AAAAADP71eo=")</f>
        <v>#REF!</v>
      </c>
      <c r="IB16" t="e">
        <f>AND(#REF!,"AAAAADP71es=")</f>
        <v>#REF!</v>
      </c>
      <c r="IC16" t="e">
        <f>AND(#REF!,"AAAAADP71ew=")</f>
        <v>#REF!</v>
      </c>
      <c r="ID16" t="e">
        <f>AND(#REF!,"AAAAADP71e0=")</f>
        <v>#REF!</v>
      </c>
      <c r="IE16" t="e">
        <f>AND(#REF!,"AAAAADP71e4=")</f>
        <v>#REF!</v>
      </c>
      <c r="IF16" t="e">
        <f>AND(#REF!,"AAAAADP71e8=")</f>
        <v>#REF!</v>
      </c>
      <c r="IG16" t="e">
        <f>AND(#REF!,"AAAAADP71fA=")</f>
        <v>#REF!</v>
      </c>
      <c r="IH16" t="e">
        <f>AND(#REF!,"AAAAADP71fE=")</f>
        <v>#REF!</v>
      </c>
      <c r="II16" t="e">
        <f>AND(#REF!,"AAAAADP71fI=")</f>
        <v>#REF!</v>
      </c>
      <c r="IJ16" t="e">
        <f>AND(#REF!,"AAAAADP71fM=")</f>
        <v>#REF!</v>
      </c>
      <c r="IK16" t="e">
        <f>AND(#REF!,"AAAAADP71fQ=")</f>
        <v>#REF!</v>
      </c>
      <c r="IL16" t="e">
        <f>AND(#REF!,"AAAAADP71fU=")</f>
        <v>#REF!</v>
      </c>
      <c r="IM16" t="e">
        <f>AND(#REF!,"AAAAADP71fY=")</f>
        <v>#REF!</v>
      </c>
      <c r="IN16" t="e">
        <f>AND(#REF!,"AAAAADP71fc=")</f>
        <v>#REF!</v>
      </c>
      <c r="IO16" t="e">
        <f>AND(#REF!,"AAAAADP71fg=")</f>
        <v>#REF!</v>
      </c>
      <c r="IP16" t="e">
        <f>AND(#REF!,"AAAAADP71fk=")</f>
        <v>#REF!</v>
      </c>
      <c r="IQ16" t="e">
        <f>AND(#REF!,"AAAAADP71fo=")</f>
        <v>#REF!</v>
      </c>
      <c r="IR16" t="e">
        <f>AND(#REF!,"AAAAADP71fs=")</f>
        <v>#REF!</v>
      </c>
      <c r="IS16" t="e">
        <f>IF(#REF!,"AAAAADP71fw=",0)</f>
        <v>#REF!</v>
      </c>
      <c r="IT16" t="e">
        <f>AND(#REF!,"AAAAADP71f0=")</f>
        <v>#REF!</v>
      </c>
      <c r="IU16" t="e">
        <f>AND(#REF!,"AAAAADP71f4=")</f>
        <v>#REF!</v>
      </c>
      <c r="IV16" t="e">
        <f>AND(#REF!,"AAAAADP71f8=")</f>
        <v>#REF!</v>
      </c>
    </row>
    <row r="17" spans="1:256" x14ac:dyDescent="0.25">
      <c r="A17" t="e">
        <f>AND(#REF!,"AAAAAH99fwA=")</f>
        <v>#REF!</v>
      </c>
      <c r="B17" t="e">
        <f>AND(#REF!,"AAAAAH99fwE=")</f>
        <v>#REF!</v>
      </c>
      <c r="C17" t="e">
        <f>AND(#REF!,"AAAAAH99fwI=")</f>
        <v>#REF!</v>
      </c>
      <c r="D17" t="e">
        <f>AND(#REF!,"AAAAAH99fwM=")</f>
        <v>#REF!</v>
      </c>
      <c r="E17" t="e">
        <f>AND(#REF!,"AAAAAH99fwQ=")</f>
        <v>#REF!</v>
      </c>
      <c r="F17" t="e">
        <f>AND(#REF!,"AAAAAH99fwU=")</f>
        <v>#REF!</v>
      </c>
      <c r="G17" t="e">
        <f>AND(#REF!,"AAAAAH99fwY=")</f>
        <v>#REF!</v>
      </c>
      <c r="H17" t="e">
        <f>AND(#REF!,"AAAAAH99fwc=")</f>
        <v>#REF!</v>
      </c>
      <c r="I17" t="e">
        <f>AND(#REF!,"AAAAAH99fwg=")</f>
        <v>#REF!</v>
      </c>
      <c r="J17" t="e">
        <f>AND(#REF!,"AAAAAH99fwk=")</f>
        <v>#REF!</v>
      </c>
      <c r="K17" t="e">
        <f>AND(#REF!,"AAAAAH99fwo=")</f>
        <v>#REF!</v>
      </c>
      <c r="L17" t="e">
        <f>AND(#REF!,"AAAAAH99fws=")</f>
        <v>#REF!</v>
      </c>
      <c r="M17" t="e">
        <f>AND(#REF!,"AAAAAH99fww=")</f>
        <v>#REF!</v>
      </c>
      <c r="N17" t="e">
        <f>AND(#REF!,"AAAAAH99fw0=")</f>
        <v>#REF!</v>
      </c>
      <c r="O17" t="e">
        <f>AND(#REF!,"AAAAAH99fw4=")</f>
        <v>#REF!</v>
      </c>
      <c r="P17" t="e">
        <f>AND(#REF!,"AAAAAH99fw8=")</f>
        <v>#REF!</v>
      </c>
      <c r="Q17" t="e">
        <f>AND(#REF!,"AAAAAH99fxA=")</f>
        <v>#REF!</v>
      </c>
      <c r="R17" t="e">
        <f>AND(#REF!,"AAAAAH99fxE=")</f>
        <v>#REF!</v>
      </c>
      <c r="S17" t="e">
        <f>AND(#REF!,"AAAAAH99fxI=")</f>
        <v>#REF!</v>
      </c>
      <c r="T17" t="e">
        <f>AND(#REF!,"AAAAAH99fxM=")</f>
        <v>#REF!</v>
      </c>
      <c r="U17" t="e">
        <f>AND(#REF!,"AAAAAH99fxQ=")</f>
        <v>#REF!</v>
      </c>
      <c r="V17" t="e">
        <f>AND(#REF!,"AAAAAH99fxU=")</f>
        <v>#REF!</v>
      </c>
      <c r="W17" t="e">
        <f>AND(#REF!,"AAAAAH99fxY=")</f>
        <v>#REF!</v>
      </c>
      <c r="X17" t="e">
        <f>AND(#REF!,"AAAAAH99fxc=")</f>
        <v>#REF!</v>
      </c>
      <c r="Y17" t="e">
        <f>AND(#REF!,"AAAAAH99fxg=")</f>
        <v>#REF!</v>
      </c>
      <c r="Z17" t="e">
        <f>AND(#REF!,"AAAAAH99fxk=")</f>
        <v>#REF!</v>
      </c>
      <c r="AA17" t="e">
        <f>AND(#REF!,"AAAAAH99fxo=")</f>
        <v>#REF!</v>
      </c>
      <c r="AB17" t="e">
        <f>AND(#REF!,"AAAAAH99fxs=")</f>
        <v>#REF!</v>
      </c>
      <c r="AC17" t="e">
        <f>AND(#REF!,"AAAAAH99fxw=")</f>
        <v>#REF!</v>
      </c>
      <c r="AD17" t="e">
        <f>AND(#REF!,"AAAAAH99fx0=")</f>
        <v>#REF!</v>
      </c>
      <c r="AE17" t="e">
        <f>AND(#REF!,"AAAAAH99fx4=")</f>
        <v>#REF!</v>
      </c>
      <c r="AF17" t="e">
        <f>AND(#REF!,"AAAAAH99fx8=")</f>
        <v>#REF!</v>
      </c>
      <c r="AG17" t="e">
        <f>AND(#REF!,"AAAAAH99fyA=")</f>
        <v>#REF!</v>
      </c>
      <c r="AH17" t="e">
        <f>AND(#REF!,"AAAAAH99fyE=")</f>
        <v>#REF!</v>
      </c>
      <c r="AI17" t="e">
        <f>AND(#REF!,"AAAAAH99fyI=")</f>
        <v>#REF!</v>
      </c>
      <c r="AJ17" t="e">
        <f>AND(#REF!,"AAAAAH99fyM=")</f>
        <v>#REF!</v>
      </c>
      <c r="AK17" t="e">
        <f>AND(#REF!,"AAAAAH99fyQ=")</f>
        <v>#REF!</v>
      </c>
      <c r="AL17" t="e">
        <f>AND(#REF!,"AAAAAH99fyU=")</f>
        <v>#REF!</v>
      </c>
      <c r="AM17" t="e">
        <f>AND(#REF!,"AAAAAH99fyY=")</f>
        <v>#REF!</v>
      </c>
      <c r="AN17" t="e">
        <f>AND(#REF!,"AAAAAH99fyc=")</f>
        <v>#REF!</v>
      </c>
      <c r="AO17" t="e">
        <f>IF(#REF!,"AAAAAH99fyg=",0)</f>
        <v>#REF!</v>
      </c>
      <c r="AP17" t="e">
        <f>AND(#REF!,"AAAAAH99fyk=")</f>
        <v>#REF!</v>
      </c>
      <c r="AQ17" t="e">
        <f>AND(#REF!,"AAAAAH99fyo=")</f>
        <v>#REF!</v>
      </c>
      <c r="AR17" t="e">
        <f>AND(#REF!,"AAAAAH99fys=")</f>
        <v>#REF!</v>
      </c>
      <c r="AS17" t="e">
        <f>AND(#REF!,"AAAAAH99fyw=")</f>
        <v>#REF!</v>
      </c>
      <c r="AT17" t="e">
        <f>AND(#REF!,"AAAAAH99fy0=")</f>
        <v>#REF!</v>
      </c>
      <c r="AU17" t="e">
        <f>AND(#REF!,"AAAAAH99fy4=")</f>
        <v>#REF!</v>
      </c>
      <c r="AV17" t="e">
        <f>AND(#REF!,"AAAAAH99fy8=")</f>
        <v>#REF!</v>
      </c>
      <c r="AW17" t="e">
        <f>AND(#REF!,"AAAAAH99fzA=")</f>
        <v>#REF!</v>
      </c>
      <c r="AX17" t="e">
        <f>AND(#REF!,"AAAAAH99fzE=")</f>
        <v>#REF!</v>
      </c>
      <c r="AY17" t="e">
        <f>AND(#REF!,"AAAAAH99fzI=")</f>
        <v>#REF!</v>
      </c>
      <c r="AZ17" t="e">
        <f>AND(#REF!,"AAAAAH99fzM=")</f>
        <v>#REF!</v>
      </c>
      <c r="BA17" t="e">
        <f>AND(#REF!,"AAAAAH99fzQ=")</f>
        <v>#REF!</v>
      </c>
      <c r="BB17" t="e">
        <f>AND(#REF!,"AAAAAH99fzU=")</f>
        <v>#REF!</v>
      </c>
      <c r="BC17" t="e">
        <f>AND(#REF!,"AAAAAH99fzY=")</f>
        <v>#REF!</v>
      </c>
      <c r="BD17" t="e">
        <f>AND(#REF!,"AAAAAH99fzc=")</f>
        <v>#REF!</v>
      </c>
      <c r="BE17" t="e">
        <f>AND(#REF!,"AAAAAH99fzg=")</f>
        <v>#REF!</v>
      </c>
      <c r="BF17" t="e">
        <f>AND(#REF!,"AAAAAH99fzk=")</f>
        <v>#REF!</v>
      </c>
      <c r="BG17" t="e">
        <f>AND(#REF!,"AAAAAH99fzo=")</f>
        <v>#REF!</v>
      </c>
      <c r="BH17" t="e">
        <f>AND(#REF!,"AAAAAH99fzs=")</f>
        <v>#REF!</v>
      </c>
      <c r="BI17" t="e">
        <f>AND(#REF!,"AAAAAH99fzw=")</f>
        <v>#REF!</v>
      </c>
      <c r="BJ17" t="e">
        <f>AND(#REF!,"AAAAAH99fz0=")</f>
        <v>#REF!</v>
      </c>
      <c r="BK17" t="e">
        <f>AND(#REF!,"AAAAAH99fz4=")</f>
        <v>#REF!</v>
      </c>
      <c r="BL17" t="e">
        <f>AND(#REF!,"AAAAAH99fz8=")</f>
        <v>#REF!</v>
      </c>
      <c r="BM17" t="e">
        <f>AND(#REF!,"AAAAAH99f0A=")</f>
        <v>#REF!</v>
      </c>
      <c r="BN17" t="e">
        <f>AND(#REF!,"AAAAAH99f0E=")</f>
        <v>#REF!</v>
      </c>
      <c r="BO17" t="e">
        <f>AND(#REF!,"AAAAAH99f0I=")</f>
        <v>#REF!</v>
      </c>
      <c r="BP17" t="e">
        <f>AND(#REF!,"AAAAAH99f0M=")</f>
        <v>#REF!</v>
      </c>
      <c r="BQ17" t="e">
        <f>AND(#REF!,"AAAAAH99f0Q=")</f>
        <v>#REF!</v>
      </c>
      <c r="BR17" t="e">
        <f>AND(#REF!,"AAAAAH99f0U=")</f>
        <v>#REF!</v>
      </c>
      <c r="BS17" t="e">
        <f>AND(#REF!,"AAAAAH99f0Y=")</f>
        <v>#REF!</v>
      </c>
      <c r="BT17" t="e">
        <f>AND(#REF!,"AAAAAH99f0c=")</f>
        <v>#REF!</v>
      </c>
      <c r="BU17" t="e">
        <f>AND(#REF!,"AAAAAH99f0g=")</f>
        <v>#REF!</v>
      </c>
      <c r="BV17" t="e">
        <f>AND(#REF!,"AAAAAH99f0k=")</f>
        <v>#REF!</v>
      </c>
      <c r="BW17" t="e">
        <f>AND(#REF!,"AAAAAH99f0o=")</f>
        <v>#REF!</v>
      </c>
      <c r="BX17" t="e">
        <f>AND(#REF!,"AAAAAH99f0s=")</f>
        <v>#REF!</v>
      </c>
      <c r="BY17" t="e">
        <f>AND(#REF!,"AAAAAH99f0w=")</f>
        <v>#REF!</v>
      </c>
      <c r="BZ17" t="e">
        <f>AND(#REF!,"AAAAAH99f00=")</f>
        <v>#REF!</v>
      </c>
      <c r="CA17" t="e">
        <f>AND(#REF!,"AAAAAH99f04=")</f>
        <v>#REF!</v>
      </c>
      <c r="CB17" t="e">
        <f>AND(#REF!,"AAAAAH99f08=")</f>
        <v>#REF!</v>
      </c>
      <c r="CC17" t="e">
        <f>AND(#REF!,"AAAAAH99f1A=")</f>
        <v>#REF!</v>
      </c>
      <c r="CD17" t="e">
        <f>AND(#REF!,"AAAAAH99f1E=")</f>
        <v>#REF!</v>
      </c>
      <c r="CE17" t="e">
        <f>AND(#REF!,"AAAAAH99f1I=")</f>
        <v>#REF!</v>
      </c>
      <c r="CF17" t="e">
        <f>AND(#REF!,"AAAAAH99f1M=")</f>
        <v>#REF!</v>
      </c>
      <c r="CG17" t="e">
        <f>IF(#REF!,"AAAAAH99f1Q=",0)</f>
        <v>#REF!</v>
      </c>
      <c r="CH17" t="e">
        <f>AND(#REF!,"AAAAAH99f1U=")</f>
        <v>#REF!</v>
      </c>
      <c r="CI17" t="e">
        <f>AND(#REF!,"AAAAAH99f1Y=")</f>
        <v>#REF!</v>
      </c>
      <c r="CJ17" t="e">
        <f>AND(#REF!,"AAAAAH99f1c=")</f>
        <v>#REF!</v>
      </c>
      <c r="CK17" t="e">
        <f>AND(#REF!,"AAAAAH99f1g=")</f>
        <v>#REF!</v>
      </c>
      <c r="CL17" t="e">
        <f>AND(#REF!,"AAAAAH99f1k=")</f>
        <v>#REF!</v>
      </c>
      <c r="CM17" t="e">
        <f>AND(#REF!,"AAAAAH99f1o=")</f>
        <v>#REF!</v>
      </c>
      <c r="CN17" t="e">
        <f>AND(#REF!,"AAAAAH99f1s=")</f>
        <v>#REF!</v>
      </c>
      <c r="CO17" t="e">
        <f>AND(#REF!,"AAAAAH99f1w=")</f>
        <v>#REF!</v>
      </c>
      <c r="CP17" t="e">
        <f>AND(#REF!,"AAAAAH99f10=")</f>
        <v>#REF!</v>
      </c>
      <c r="CQ17" t="e">
        <f>AND(#REF!,"AAAAAH99f14=")</f>
        <v>#REF!</v>
      </c>
      <c r="CR17" t="e">
        <f>AND(#REF!,"AAAAAH99f18=")</f>
        <v>#REF!</v>
      </c>
      <c r="CS17" t="e">
        <f>AND(#REF!,"AAAAAH99f2A=")</f>
        <v>#REF!</v>
      </c>
      <c r="CT17" t="e">
        <f>AND(#REF!,"AAAAAH99f2E=")</f>
        <v>#REF!</v>
      </c>
      <c r="CU17" t="e">
        <f>AND(#REF!,"AAAAAH99f2I=")</f>
        <v>#REF!</v>
      </c>
      <c r="CV17" t="e">
        <f>AND(#REF!,"AAAAAH99f2M=")</f>
        <v>#REF!</v>
      </c>
      <c r="CW17" t="e">
        <f>AND(#REF!,"AAAAAH99f2Q=")</f>
        <v>#REF!</v>
      </c>
      <c r="CX17" t="e">
        <f>AND(#REF!,"AAAAAH99f2U=")</f>
        <v>#REF!</v>
      </c>
      <c r="CY17" t="e">
        <f>AND(#REF!,"AAAAAH99f2Y=")</f>
        <v>#REF!</v>
      </c>
      <c r="CZ17" t="e">
        <f>AND(#REF!,"AAAAAH99f2c=")</f>
        <v>#REF!</v>
      </c>
      <c r="DA17" t="e">
        <f>AND(#REF!,"AAAAAH99f2g=")</f>
        <v>#REF!</v>
      </c>
      <c r="DB17" t="e">
        <f>AND(#REF!,"AAAAAH99f2k=")</f>
        <v>#REF!</v>
      </c>
      <c r="DC17" t="e">
        <f>AND(#REF!,"AAAAAH99f2o=")</f>
        <v>#REF!</v>
      </c>
      <c r="DD17" t="e">
        <f>AND(#REF!,"AAAAAH99f2s=")</f>
        <v>#REF!</v>
      </c>
      <c r="DE17" t="e">
        <f>AND(#REF!,"AAAAAH99f2w=")</f>
        <v>#REF!</v>
      </c>
      <c r="DF17" t="e">
        <f>AND(#REF!,"AAAAAH99f20=")</f>
        <v>#REF!</v>
      </c>
      <c r="DG17" t="e">
        <f>AND(#REF!,"AAAAAH99f24=")</f>
        <v>#REF!</v>
      </c>
      <c r="DH17" t="e">
        <f>AND(#REF!,"AAAAAH99f28=")</f>
        <v>#REF!</v>
      </c>
      <c r="DI17" t="e">
        <f>AND(#REF!,"AAAAAH99f3A=")</f>
        <v>#REF!</v>
      </c>
      <c r="DJ17" t="e">
        <f>AND(#REF!,"AAAAAH99f3E=")</f>
        <v>#REF!</v>
      </c>
      <c r="DK17" t="e">
        <f>AND(#REF!,"AAAAAH99f3I=")</f>
        <v>#REF!</v>
      </c>
      <c r="DL17" t="e">
        <f>AND(#REF!,"AAAAAH99f3M=")</f>
        <v>#REF!</v>
      </c>
      <c r="DM17" t="e">
        <f>AND(#REF!,"AAAAAH99f3Q=")</f>
        <v>#REF!</v>
      </c>
      <c r="DN17" t="e">
        <f>AND(#REF!,"AAAAAH99f3U=")</f>
        <v>#REF!</v>
      </c>
      <c r="DO17" t="e">
        <f>AND(#REF!,"AAAAAH99f3Y=")</f>
        <v>#REF!</v>
      </c>
      <c r="DP17" t="e">
        <f>AND(#REF!,"AAAAAH99f3c=")</f>
        <v>#REF!</v>
      </c>
      <c r="DQ17" t="e">
        <f>AND(#REF!,"AAAAAH99f3g=")</f>
        <v>#REF!</v>
      </c>
      <c r="DR17" t="e">
        <f>AND(#REF!,"AAAAAH99f3k=")</f>
        <v>#REF!</v>
      </c>
      <c r="DS17" t="e">
        <f>AND(#REF!,"AAAAAH99f3o=")</f>
        <v>#REF!</v>
      </c>
      <c r="DT17" t="e">
        <f>AND(#REF!,"AAAAAH99f3s=")</f>
        <v>#REF!</v>
      </c>
      <c r="DU17" t="e">
        <f>AND(#REF!,"AAAAAH99f3w=")</f>
        <v>#REF!</v>
      </c>
      <c r="DV17" t="e">
        <f>AND(#REF!,"AAAAAH99f30=")</f>
        <v>#REF!</v>
      </c>
      <c r="DW17" t="e">
        <f>AND(#REF!,"AAAAAH99f34=")</f>
        <v>#REF!</v>
      </c>
      <c r="DX17" t="e">
        <f>AND(#REF!,"AAAAAH99f38=")</f>
        <v>#REF!</v>
      </c>
      <c r="DY17" t="e">
        <f>IF(#REF!,"AAAAAH99f4A=",0)</f>
        <v>#REF!</v>
      </c>
      <c r="DZ17" t="e">
        <f>AND(#REF!,"AAAAAH99f4E=")</f>
        <v>#REF!</v>
      </c>
      <c r="EA17" t="e">
        <f>AND(#REF!,"AAAAAH99f4I=")</f>
        <v>#REF!</v>
      </c>
      <c r="EB17" t="e">
        <f>AND(#REF!,"AAAAAH99f4M=")</f>
        <v>#REF!</v>
      </c>
      <c r="EC17" t="e">
        <f>AND(#REF!,"AAAAAH99f4Q=")</f>
        <v>#REF!</v>
      </c>
      <c r="ED17" t="e">
        <f>AND(#REF!,"AAAAAH99f4U=")</f>
        <v>#REF!</v>
      </c>
      <c r="EE17" t="e">
        <f>AND(#REF!,"AAAAAH99f4Y=")</f>
        <v>#REF!</v>
      </c>
      <c r="EF17" t="e">
        <f>AND(#REF!,"AAAAAH99f4c=")</f>
        <v>#REF!</v>
      </c>
      <c r="EG17" t="e">
        <f>AND(#REF!,"AAAAAH99f4g=")</f>
        <v>#REF!</v>
      </c>
      <c r="EH17" t="e">
        <f>AND(#REF!,"AAAAAH99f4k=")</f>
        <v>#REF!</v>
      </c>
      <c r="EI17" t="e">
        <f>AND(#REF!,"AAAAAH99f4o=")</f>
        <v>#REF!</v>
      </c>
      <c r="EJ17" t="e">
        <f>AND(#REF!,"AAAAAH99f4s=")</f>
        <v>#REF!</v>
      </c>
      <c r="EK17" t="e">
        <f>AND(#REF!,"AAAAAH99f4w=")</f>
        <v>#REF!</v>
      </c>
      <c r="EL17" t="e">
        <f>AND(#REF!,"AAAAAH99f40=")</f>
        <v>#REF!</v>
      </c>
      <c r="EM17" t="e">
        <f>AND(#REF!,"AAAAAH99f44=")</f>
        <v>#REF!</v>
      </c>
      <c r="EN17" t="e">
        <f>AND(#REF!,"AAAAAH99f48=")</f>
        <v>#REF!</v>
      </c>
      <c r="EO17" t="e">
        <f>AND(#REF!,"AAAAAH99f5A=")</f>
        <v>#REF!</v>
      </c>
      <c r="EP17" t="e">
        <f>AND(#REF!,"AAAAAH99f5E=")</f>
        <v>#REF!</v>
      </c>
      <c r="EQ17" t="e">
        <f>AND(#REF!,"AAAAAH99f5I=")</f>
        <v>#REF!</v>
      </c>
      <c r="ER17" t="e">
        <f>AND(#REF!,"AAAAAH99f5M=")</f>
        <v>#REF!</v>
      </c>
      <c r="ES17" t="e">
        <f>AND(#REF!,"AAAAAH99f5Q=")</f>
        <v>#REF!</v>
      </c>
      <c r="ET17" t="e">
        <f>AND(#REF!,"AAAAAH99f5U=")</f>
        <v>#REF!</v>
      </c>
      <c r="EU17" t="e">
        <f>AND(#REF!,"AAAAAH99f5Y=")</f>
        <v>#REF!</v>
      </c>
      <c r="EV17" t="e">
        <f>AND(#REF!,"AAAAAH99f5c=")</f>
        <v>#REF!</v>
      </c>
      <c r="EW17" t="e">
        <f>AND(#REF!,"AAAAAH99f5g=")</f>
        <v>#REF!</v>
      </c>
      <c r="EX17" t="e">
        <f>AND(#REF!,"AAAAAH99f5k=")</f>
        <v>#REF!</v>
      </c>
      <c r="EY17" t="e">
        <f>AND(#REF!,"AAAAAH99f5o=")</f>
        <v>#REF!</v>
      </c>
      <c r="EZ17" t="e">
        <f>AND(#REF!,"AAAAAH99f5s=")</f>
        <v>#REF!</v>
      </c>
      <c r="FA17" t="e">
        <f>AND(#REF!,"AAAAAH99f5w=")</f>
        <v>#REF!</v>
      </c>
      <c r="FB17" t="e">
        <f>AND(#REF!,"AAAAAH99f50=")</f>
        <v>#REF!</v>
      </c>
      <c r="FC17" t="e">
        <f>AND(#REF!,"AAAAAH99f54=")</f>
        <v>#REF!</v>
      </c>
      <c r="FD17" t="e">
        <f>AND(#REF!,"AAAAAH99f58=")</f>
        <v>#REF!</v>
      </c>
      <c r="FE17" t="e">
        <f>AND(#REF!,"AAAAAH99f6A=")</f>
        <v>#REF!</v>
      </c>
      <c r="FF17" t="e">
        <f>AND(#REF!,"AAAAAH99f6E=")</f>
        <v>#REF!</v>
      </c>
      <c r="FG17" t="e">
        <f>AND(#REF!,"AAAAAH99f6I=")</f>
        <v>#REF!</v>
      </c>
      <c r="FH17" t="e">
        <f>AND(#REF!,"AAAAAH99f6M=")</f>
        <v>#REF!</v>
      </c>
      <c r="FI17" t="e">
        <f>AND(#REF!,"AAAAAH99f6Q=")</f>
        <v>#REF!</v>
      </c>
      <c r="FJ17" t="e">
        <f>AND(#REF!,"AAAAAH99f6U=")</f>
        <v>#REF!</v>
      </c>
      <c r="FK17" t="e">
        <f>AND(#REF!,"AAAAAH99f6Y=")</f>
        <v>#REF!</v>
      </c>
      <c r="FL17" t="e">
        <f>AND(#REF!,"AAAAAH99f6c=")</f>
        <v>#REF!</v>
      </c>
      <c r="FM17" t="e">
        <f>AND(#REF!,"AAAAAH99f6g=")</f>
        <v>#REF!</v>
      </c>
      <c r="FN17" t="e">
        <f>AND(#REF!,"AAAAAH99f6k=")</f>
        <v>#REF!</v>
      </c>
      <c r="FO17" t="e">
        <f>AND(#REF!,"AAAAAH99f6o=")</f>
        <v>#REF!</v>
      </c>
      <c r="FP17" t="e">
        <f>AND(#REF!,"AAAAAH99f6s=")</f>
        <v>#REF!</v>
      </c>
      <c r="FQ17" t="e">
        <f>IF(#REF!,"AAAAAH99f6w=",0)</f>
        <v>#REF!</v>
      </c>
      <c r="FR17" t="e">
        <f>AND(#REF!,"AAAAAH99f60=")</f>
        <v>#REF!</v>
      </c>
      <c r="FS17" t="e">
        <f>AND(#REF!,"AAAAAH99f64=")</f>
        <v>#REF!</v>
      </c>
      <c r="FT17" t="e">
        <f>AND(#REF!,"AAAAAH99f68=")</f>
        <v>#REF!</v>
      </c>
      <c r="FU17" t="e">
        <f>AND(#REF!,"AAAAAH99f7A=")</f>
        <v>#REF!</v>
      </c>
      <c r="FV17" t="e">
        <f>AND(#REF!,"AAAAAH99f7E=")</f>
        <v>#REF!</v>
      </c>
      <c r="FW17" t="e">
        <f>AND(#REF!,"AAAAAH99f7I=")</f>
        <v>#REF!</v>
      </c>
      <c r="FX17" t="e">
        <f>AND(#REF!,"AAAAAH99f7M=")</f>
        <v>#REF!</v>
      </c>
      <c r="FY17" t="e">
        <f>AND(#REF!,"AAAAAH99f7Q=")</f>
        <v>#REF!</v>
      </c>
      <c r="FZ17" t="e">
        <f>AND(#REF!,"AAAAAH99f7U=")</f>
        <v>#REF!</v>
      </c>
      <c r="GA17" t="e">
        <f>AND(#REF!,"AAAAAH99f7Y=")</f>
        <v>#REF!</v>
      </c>
      <c r="GB17" t="e">
        <f>AND(#REF!,"AAAAAH99f7c=")</f>
        <v>#REF!</v>
      </c>
      <c r="GC17" t="e">
        <f>AND(#REF!,"AAAAAH99f7g=")</f>
        <v>#REF!</v>
      </c>
      <c r="GD17" t="e">
        <f>AND(#REF!,"AAAAAH99f7k=")</f>
        <v>#REF!</v>
      </c>
      <c r="GE17" t="e">
        <f>AND(#REF!,"AAAAAH99f7o=")</f>
        <v>#REF!</v>
      </c>
      <c r="GF17" t="e">
        <f>AND(#REF!,"AAAAAH99f7s=")</f>
        <v>#REF!</v>
      </c>
      <c r="GG17" t="e">
        <f>AND(#REF!,"AAAAAH99f7w=")</f>
        <v>#REF!</v>
      </c>
      <c r="GH17" t="e">
        <f>AND(#REF!,"AAAAAH99f70=")</f>
        <v>#REF!</v>
      </c>
      <c r="GI17" t="e">
        <f>AND(#REF!,"AAAAAH99f74=")</f>
        <v>#REF!</v>
      </c>
      <c r="GJ17" t="e">
        <f>AND(#REF!,"AAAAAH99f78=")</f>
        <v>#REF!</v>
      </c>
      <c r="GK17" t="e">
        <f>AND(#REF!,"AAAAAH99f8A=")</f>
        <v>#REF!</v>
      </c>
      <c r="GL17" t="e">
        <f>AND(#REF!,"AAAAAH99f8E=")</f>
        <v>#REF!</v>
      </c>
      <c r="GM17" t="e">
        <f>AND(#REF!,"AAAAAH99f8I=")</f>
        <v>#REF!</v>
      </c>
      <c r="GN17" t="e">
        <f>AND(#REF!,"AAAAAH99f8M=")</f>
        <v>#REF!</v>
      </c>
      <c r="GO17" t="e">
        <f>AND(#REF!,"AAAAAH99f8Q=")</f>
        <v>#REF!</v>
      </c>
      <c r="GP17" t="e">
        <f>AND(#REF!,"AAAAAH99f8U=")</f>
        <v>#REF!</v>
      </c>
      <c r="GQ17" t="e">
        <f>AND(#REF!,"AAAAAH99f8Y=")</f>
        <v>#REF!</v>
      </c>
      <c r="GR17" t="e">
        <f>AND(#REF!,"AAAAAH99f8c=")</f>
        <v>#REF!</v>
      </c>
      <c r="GS17" t="e">
        <f>AND(#REF!,"AAAAAH99f8g=")</f>
        <v>#REF!</v>
      </c>
      <c r="GT17" t="e">
        <f>AND(#REF!,"AAAAAH99f8k=")</f>
        <v>#REF!</v>
      </c>
      <c r="GU17" t="e">
        <f>AND(#REF!,"AAAAAH99f8o=")</f>
        <v>#REF!</v>
      </c>
      <c r="GV17" t="e">
        <f>AND(#REF!,"AAAAAH99f8s=")</f>
        <v>#REF!</v>
      </c>
      <c r="GW17" t="e">
        <f>AND(#REF!,"AAAAAH99f8w=")</f>
        <v>#REF!</v>
      </c>
      <c r="GX17" t="e">
        <f>AND(#REF!,"AAAAAH99f80=")</f>
        <v>#REF!</v>
      </c>
      <c r="GY17" t="e">
        <f>AND(#REF!,"AAAAAH99f84=")</f>
        <v>#REF!</v>
      </c>
      <c r="GZ17" t="e">
        <f>AND(#REF!,"AAAAAH99f88=")</f>
        <v>#REF!</v>
      </c>
      <c r="HA17" t="e">
        <f>AND(#REF!,"AAAAAH99f9A=")</f>
        <v>#REF!</v>
      </c>
      <c r="HB17" t="e">
        <f>AND(#REF!,"AAAAAH99f9E=")</f>
        <v>#REF!</v>
      </c>
      <c r="HC17" t="e">
        <f>AND(#REF!,"AAAAAH99f9I=")</f>
        <v>#REF!</v>
      </c>
      <c r="HD17" t="e">
        <f>AND(#REF!,"AAAAAH99f9M=")</f>
        <v>#REF!</v>
      </c>
      <c r="HE17" t="e">
        <f>AND(#REF!,"AAAAAH99f9Q=")</f>
        <v>#REF!</v>
      </c>
      <c r="HF17" t="e">
        <f>AND(#REF!,"AAAAAH99f9U=")</f>
        <v>#REF!</v>
      </c>
      <c r="HG17" t="e">
        <f>AND(#REF!,"AAAAAH99f9Y=")</f>
        <v>#REF!</v>
      </c>
      <c r="HH17" t="e">
        <f>AND(#REF!,"AAAAAH99f9c=")</f>
        <v>#REF!</v>
      </c>
      <c r="HI17" t="e">
        <f>IF(#REF!,"AAAAAH99f9g=",0)</f>
        <v>#REF!</v>
      </c>
      <c r="HJ17" t="e">
        <f>AND(#REF!,"AAAAAH99f9k=")</f>
        <v>#REF!</v>
      </c>
      <c r="HK17" t="e">
        <f>AND(#REF!,"AAAAAH99f9o=")</f>
        <v>#REF!</v>
      </c>
      <c r="HL17" t="e">
        <f>AND(#REF!,"AAAAAH99f9s=")</f>
        <v>#REF!</v>
      </c>
      <c r="HM17" t="e">
        <f>AND(#REF!,"AAAAAH99f9w=")</f>
        <v>#REF!</v>
      </c>
      <c r="HN17" t="e">
        <f>AND(#REF!,"AAAAAH99f90=")</f>
        <v>#REF!</v>
      </c>
      <c r="HO17" t="e">
        <f>AND(#REF!,"AAAAAH99f94=")</f>
        <v>#REF!</v>
      </c>
      <c r="HP17" t="e">
        <f>AND(#REF!,"AAAAAH99f98=")</f>
        <v>#REF!</v>
      </c>
      <c r="HQ17" t="e">
        <f>AND(#REF!,"AAAAAH99f+A=")</f>
        <v>#REF!</v>
      </c>
      <c r="HR17" t="e">
        <f>AND(#REF!,"AAAAAH99f+E=")</f>
        <v>#REF!</v>
      </c>
      <c r="HS17" t="e">
        <f>AND(#REF!,"AAAAAH99f+I=")</f>
        <v>#REF!</v>
      </c>
      <c r="HT17" t="e">
        <f>AND(#REF!,"AAAAAH99f+M=")</f>
        <v>#REF!</v>
      </c>
      <c r="HU17" t="e">
        <f>AND(#REF!,"AAAAAH99f+Q=")</f>
        <v>#REF!</v>
      </c>
      <c r="HV17" t="e">
        <f>AND(#REF!,"AAAAAH99f+U=")</f>
        <v>#REF!</v>
      </c>
      <c r="HW17" t="e">
        <f>AND(#REF!,"AAAAAH99f+Y=")</f>
        <v>#REF!</v>
      </c>
      <c r="HX17" t="e">
        <f>AND(#REF!,"AAAAAH99f+c=")</f>
        <v>#REF!</v>
      </c>
      <c r="HY17" t="e">
        <f>AND(#REF!,"AAAAAH99f+g=")</f>
        <v>#REF!</v>
      </c>
      <c r="HZ17" t="e">
        <f>AND(#REF!,"AAAAAH99f+k=")</f>
        <v>#REF!</v>
      </c>
      <c r="IA17" t="e">
        <f>AND(#REF!,"AAAAAH99f+o=")</f>
        <v>#REF!</v>
      </c>
      <c r="IB17" t="e">
        <f>AND(#REF!,"AAAAAH99f+s=")</f>
        <v>#REF!</v>
      </c>
      <c r="IC17" t="e">
        <f>AND(#REF!,"AAAAAH99f+w=")</f>
        <v>#REF!</v>
      </c>
      <c r="ID17" t="e">
        <f>AND(#REF!,"AAAAAH99f+0=")</f>
        <v>#REF!</v>
      </c>
      <c r="IE17" t="e">
        <f>AND(#REF!,"AAAAAH99f+4=")</f>
        <v>#REF!</v>
      </c>
      <c r="IF17" t="e">
        <f>AND(#REF!,"AAAAAH99f+8=")</f>
        <v>#REF!</v>
      </c>
      <c r="IG17" t="e">
        <f>AND(#REF!,"AAAAAH99f/A=")</f>
        <v>#REF!</v>
      </c>
      <c r="IH17" t="e">
        <f>AND(#REF!,"AAAAAH99f/E=")</f>
        <v>#REF!</v>
      </c>
      <c r="II17" t="e">
        <f>AND(#REF!,"AAAAAH99f/I=")</f>
        <v>#REF!</v>
      </c>
      <c r="IJ17" t="e">
        <f>AND(#REF!,"AAAAAH99f/M=")</f>
        <v>#REF!</v>
      </c>
      <c r="IK17" t="e">
        <f>AND(#REF!,"AAAAAH99f/Q=")</f>
        <v>#REF!</v>
      </c>
      <c r="IL17" t="e">
        <f>AND(#REF!,"AAAAAH99f/U=")</f>
        <v>#REF!</v>
      </c>
      <c r="IM17" t="e">
        <f>AND(#REF!,"AAAAAH99f/Y=")</f>
        <v>#REF!</v>
      </c>
      <c r="IN17" t="e">
        <f>AND(#REF!,"AAAAAH99f/c=")</f>
        <v>#REF!</v>
      </c>
      <c r="IO17" t="e">
        <f>AND(#REF!,"AAAAAH99f/g=")</f>
        <v>#REF!</v>
      </c>
      <c r="IP17" t="e">
        <f>AND(#REF!,"AAAAAH99f/k=")</f>
        <v>#REF!</v>
      </c>
      <c r="IQ17" t="e">
        <f>AND(#REF!,"AAAAAH99f/o=")</f>
        <v>#REF!</v>
      </c>
      <c r="IR17" t="e">
        <f>AND(#REF!,"AAAAAH99f/s=")</f>
        <v>#REF!</v>
      </c>
      <c r="IS17" t="e">
        <f>AND(#REF!,"AAAAAH99f/w=")</f>
        <v>#REF!</v>
      </c>
      <c r="IT17" t="e">
        <f>AND(#REF!,"AAAAAH99f/0=")</f>
        <v>#REF!</v>
      </c>
      <c r="IU17" t="e">
        <f>AND(#REF!,"AAAAAH99f/4=")</f>
        <v>#REF!</v>
      </c>
      <c r="IV17" t="e">
        <f>AND(#REF!,"AAAAAH99f/8=")</f>
        <v>#REF!</v>
      </c>
    </row>
    <row r="18" spans="1:256" x14ac:dyDescent="0.25">
      <c r="A18" t="e">
        <f>AND(#REF!,"AAAAAHNrvwA=")</f>
        <v>#REF!</v>
      </c>
      <c r="B18" t="e">
        <f>AND(#REF!,"AAAAAHNrvwE=")</f>
        <v>#REF!</v>
      </c>
      <c r="C18" t="e">
        <f>AND(#REF!,"AAAAAHNrvwI=")</f>
        <v>#REF!</v>
      </c>
      <c r="D18" t="e">
        <f>AND(#REF!,"AAAAAHNrvwM=")</f>
        <v>#REF!</v>
      </c>
      <c r="E18" t="e">
        <f>IF(#REF!,"AAAAAHNrvwQ=",0)</f>
        <v>#REF!</v>
      </c>
      <c r="F18" t="e">
        <f>AND(#REF!,"AAAAAHNrvwU=")</f>
        <v>#REF!</v>
      </c>
      <c r="G18" t="e">
        <f>AND(#REF!,"AAAAAHNrvwY=")</f>
        <v>#REF!</v>
      </c>
      <c r="H18" t="e">
        <f>AND(#REF!,"AAAAAHNrvwc=")</f>
        <v>#REF!</v>
      </c>
      <c r="I18" t="e">
        <f>AND(#REF!,"AAAAAHNrvwg=")</f>
        <v>#REF!</v>
      </c>
      <c r="J18" t="e">
        <f>AND(#REF!,"AAAAAHNrvwk=")</f>
        <v>#REF!</v>
      </c>
      <c r="K18" t="e">
        <f>AND(#REF!,"AAAAAHNrvwo=")</f>
        <v>#REF!</v>
      </c>
      <c r="L18" t="e">
        <f>AND(#REF!,"AAAAAHNrvws=")</f>
        <v>#REF!</v>
      </c>
      <c r="M18" t="e">
        <f>AND(#REF!,"AAAAAHNrvww=")</f>
        <v>#REF!</v>
      </c>
      <c r="N18" t="e">
        <f>AND(#REF!,"AAAAAHNrvw0=")</f>
        <v>#REF!</v>
      </c>
      <c r="O18" t="e">
        <f>AND(#REF!,"AAAAAHNrvw4=")</f>
        <v>#REF!</v>
      </c>
      <c r="P18" t="e">
        <f>AND(#REF!,"AAAAAHNrvw8=")</f>
        <v>#REF!</v>
      </c>
      <c r="Q18" t="e">
        <f>AND(#REF!,"AAAAAHNrvxA=")</f>
        <v>#REF!</v>
      </c>
      <c r="R18" t="e">
        <f>AND(#REF!,"AAAAAHNrvxE=")</f>
        <v>#REF!</v>
      </c>
      <c r="S18" t="e">
        <f>AND(#REF!,"AAAAAHNrvxI=")</f>
        <v>#REF!</v>
      </c>
      <c r="T18" t="e">
        <f>AND(#REF!,"AAAAAHNrvxM=")</f>
        <v>#REF!</v>
      </c>
      <c r="U18" t="e">
        <f>AND(#REF!,"AAAAAHNrvxQ=")</f>
        <v>#REF!</v>
      </c>
      <c r="V18" t="e">
        <f>AND(#REF!,"AAAAAHNrvxU=")</f>
        <v>#REF!</v>
      </c>
      <c r="W18" t="e">
        <f>AND(#REF!,"AAAAAHNrvxY=")</f>
        <v>#REF!</v>
      </c>
      <c r="X18" t="e">
        <f>AND(#REF!,"AAAAAHNrvxc=")</f>
        <v>#REF!</v>
      </c>
      <c r="Y18" t="e">
        <f>AND(#REF!,"AAAAAHNrvxg=")</f>
        <v>#REF!</v>
      </c>
      <c r="Z18" t="e">
        <f>AND(#REF!,"AAAAAHNrvxk=")</f>
        <v>#REF!</v>
      </c>
      <c r="AA18" t="e">
        <f>AND(#REF!,"AAAAAHNrvxo=")</f>
        <v>#REF!</v>
      </c>
      <c r="AB18" t="e">
        <f>AND(#REF!,"AAAAAHNrvxs=")</f>
        <v>#REF!</v>
      </c>
      <c r="AC18" t="e">
        <f>AND(#REF!,"AAAAAHNrvxw=")</f>
        <v>#REF!</v>
      </c>
      <c r="AD18" t="e">
        <f>AND(#REF!,"AAAAAHNrvx0=")</f>
        <v>#REF!</v>
      </c>
      <c r="AE18" t="e">
        <f>AND(#REF!,"AAAAAHNrvx4=")</f>
        <v>#REF!</v>
      </c>
      <c r="AF18" t="e">
        <f>AND(#REF!,"AAAAAHNrvx8=")</f>
        <v>#REF!</v>
      </c>
      <c r="AG18" t="e">
        <f>AND(#REF!,"AAAAAHNrvyA=")</f>
        <v>#REF!</v>
      </c>
      <c r="AH18" t="e">
        <f>AND(#REF!,"AAAAAHNrvyE=")</f>
        <v>#REF!</v>
      </c>
      <c r="AI18" t="e">
        <f>AND(#REF!,"AAAAAHNrvyI=")</f>
        <v>#REF!</v>
      </c>
      <c r="AJ18" t="e">
        <f>AND(#REF!,"AAAAAHNrvyM=")</f>
        <v>#REF!</v>
      </c>
      <c r="AK18" t="e">
        <f>AND(#REF!,"AAAAAHNrvyQ=")</f>
        <v>#REF!</v>
      </c>
      <c r="AL18" t="e">
        <f>AND(#REF!,"AAAAAHNrvyU=")</f>
        <v>#REF!</v>
      </c>
      <c r="AM18" t="e">
        <f>AND(#REF!,"AAAAAHNrvyY=")</f>
        <v>#REF!</v>
      </c>
      <c r="AN18" t="e">
        <f>AND(#REF!,"AAAAAHNrvyc=")</f>
        <v>#REF!</v>
      </c>
      <c r="AO18" t="e">
        <f>AND(#REF!,"AAAAAHNrvyg=")</f>
        <v>#REF!</v>
      </c>
      <c r="AP18" t="e">
        <f>AND(#REF!,"AAAAAHNrvyk=")</f>
        <v>#REF!</v>
      </c>
      <c r="AQ18" t="e">
        <f>AND(#REF!,"AAAAAHNrvyo=")</f>
        <v>#REF!</v>
      </c>
      <c r="AR18" t="e">
        <f>AND(#REF!,"AAAAAHNrvys=")</f>
        <v>#REF!</v>
      </c>
      <c r="AS18" t="e">
        <f>AND(#REF!,"AAAAAHNrvyw=")</f>
        <v>#REF!</v>
      </c>
      <c r="AT18" t="e">
        <f>AND(#REF!,"AAAAAHNrvy0=")</f>
        <v>#REF!</v>
      </c>
      <c r="AU18" t="e">
        <f>AND(#REF!,"AAAAAHNrvy4=")</f>
        <v>#REF!</v>
      </c>
      <c r="AV18" t="e">
        <f>AND(#REF!,"AAAAAHNrvy8=")</f>
        <v>#REF!</v>
      </c>
      <c r="AW18" t="e">
        <f>IF(#REF!,"AAAAAHNrvzA=",0)</f>
        <v>#REF!</v>
      </c>
      <c r="AX18" t="e">
        <f>AND(#REF!,"AAAAAHNrvzE=")</f>
        <v>#REF!</v>
      </c>
      <c r="AY18" t="e">
        <f>AND(#REF!,"AAAAAHNrvzI=")</f>
        <v>#REF!</v>
      </c>
      <c r="AZ18" t="e">
        <f>AND(#REF!,"AAAAAHNrvzM=")</f>
        <v>#REF!</v>
      </c>
      <c r="BA18" t="e">
        <f>AND(#REF!,"AAAAAHNrvzQ=")</f>
        <v>#REF!</v>
      </c>
      <c r="BB18" t="e">
        <f>AND(#REF!,"AAAAAHNrvzU=")</f>
        <v>#REF!</v>
      </c>
      <c r="BC18" t="e">
        <f>AND(#REF!,"AAAAAHNrvzY=")</f>
        <v>#REF!</v>
      </c>
      <c r="BD18" t="e">
        <f>AND(#REF!,"AAAAAHNrvzc=")</f>
        <v>#REF!</v>
      </c>
      <c r="BE18" t="e">
        <f>AND(#REF!,"AAAAAHNrvzg=")</f>
        <v>#REF!</v>
      </c>
      <c r="BF18" t="e">
        <f>AND(#REF!,"AAAAAHNrvzk=")</f>
        <v>#REF!</v>
      </c>
      <c r="BG18" t="e">
        <f>AND(#REF!,"AAAAAHNrvzo=")</f>
        <v>#REF!</v>
      </c>
      <c r="BH18" t="e">
        <f>AND(#REF!,"AAAAAHNrvzs=")</f>
        <v>#REF!</v>
      </c>
      <c r="BI18" t="e">
        <f>AND(#REF!,"AAAAAHNrvzw=")</f>
        <v>#REF!</v>
      </c>
      <c r="BJ18" t="e">
        <f>AND(#REF!,"AAAAAHNrvz0=")</f>
        <v>#REF!</v>
      </c>
      <c r="BK18" t="e">
        <f>AND(#REF!,"AAAAAHNrvz4=")</f>
        <v>#REF!</v>
      </c>
      <c r="BL18" t="e">
        <f>AND(#REF!,"AAAAAHNrvz8=")</f>
        <v>#REF!</v>
      </c>
      <c r="BM18" t="e">
        <f>AND(#REF!,"AAAAAHNrv0A=")</f>
        <v>#REF!</v>
      </c>
      <c r="BN18" t="e">
        <f>AND(#REF!,"AAAAAHNrv0E=")</f>
        <v>#REF!</v>
      </c>
      <c r="BO18" t="e">
        <f>AND(#REF!,"AAAAAHNrv0I=")</f>
        <v>#REF!</v>
      </c>
      <c r="BP18" t="e">
        <f>AND(#REF!,"AAAAAHNrv0M=")</f>
        <v>#REF!</v>
      </c>
      <c r="BQ18" t="e">
        <f>AND(#REF!,"AAAAAHNrv0Q=")</f>
        <v>#REF!</v>
      </c>
      <c r="BR18" t="e">
        <f>AND(#REF!,"AAAAAHNrv0U=")</f>
        <v>#REF!</v>
      </c>
      <c r="BS18" t="e">
        <f>AND(#REF!,"AAAAAHNrv0Y=")</f>
        <v>#REF!</v>
      </c>
      <c r="BT18" t="e">
        <f>AND(#REF!,"AAAAAHNrv0c=")</f>
        <v>#REF!</v>
      </c>
      <c r="BU18" t="e">
        <f>AND(#REF!,"AAAAAHNrv0g=")</f>
        <v>#REF!</v>
      </c>
      <c r="BV18" t="e">
        <f>AND(#REF!,"AAAAAHNrv0k=")</f>
        <v>#REF!</v>
      </c>
      <c r="BW18" t="e">
        <f>AND(#REF!,"AAAAAHNrv0o=")</f>
        <v>#REF!</v>
      </c>
      <c r="BX18" t="e">
        <f>AND(#REF!,"AAAAAHNrv0s=")</f>
        <v>#REF!</v>
      </c>
      <c r="BY18" t="e">
        <f>AND(#REF!,"AAAAAHNrv0w=")</f>
        <v>#REF!</v>
      </c>
      <c r="BZ18" t="e">
        <f>AND(#REF!,"AAAAAHNrv00=")</f>
        <v>#REF!</v>
      </c>
      <c r="CA18" t="e">
        <f>AND(#REF!,"AAAAAHNrv04=")</f>
        <v>#REF!</v>
      </c>
      <c r="CB18" t="e">
        <f>AND(#REF!,"AAAAAHNrv08=")</f>
        <v>#REF!</v>
      </c>
      <c r="CC18" t="e">
        <f>AND(#REF!,"AAAAAHNrv1A=")</f>
        <v>#REF!</v>
      </c>
      <c r="CD18" t="e">
        <f>AND(#REF!,"AAAAAHNrv1E=")</f>
        <v>#REF!</v>
      </c>
      <c r="CE18" t="e">
        <f>AND(#REF!,"AAAAAHNrv1I=")</f>
        <v>#REF!</v>
      </c>
      <c r="CF18" t="e">
        <f>AND(#REF!,"AAAAAHNrv1M=")</f>
        <v>#REF!</v>
      </c>
      <c r="CG18" t="e">
        <f>AND(#REF!,"AAAAAHNrv1Q=")</f>
        <v>#REF!</v>
      </c>
      <c r="CH18" t="e">
        <f>AND(#REF!,"AAAAAHNrv1U=")</f>
        <v>#REF!</v>
      </c>
      <c r="CI18" t="e">
        <f>AND(#REF!,"AAAAAHNrv1Y=")</f>
        <v>#REF!</v>
      </c>
      <c r="CJ18" t="e">
        <f>AND(#REF!,"AAAAAHNrv1c=")</f>
        <v>#REF!</v>
      </c>
      <c r="CK18" t="e">
        <f>AND(#REF!,"AAAAAHNrv1g=")</f>
        <v>#REF!</v>
      </c>
      <c r="CL18" t="e">
        <f>AND(#REF!,"AAAAAHNrv1k=")</f>
        <v>#REF!</v>
      </c>
      <c r="CM18" t="e">
        <f>AND(#REF!,"AAAAAHNrv1o=")</f>
        <v>#REF!</v>
      </c>
      <c r="CN18" t="e">
        <f>AND(#REF!,"AAAAAHNrv1s=")</f>
        <v>#REF!</v>
      </c>
      <c r="CO18" t="e">
        <f>IF(#REF!,"AAAAAHNrv1w=",0)</f>
        <v>#REF!</v>
      </c>
      <c r="CP18" t="e">
        <f>AND(#REF!,"AAAAAHNrv10=")</f>
        <v>#REF!</v>
      </c>
      <c r="CQ18" t="e">
        <f>AND(#REF!,"AAAAAHNrv14=")</f>
        <v>#REF!</v>
      </c>
      <c r="CR18" t="e">
        <f>AND(#REF!,"AAAAAHNrv18=")</f>
        <v>#REF!</v>
      </c>
      <c r="CS18" t="e">
        <f>AND(#REF!,"AAAAAHNrv2A=")</f>
        <v>#REF!</v>
      </c>
      <c r="CT18" t="e">
        <f>AND(#REF!,"AAAAAHNrv2E=")</f>
        <v>#REF!</v>
      </c>
      <c r="CU18" t="e">
        <f>AND(#REF!,"AAAAAHNrv2I=")</f>
        <v>#REF!</v>
      </c>
      <c r="CV18" t="e">
        <f>AND(#REF!,"AAAAAHNrv2M=")</f>
        <v>#REF!</v>
      </c>
      <c r="CW18" t="e">
        <f>AND(#REF!,"AAAAAHNrv2Q=")</f>
        <v>#REF!</v>
      </c>
      <c r="CX18" t="e">
        <f>AND(#REF!,"AAAAAHNrv2U=")</f>
        <v>#REF!</v>
      </c>
      <c r="CY18" t="e">
        <f>AND(#REF!,"AAAAAHNrv2Y=")</f>
        <v>#REF!</v>
      </c>
      <c r="CZ18" t="e">
        <f>AND(#REF!,"AAAAAHNrv2c=")</f>
        <v>#REF!</v>
      </c>
      <c r="DA18" t="e">
        <f>AND(#REF!,"AAAAAHNrv2g=")</f>
        <v>#REF!</v>
      </c>
      <c r="DB18" t="e">
        <f>AND(#REF!,"AAAAAHNrv2k=")</f>
        <v>#REF!</v>
      </c>
      <c r="DC18" t="e">
        <f>AND(#REF!,"AAAAAHNrv2o=")</f>
        <v>#REF!</v>
      </c>
      <c r="DD18" t="e">
        <f>AND(#REF!,"AAAAAHNrv2s=")</f>
        <v>#REF!</v>
      </c>
      <c r="DE18" t="e">
        <f>AND(#REF!,"AAAAAHNrv2w=")</f>
        <v>#REF!</v>
      </c>
      <c r="DF18" t="e">
        <f>AND(#REF!,"AAAAAHNrv20=")</f>
        <v>#REF!</v>
      </c>
      <c r="DG18" t="e">
        <f>AND(#REF!,"AAAAAHNrv24=")</f>
        <v>#REF!</v>
      </c>
      <c r="DH18" t="e">
        <f>AND(#REF!,"AAAAAHNrv28=")</f>
        <v>#REF!</v>
      </c>
      <c r="DI18" t="e">
        <f>AND(#REF!,"AAAAAHNrv3A=")</f>
        <v>#REF!</v>
      </c>
      <c r="DJ18" t="e">
        <f>AND(#REF!,"AAAAAHNrv3E=")</f>
        <v>#REF!</v>
      </c>
      <c r="DK18" t="e">
        <f>AND(#REF!,"AAAAAHNrv3I=")</f>
        <v>#REF!</v>
      </c>
      <c r="DL18" t="e">
        <f>AND(#REF!,"AAAAAHNrv3M=")</f>
        <v>#REF!</v>
      </c>
      <c r="DM18" t="e">
        <f>AND(#REF!,"AAAAAHNrv3Q=")</f>
        <v>#REF!</v>
      </c>
      <c r="DN18" t="e">
        <f>AND(#REF!,"AAAAAHNrv3U=")</f>
        <v>#REF!</v>
      </c>
      <c r="DO18" t="e">
        <f>AND(#REF!,"AAAAAHNrv3Y=")</f>
        <v>#REF!</v>
      </c>
      <c r="DP18" t="e">
        <f>AND(#REF!,"AAAAAHNrv3c=")</f>
        <v>#REF!</v>
      </c>
      <c r="DQ18" t="e">
        <f>AND(#REF!,"AAAAAHNrv3g=")</f>
        <v>#REF!</v>
      </c>
      <c r="DR18" t="e">
        <f>AND(#REF!,"AAAAAHNrv3k=")</f>
        <v>#REF!</v>
      </c>
      <c r="DS18" t="e">
        <f>AND(#REF!,"AAAAAHNrv3o=")</f>
        <v>#REF!</v>
      </c>
      <c r="DT18" t="e">
        <f>AND(#REF!,"AAAAAHNrv3s=")</f>
        <v>#REF!</v>
      </c>
      <c r="DU18" t="e">
        <f>AND(#REF!,"AAAAAHNrv3w=")</f>
        <v>#REF!</v>
      </c>
      <c r="DV18" t="e">
        <f>AND(#REF!,"AAAAAHNrv30=")</f>
        <v>#REF!</v>
      </c>
      <c r="DW18" t="e">
        <f>AND(#REF!,"AAAAAHNrv34=")</f>
        <v>#REF!</v>
      </c>
      <c r="DX18" t="e">
        <f>AND(#REF!,"AAAAAHNrv38=")</f>
        <v>#REF!</v>
      </c>
      <c r="DY18" t="e">
        <f>AND(#REF!,"AAAAAHNrv4A=")</f>
        <v>#REF!</v>
      </c>
      <c r="DZ18" t="e">
        <f>AND(#REF!,"AAAAAHNrv4E=")</f>
        <v>#REF!</v>
      </c>
      <c r="EA18" t="e">
        <f>AND(#REF!,"AAAAAHNrv4I=")</f>
        <v>#REF!</v>
      </c>
      <c r="EB18" t="e">
        <f>AND(#REF!,"AAAAAHNrv4M=")</f>
        <v>#REF!</v>
      </c>
      <c r="EC18" t="e">
        <f>AND(#REF!,"AAAAAHNrv4Q=")</f>
        <v>#REF!</v>
      </c>
      <c r="ED18" t="e">
        <f>AND(#REF!,"AAAAAHNrv4U=")</f>
        <v>#REF!</v>
      </c>
      <c r="EE18" t="e">
        <f>AND(#REF!,"AAAAAHNrv4Y=")</f>
        <v>#REF!</v>
      </c>
      <c r="EF18" t="e">
        <f>AND(#REF!,"AAAAAHNrv4c=")</f>
        <v>#REF!</v>
      </c>
      <c r="EG18" t="e">
        <f>IF(#REF!,"AAAAAHNrv4g=",0)</f>
        <v>#REF!</v>
      </c>
      <c r="EH18" t="e">
        <f>AND(#REF!,"AAAAAHNrv4k=")</f>
        <v>#REF!</v>
      </c>
      <c r="EI18" t="e">
        <f>AND(#REF!,"AAAAAHNrv4o=")</f>
        <v>#REF!</v>
      </c>
      <c r="EJ18" t="e">
        <f>AND(#REF!,"AAAAAHNrv4s=")</f>
        <v>#REF!</v>
      </c>
      <c r="EK18" t="e">
        <f>AND(#REF!,"AAAAAHNrv4w=")</f>
        <v>#REF!</v>
      </c>
      <c r="EL18" t="e">
        <f>AND(#REF!,"AAAAAHNrv40=")</f>
        <v>#REF!</v>
      </c>
      <c r="EM18" t="e">
        <f>AND(#REF!,"AAAAAHNrv44=")</f>
        <v>#REF!</v>
      </c>
      <c r="EN18" t="e">
        <f>AND(#REF!,"AAAAAHNrv48=")</f>
        <v>#REF!</v>
      </c>
      <c r="EO18" t="e">
        <f>AND(#REF!,"AAAAAHNrv5A=")</f>
        <v>#REF!</v>
      </c>
      <c r="EP18" t="e">
        <f>AND(#REF!,"AAAAAHNrv5E=")</f>
        <v>#REF!</v>
      </c>
      <c r="EQ18" t="e">
        <f>AND(#REF!,"AAAAAHNrv5I=")</f>
        <v>#REF!</v>
      </c>
      <c r="ER18" t="e">
        <f>AND(#REF!,"AAAAAHNrv5M=")</f>
        <v>#REF!</v>
      </c>
      <c r="ES18" t="e">
        <f>AND(#REF!,"AAAAAHNrv5Q=")</f>
        <v>#REF!</v>
      </c>
      <c r="ET18" t="e">
        <f>AND(#REF!,"AAAAAHNrv5U=")</f>
        <v>#REF!</v>
      </c>
      <c r="EU18" t="e">
        <f>AND(#REF!,"AAAAAHNrv5Y=")</f>
        <v>#REF!</v>
      </c>
      <c r="EV18" t="e">
        <f>AND(#REF!,"AAAAAHNrv5c=")</f>
        <v>#REF!</v>
      </c>
      <c r="EW18" t="e">
        <f>AND(#REF!,"AAAAAHNrv5g=")</f>
        <v>#REF!</v>
      </c>
      <c r="EX18" t="e">
        <f>AND(#REF!,"AAAAAHNrv5k=")</f>
        <v>#REF!</v>
      </c>
      <c r="EY18" t="e">
        <f>AND(#REF!,"AAAAAHNrv5o=")</f>
        <v>#REF!</v>
      </c>
      <c r="EZ18" t="e">
        <f>AND(#REF!,"AAAAAHNrv5s=")</f>
        <v>#REF!</v>
      </c>
      <c r="FA18" t="e">
        <f>AND(#REF!,"AAAAAHNrv5w=")</f>
        <v>#REF!</v>
      </c>
      <c r="FB18" t="e">
        <f>AND(#REF!,"AAAAAHNrv50=")</f>
        <v>#REF!</v>
      </c>
      <c r="FC18" t="e">
        <f>AND(#REF!,"AAAAAHNrv54=")</f>
        <v>#REF!</v>
      </c>
      <c r="FD18" t="e">
        <f>AND(#REF!,"AAAAAHNrv58=")</f>
        <v>#REF!</v>
      </c>
      <c r="FE18" t="e">
        <f>AND(#REF!,"AAAAAHNrv6A=")</f>
        <v>#REF!</v>
      </c>
      <c r="FF18" t="e">
        <f>AND(#REF!,"AAAAAHNrv6E=")</f>
        <v>#REF!</v>
      </c>
      <c r="FG18" t="e">
        <f>AND(#REF!,"AAAAAHNrv6I=")</f>
        <v>#REF!</v>
      </c>
      <c r="FH18" t="e">
        <f>AND(#REF!,"AAAAAHNrv6M=")</f>
        <v>#REF!</v>
      </c>
      <c r="FI18" t="e">
        <f>AND(#REF!,"AAAAAHNrv6Q=")</f>
        <v>#REF!</v>
      </c>
      <c r="FJ18" t="e">
        <f>AND(#REF!,"AAAAAHNrv6U=")</f>
        <v>#REF!</v>
      </c>
      <c r="FK18" t="e">
        <f>AND(#REF!,"AAAAAHNrv6Y=")</f>
        <v>#REF!</v>
      </c>
      <c r="FL18" t="e">
        <f>AND(#REF!,"AAAAAHNrv6c=")</f>
        <v>#REF!</v>
      </c>
      <c r="FM18" t="e">
        <f>AND(#REF!,"AAAAAHNrv6g=")</f>
        <v>#REF!</v>
      </c>
      <c r="FN18" t="e">
        <f>AND(#REF!,"AAAAAHNrv6k=")</f>
        <v>#REF!</v>
      </c>
      <c r="FO18" t="e">
        <f>AND(#REF!,"AAAAAHNrv6o=")</f>
        <v>#REF!</v>
      </c>
      <c r="FP18" t="e">
        <f>AND(#REF!,"AAAAAHNrv6s=")</f>
        <v>#REF!</v>
      </c>
      <c r="FQ18" t="e">
        <f>AND(#REF!,"AAAAAHNrv6w=")</f>
        <v>#REF!</v>
      </c>
      <c r="FR18" t="e">
        <f>AND(#REF!,"AAAAAHNrv60=")</f>
        <v>#REF!</v>
      </c>
      <c r="FS18" t="e">
        <f>AND(#REF!,"AAAAAHNrv64=")</f>
        <v>#REF!</v>
      </c>
      <c r="FT18" t="e">
        <f>AND(#REF!,"AAAAAHNrv68=")</f>
        <v>#REF!</v>
      </c>
      <c r="FU18" t="e">
        <f>AND(#REF!,"AAAAAHNrv7A=")</f>
        <v>#REF!</v>
      </c>
      <c r="FV18" t="e">
        <f>AND(#REF!,"AAAAAHNrv7E=")</f>
        <v>#REF!</v>
      </c>
      <c r="FW18" t="e">
        <f>AND(#REF!,"AAAAAHNrv7I=")</f>
        <v>#REF!</v>
      </c>
      <c r="FX18" t="e">
        <f>AND(#REF!,"AAAAAHNrv7M=")</f>
        <v>#REF!</v>
      </c>
      <c r="FY18" t="e">
        <f>IF(#REF!,"AAAAAHNrv7Q=",0)</f>
        <v>#REF!</v>
      </c>
      <c r="FZ18" t="e">
        <f>AND(#REF!,"AAAAAHNrv7U=")</f>
        <v>#REF!</v>
      </c>
      <c r="GA18" t="e">
        <f>AND(#REF!,"AAAAAHNrv7Y=")</f>
        <v>#REF!</v>
      </c>
      <c r="GB18" t="e">
        <f>AND(#REF!,"AAAAAHNrv7c=")</f>
        <v>#REF!</v>
      </c>
      <c r="GC18" t="e">
        <f>AND(#REF!,"AAAAAHNrv7g=")</f>
        <v>#REF!</v>
      </c>
      <c r="GD18" t="e">
        <f>AND(#REF!,"AAAAAHNrv7k=")</f>
        <v>#REF!</v>
      </c>
      <c r="GE18" t="e">
        <f>AND(#REF!,"AAAAAHNrv7o=")</f>
        <v>#REF!</v>
      </c>
      <c r="GF18" t="e">
        <f>AND(#REF!,"AAAAAHNrv7s=")</f>
        <v>#REF!</v>
      </c>
      <c r="GG18" t="e">
        <f>AND(#REF!,"AAAAAHNrv7w=")</f>
        <v>#REF!</v>
      </c>
      <c r="GH18" t="e">
        <f>AND(#REF!,"AAAAAHNrv70=")</f>
        <v>#REF!</v>
      </c>
      <c r="GI18" t="e">
        <f>AND(#REF!,"AAAAAHNrv74=")</f>
        <v>#REF!</v>
      </c>
      <c r="GJ18" t="e">
        <f>AND(#REF!,"AAAAAHNrv78=")</f>
        <v>#REF!</v>
      </c>
      <c r="GK18" t="e">
        <f>AND(#REF!,"AAAAAHNrv8A=")</f>
        <v>#REF!</v>
      </c>
      <c r="GL18" t="e">
        <f>AND(#REF!,"AAAAAHNrv8E=")</f>
        <v>#REF!</v>
      </c>
      <c r="GM18" t="e">
        <f>AND(#REF!,"AAAAAHNrv8I=")</f>
        <v>#REF!</v>
      </c>
      <c r="GN18" t="e">
        <f>AND(#REF!,"AAAAAHNrv8M=")</f>
        <v>#REF!</v>
      </c>
      <c r="GO18" t="e">
        <f>AND(#REF!,"AAAAAHNrv8Q=")</f>
        <v>#REF!</v>
      </c>
      <c r="GP18" t="e">
        <f>AND(#REF!,"AAAAAHNrv8U=")</f>
        <v>#REF!</v>
      </c>
      <c r="GQ18" t="e">
        <f>AND(#REF!,"AAAAAHNrv8Y=")</f>
        <v>#REF!</v>
      </c>
      <c r="GR18" t="e">
        <f>AND(#REF!,"AAAAAHNrv8c=")</f>
        <v>#REF!</v>
      </c>
      <c r="GS18" t="e">
        <f>AND(#REF!,"AAAAAHNrv8g=")</f>
        <v>#REF!</v>
      </c>
      <c r="GT18" t="e">
        <f>AND(#REF!,"AAAAAHNrv8k=")</f>
        <v>#REF!</v>
      </c>
      <c r="GU18" t="e">
        <f>AND(#REF!,"AAAAAHNrv8o=")</f>
        <v>#REF!</v>
      </c>
      <c r="GV18" t="e">
        <f>AND(#REF!,"AAAAAHNrv8s=")</f>
        <v>#REF!</v>
      </c>
      <c r="GW18" t="e">
        <f>AND(#REF!,"AAAAAHNrv8w=")</f>
        <v>#REF!</v>
      </c>
      <c r="GX18" t="e">
        <f>AND(#REF!,"AAAAAHNrv80=")</f>
        <v>#REF!</v>
      </c>
      <c r="GY18" t="e">
        <f>AND(#REF!,"AAAAAHNrv84=")</f>
        <v>#REF!</v>
      </c>
      <c r="GZ18" t="e">
        <f>AND(#REF!,"AAAAAHNrv88=")</f>
        <v>#REF!</v>
      </c>
      <c r="HA18" t="e">
        <f>AND(#REF!,"AAAAAHNrv9A=")</f>
        <v>#REF!</v>
      </c>
      <c r="HB18" t="e">
        <f>AND(#REF!,"AAAAAHNrv9E=")</f>
        <v>#REF!</v>
      </c>
      <c r="HC18" t="e">
        <f>AND(#REF!,"AAAAAHNrv9I=")</f>
        <v>#REF!</v>
      </c>
      <c r="HD18" t="e">
        <f>AND(#REF!,"AAAAAHNrv9M=")</f>
        <v>#REF!</v>
      </c>
      <c r="HE18" t="e">
        <f>AND(#REF!,"AAAAAHNrv9Q=")</f>
        <v>#REF!</v>
      </c>
      <c r="HF18" t="e">
        <f>AND(#REF!,"AAAAAHNrv9U=")</f>
        <v>#REF!</v>
      </c>
      <c r="HG18" t="e">
        <f>AND(#REF!,"AAAAAHNrv9Y=")</f>
        <v>#REF!</v>
      </c>
      <c r="HH18" t="e">
        <f>AND(#REF!,"AAAAAHNrv9c=")</f>
        <v>#REF!</v>
      </c>
      <c r="HI18" t="e">
        <f>AND(#REF!,"AAAAAHNrv9g=")</f>
        <v>#REF!</v>
      </c>
      <c r="HJ18" t="e">
        <f>AND(#REF!,"AAAAAHNrv9k=")</f>
        <v>#REF!</v>
      </c>
      <c r="HK18" t="e">
        <f>AND(#REF!,"AAAAAHNrv9o=")</f>
        <v>#REF!</v>
      </c>
      <c r="HL18" t="e">
        <f>AND(#REF!,"AAAAAHNrv9s=")</f>
        <v>#REF!</v>
      </c>
      <c r="HM18" t="e">
        <f>AND(#REF!,"AAAAAHNrv9w=")</f>
        <v>#REF!</v>
      </c>
      <c r="HN18" t="e">
        <f>AND(#REF!,"AAAAAHNrv90=")</f>
        <v>#REF!</v>
      </c>
      <c r="HO18" t="e">
        <f>AND(#REF!,"AAAAAHNrv94=")</f>
        <v>#REF!</v>
      </c>
      <c r="HP18" t="e">
        <f>AND(#REF!,"AAAAAHNrv98=")</f>
        <v>#REF!</v>
      </c>
      <c r="HQ18" t="e">
        <f>IF(#REF!,"AAAAAHNrv+A=",0)</f>
        <v>#REF!</v>
      </c>
      <c r="HR18" t="e">
        <f>AND(#REF!,"AAAAAHNrv+E=")</f>
        <v>#REF!</v>
      </c>
      <c r="HS18" t="e">
        <f>AND(#REF!,"AAAAAHNrv+I=")</f>
        <v>#REF!</v>
      </c>
      <c r="HT18" t="e">
        <f>AND(#REF!,"AAAAAHNrv+M=")</f>
        <v>#REF!</v>
      </c>
      <c r="HU18" t="e">
        <f>AND(#REF!,"AAAAAHNrv+Q=")</f>
        <v>#REF!</v>
      </c>
      <c r="HV18" t="e">
        <f>AND(#REF!,"AAAAAHNrv+U=")</f>
        <v>#REF!</v>
      </c>
      <c r="HW18" t="e">
        <f>AND(#REF!,"AAAAAHNrv+Y=")</f>
        <v>#REF!</v>
      </c>
      <c r="HX18" t="e">
        <f>AND(#REF!,"AAAAAHNrv+c=")</f>
        <v>#REF!</v>
      </c>
      <c r="HY18" t="e">
        <f>AND(#REF!,"AAAAAHNrv+g=")</f>
        <v>#REF!</v>
      </c>
      <c r="HZ18" t="e">
        <f>AND(#REF!,"AAAAAHNrv+k=")</f>
        <v>#REF!</v>
      </c>
      <c r="IA18" t="e">
        <f>AND(#REF!,"AAAAAHNrv+o=")</f>
        <v>#REF!</v>
      </c>
      <c r="IB18" t="e">
        <f>AND(#REF!,"AAAAAHNrv+s=")</f>
        <v>#REF!</v>
      </c>
      <c r="IC18" t="e">
        <f>AND(#REF!,"AAAAAHNrv+w=")</f>
        <v>#REF!</v>
      </c>
      <c r="ID18" t="e">
        <f>AND(#REF!,"AAAAAHNrv+0=")</f>
        <v>#REF!</v>
      </c>
      <c r="IE18" t="e">
        <f>AND(#REF!,"AAAAAHNrv+4=")</f>
        <v>#REF!</v>
      </c>
      <c r="IF18" t="e">
        <f>AND(#REF!,"AAAAAHNrv+8=")</f>
        <v>#REF!</v>
      </c>
      <c r="IG18" t="e">
        <f>AND(#REF!,"AAAAAHNrv/A=")</f>
        <v>#REF!</v>
      </c>
      <c r="IH18" t="e">
        <f>AND(#REF!,"AAAAAHNrv/E=")</f>
        <v>#REF!</v>
      </c>
      <c r="II18" t="e">
        <f>AND(#REF!,"AAAAAHNrv/I=")</f>
        <v>#REF!</v>
      </c>
      <c r="IJ18" t="e">
        <f>AND(#REF!,"AAAAAHNrv/M=")</f>
        <v>#REF!</v>
      </c>
      <c r="IK18" t="e">
        <f>AND(#REF!,"AAAAAHNrv/Q=")</f>
        <v>#REF!</v>
      </c>
      <c r="IL18" t="e">
        <f>AND(#REF!,"AAAAAHNrv/U=")</f>
        <v>#REF!</v>
      </c>
      <c r="IM18" t="e">
        <f>AND(#REF!,"AAAAAHNrv/Y=")</f>
        <v>#REF!</v>
      </c>
      <c r="IN18" t="e">
        <f>AND(#REF!,"AAAAAHNrv/c=")</f>
        <v>#REF!</v>
      </c>
      <c r="IO18" t="e">
        <f>AND(#REF!,"AAAAAHNrv/g=")</f>
        <v>#REF!</v>
      </c>
      <c r="IP18" t="e">
        <f>AND(#REF!,"AAAAAHNrv/k=")</f>
        <v>#REF!</v>
      </c>
      <c r="IQ18" t="e">
        <f>AND(#REF!,"AAAAAHNrv/o=")</f>
        <v>#REF!</v>
      </c>
      <c r="IR18" t="e">
        <f>AND(#REF!,"AAAAAHNrv/s=")</f>
        <v>#REF!</v>
      </c>
      <c r="IS18" t="e">
        <f>AND(#REF!,"AAAAAHNrv/w=")</f>
        <v>#REF!</v>
      </c>
      <c r="IT18" t="e">
        <f>AND(#REF!,"AAAAAHNrv/0=")</f>
        <v>#REF!</v>
      </c>
      <c r="IU18" t="e">
        <f>AND(#REF!,"AAAAAHNrv/4=")</f>
        <v>#REF!</v>
      </c>
      <c r="IV18" t="e">
        <f>AND(#REF!,"AAAAAHNrv/8=")</f>
        <v>#REF!</v>
      </c>
    </row>
    <row r="19" spans="1:256" x14ac:dyDescent="0.25">
      <c r="A19" t="e">
        <f>AND(#REF!,"AAAAAHvXtwA=")</f>
        <v>#REF!</v>
      </c>
      <c r="B19" t="e">
        <f>AND(#REF!,"AAAAAHvXtwE=")</f>
        <v>#REF!</v>
      </c>
      <c r="C19" t="e">
        <f>AND(#REF!,"AAAAAHvXtwI=")</f>
        <v>#REF!</v>
      </c>
      <c r="D19" t="e">
        <f>AND(#REF!,"AAAAAHvXtwM=")</f>
        <v>#REF!</v>
      </c>
      <c r="E19" t="e">
        <f>AND(#REF!,"AAAAAHvXtwQ=")</f>
        <v>#REF!</v>
      </c>
      <c r="F19" t="e">
        <f>AND(#REF!,"AAAAAHvXtwU=")</f>
        <v>#REF!</v>
      </c>
      <c r="G19" t="e">
        <f>AND(#REF!,"AAAAAHvXtwY=")</f>
        <v>#REF!</v>
      </c>
      <c r="H19" t="e">
        <f>AND(#REF!,"AAAAAHvXtwc=")</f>
        <v>#REF!</v>
      </c>
      <c r="I19" t="e">
        <f>AND(#REF!,"AAAAAHvXtwg=")</f>
        <v>#REF!</v>
      </c>
      <c r="J19" t="e">
        <f>AND(#REF!,"AAAAAHvXtwk=")</f>
        <v>#REF!</v>
      </c>
      <c r="K19" t="e">
        <f>AND(#REF!,"AAAAAHvXtwo=")</f>
        <v>#REF!</v>
      </c>
      <c r="L19" t="e">
        <f>AND(#REF!,"AAAAAHvXtws=")</f>
        <v>#REF!</v>
      </c>
      <c r="M19" t="e">
        <f>IF(#REF!,"AAAAAHvXtww=",0)</f>
        <v>#REF!</v>
      </c>
      <c r="N19" t="e">
        <f>AND(#REF!,"AAAAAHvXtw0=")</f>
        <v>#REF!</v>
      </c>
      <c r="O19" t="e">
        <f>AND(#REF!,"AAAAAHvXtw4=")</f>
        <v>#REF!</v>
      </c>
      <c r="P19" t="e">
        <f>AND(#REF!,"AAAAAHvXtw8=")</f>
        <v>#REF!</v>
      </c>
      <c r="Q19" t="e">
        <f>AND(#REF!,"AAAAAHvXtxA=")</f>
        <v>#REF!</v>
      </c>
      <c r="R19" t="e">
        <f>AND(#REF!,"AAAAAHvXtxE=")</f>
        <v>#REF!</v>
      </c>
      <c r="S19" t="e">
        <f>AND(#REF!,"AAAAAHvXtxI=")</f>
        <v>#REF!</v>
      </c>
      <c r="T19" t="e">
        <f>AND(#REF!,"AAAAAHvXtxM=")</f>
        <v>#REF!</v>
      </c>
      <c r="U19" t="e">
        <f>AND(#REF!,"AAAAAHvXtxQ=")</f>
        <v>#REF!</v>
      </c>
      <c r="V19" t="e">
        <f>AND(#REF!,"AAAAAHvXtxU=")</f>
        <v>#REF!</v>
      </c>
      <c r="W19" t="e">
        <f>AND(#REF!,"AAAAAHvXtxY=")</f>
        <v>#REF!</v>
      </c>
      <c r="X19" t="e">
        <f>AND(#REF!,"AAAAAHvXtxc=")</f>
        <v>#REF!</v>
      </c>
      <c r="Y19" t="e">
        <f>AND(#REF!,"AAAAAHvXtxg=")</f>
        <v>#REF!</v>
      </c>
      <c r="Z19" t="e">
        <f>AND(#REF!,"AAAAAHvXtxk=")</f>
        <v>#REF!</v>
      </c>
      <c r="AA19" t="e">
        <f>AND(#REF!,"AAAAAHvXtxo=")</f>
        <v>#REF!</v>
      </c>
      <c r="AB19" t="e">
        <f>AND(#REF!,"AAAAAHvXtxs=")</f>
        <v>#REF!</v>
      </c>
      <c r="AC19" t="e">
        <f>AND(#REF!,"AAAAAHvXtxw=")</f>
        <v>#REF!</v>
      </c>
      <c r="AD19" t="e">
        <f>AND(#REF!,"AAAAAHvXtx0=")</f>
        <v>#REF!</v>
      </c>
      <c r="AE19" t="e">
        <f>AND(#REF!,"AAAAAHvXtx4=")</f>
        <v>#REF!</v>
      </c>
      <c r="AF19" t="e">
        <f>AND(#REF!,"AAAAAHvXtx8=")</f>
        <v>#REF!</v>
      </c>
      <c r="AG19" t="e">
        <f>AND(#REF!,"AAAAAHvXtyA=")</f>
        <v>#REF!</v>
      </c>
      <c r="AH19" t="e">
        <f>AND(#REF!,"AAAAAHvXtyE=")</f>
        <v>#REF!</v>
      </c>
      <c r="AI19" t="e">
        <f>AND(#REF!,"AAAAAHvXtyI=")</f>
        <v>#REF!</v>
      </c>
      <c r="AJ19" t="e">
        <f>AND(#REF!,"AAAAAHvXtyM=")</f>
        <v>#REF!</v>
      </c>
      <c r="AK19" t="e">
        <f>AND(#REF!,"AAAAAHvXtyQ=")</f>
        <v>#REF!</v>
      </c>
      <c r="AL19" t="e">
        <f>AND(#REF!,"AAAAAHvXtyU=")</f>
        <v>#REF!</v>
      </c>
      <c r="AM19" t="e">
        <f>AND(#REF!,"AAAAAHvXtyY=")</f>
        <v>#REF!</v>
      </c>
      <c r="AN19" t="e">
        <f>AND(#REF!,"AAAAAHvXtyc=")</f>
        <v>#REF!</v>
      </c>
      <c r="AO19" t="e">
        <f>AND(#REF!,"AAAAAHvXtyg=")</f>
        <v>#REF!</v>
      </c>
      <c r="AP19" t="e">
        <f>AND(#REF!,"AAAAAHvXtyk=")</f>
        <v>#REF!</v>
      </c>
      <c r="AQ19" t="e">
        <f>AND(#REF!,"AAAAAHvXtyo=")</f>
        <v>#REF!</v>
      </c>
      <c r="AR19" t="e">
        <f>AND(#REF!,"AAAAAHvXtys=")</f>
        <v>#REF!</v>
      </c>
      <c r="AS19" t="e">
        <f>AND(#REF!,"AAAAAHvXtyw=")</f>
        <v>#REF!</v>
      </c>
      <c r="AT19" t="e">
        <f>AND(#REF!,"AAAAAHvXty0=")</f>
        <v>#REF!</v>
      </c>
      <c r="AU19" t="e">
        <f>AND(#REF!,"AAAAAHvXty4=")</f>
        <v>#REF!</v>
      </c>
      <c r="AV19" t="e">
        <f>AND(#REF!,"AAAAAHvXty8=")</f>
        <v>#REF!</v>
      </c>
      <c r="AW19" t="e">
        <f>AND(#REF!,"AAAAAHvXtzA=")</f>
        <v>#REF!</v>
      </c>
      <c r="AX19" t="e">
        <f>AND(#REF!,"AAAAAHvXtzE=")</f>
        <v>#REF!</v>
      </c>
      <c r="AY19" t="e">
        <f>AND(#REF!,"AAAAAHvXtzI=")</f>
        <v>#REF!</v>
      </c>
      <c r="AZ19" t="e">
        <f>AND(#REF!,"AAAAAHvXtzM=")</f>
        <v>#REF!</v>
      </c>
      <c r="BA19" t="e">
        <f>AND(#REF!,"AAAAAHvXtzQ=")</f>
        <v>#REF!</v>
      </c>
      <c r="BB19" t="e">
        <f>AND(#REF!,"AAAAAHvXtzU=")</f>
        <v>#REF!</v>
      </c>
      <c r="BC19" t="e">
        <f>AND(#REF!,"AAAAAHvXtzY=")</f>
        <v>#REF!</v>
      </c>
      <c r="BD19" t="e">
        <f>AND(#REF!,"AAAAAHvXtzc=")</f>
        <v>#REF!</v>
      </c>
      <c r="BE19" t="e">
        <f>IF(#REF!,"AAAAAHvXtzg=",0)</f>
        <v>#REF!</v>
      </c>
      <c r="BF19" t="e">
        <f>AND(#REF!,"AAAAAHvXtzk=")</f>
        <v>#REF!</v>
      </c>
      <c r="BG19" t="e">
        <f>AND(#REF!,"AAAAAHvXtzo=")</f>
        <v>#REF!</v>
      </c>
      <c r="BH19" t="e">
        <f>AND(#REF!,"AAAAAHvXtzs=")</f>
        <v>#REF!</v>
      </c>
      <c r="BI19" t="e">
        <f>AND(#REF!,"AAAAAHvXtzw=")</f>
        <v>#REF!</v>
      </c>
      <c r="BJ19" t="e">
        <f>AND(#REF!,"AAAAAHvXtz0=")</f>
        <v>#REF!</v>
      </c>
      <c r="BK19" t="e">
        <f>AND(#REF!,"AAAAAHvXtz4=")</f>
        <v>#REF!</v>
      </c>
      <c r="BL19" t="e">
        <f>AND(#REF!,"AAAAAHvXtz8=")</f>
        <v>#REF!</v>
      </c>
      <c r="BM19" t="e">
        <f>AND(#REF!,"AAAAAHvXt0A=")</f>
        <v>#REF!</v>
      </c>
      <c r="BN19" t="e">
        <f>AND(#REF!,"AAAAAHvXt0E=")</f>
        <v>#REF!</v>
      </c>
      <c r="BO19" t="e">
        <f>AND(#REF!,"AAAAAHvXt0I=")</f>
        <v>#REF!</v>
      </c>
      <c r="BP19" t="e">
        <f>AND(#REF!,"AAAAAHvXt0M=")</f>
        <v>#REF!</v>
      </c>
      <c r="BQ19" t="e">
        <f>AND(#REF!,"AAAAAHvXt0Q=")</f>
        <v>#REF!</v>
      </c>
      <c r="BR19" t="e">
        <f>AND(#REF!,"AAAAAHvXt0U=")</f>
        <v>#REF!</v>
      </c>
      <c r="BS19" t="e">
        <f>AND(#REF!,"AAAAAHvXt0Y=")</f>
        <v>#REF!</v>
      </c>
      <c r="BT19" t="e">
        <f>AND(#REF!,"AAAAAHvXt0c=")</f>
        <v>#REF!</v>
      </c>
      <c r="BU19" t="e">
        <f>AND(#REF!,"AAAAAHvXt0g=")</f>
        <v>#REF!</v>
      </c>
      <c r="BV19" t="e">
        <f>AND(#REF!,"AAAAAHvXt0k=")</f>
        <v>#REF!</v>
      </c>
      <c r="BW19" t="e">
        <f>AND(#REF!,"AAAAAHvXt0o=")</f>
        <v>#REF!</v>
      </c>
      <c r="BX19" t="e">
        <f>AND(#REF!,"AAAAAHvXt0s=")</f>
        <v>#REF!</v>
      </c>
      <c r="BY19" t="e">
        <f>AND(#REF!,"AAAAAHvXt0w=")</f>
        <v>#REF!</v>
      </c>
      <c r="BZ19" t="e">
        <f>AND(#REF!,"AAAAAHvXt00=")</f>
        <v>#REF!</v>
      </c>
      <c r="CA19" t="e">
        <f>AND(#REF!,"AAAAAHvXt04=")</f>
        <v>#REF!</v>
      </c>
      <c r="CB19" t="e">
        <f>AND(#REF!,"AAAAAHvXt08=")</f>
        <v>#REF!</v>
      </c>
      <c r="CC19" t="e">
        <f>AND(#REF!,"AAAAAHvXt1A=")</f>
        <v>#REF!</v>
      </c>
      <c r="CD19" t="e">
        <f>AND(#REF!,"AAAAAHvXt1E=")</f>
        <v>#REF!</v>
      </c>
      <c r="CE19" t="e">
        <f>AND(#REF!,"AAAAAHvXt1I=")</f>
        <v>#REF!</v>
      </c>
      <c r="CF19" t="e">
        <f>AND(#REF!,"AAAAAHvXt1M=")</f>
        <v>#REF!</v>
      </c>
      <c r="CG19" t="e">
        <f>AND(#REF!,"AAAAAHvXt1Q=")</f>
        <v>#REF!</v>
      </c>
      <c r="CH19" t="e">
        <f>AND(#REF!,"AAAAAHvXt1U=")</f>
        <v>#REF!</v>
      </c>
      <c r="CI19" t="e">
        <f>AND(#REF!,"AAAAAHvXt1Y=")</f>
        <v>#REF!</v>
      </c>
      <c r="CJ19" t="e">
        <f>AND(#REF!,"AAAAAHvXt1c=")</f>
        <v>#REF!</v>
      </c>
      <c r="CK19" t="e">
        <f>AND(#REF!,"AAAAAHvXt1g=")</f>
        <v>#REF!</v>
      </c>
      <c r="CL19" t="e">
        <f>AND(#REF!,"AAAAAHvXt1k=")</f>
        <v>#REF!</v>
      </c>
      <c r="CM19" t="e">
        <f>AND(#REF!,"AAAAAHvXt1o=")</f>
        <v>#REF!</v>
      </c>
      <c r="CN19" t="e">
        <f>AND(#REF!,"AAAAAHvXt1s=")</f>
        <v>#REF!</v>
      </c>
      <c r="CO19" t="e">
        <f>AND(#REF!,"AAAAAHvXt1w=")</f>
        <v>#REF!</v>
      </c>
      <c r="CP19" t="e">
        <f>AND(#REF!,"AAAAAHvXt10=")</f>
        <v>#REF!</v>
      </c>
      <c r="CQ19" t="e">
        <f>AND(#REF!,"AAAAAHvXt14=")</f>
        <v>#REF!</v>
      </c>
      <c r="CR19" t="e">
        <f>AND(#REF!,"AAAAAHvXt18=")</f>
        <v>#REF!</v>
      </c>
      <c r="CS19" t="e">
        <f>AND(#REF!,"AAAAAHvXt2A=")</f>
        <v>#REF!</v>
      </c>
      <c r="CT19" t="e">
        <f>AND(#REF!,"AAAAAHvXt2E=")</f>
        <v>#REF!</v>
      </c>
      <c r="CU19" t="e">
        <f>AND(#REF!,"AAAAAHvXt2I=")</f>
        <v>#REF!</v>
      </c>
      <c r="CV19" t="e">
        <f>AND(#REF!,"AAAAAHvXt2M=")</f>
        <v>#REF!</v>
      </c>
      <c r="CW19" t="e">
        <f>IF(#REF!,"AAAAAHvXt2Q=",0)</f>
        <v>#REF!</v>
      </c>
      <c r="CX19" t="e">
        <f>AND(#REF!,"AAAAAHvXt2U=")</f>
        <v>#REF!</v>
      </c>
      <c r="CY19" t="e">
        <f>AND(#REF!,"AAAAAHvXt2Y=")</f>
        <v>#REF!</v>
      </c>
      <c r="CZ19" t="e">
        <f>AND(#REF!,"AAAAAHvXt2c=")</f>
        <v>#REF!</v>
      </c>
      <c r="DA19" t="e">
        <f>AND(#REF!,"AAAAAHvXt2g=")</f>
        <v>#REF!</v>
      </c>
      <c r="DB19" t="e">
        <f>AND(#REF!,"AAAAAHvXt2k=")</f>
        <v>#REF!</v>
      </c>
      <c r="DC19" t="e">
        <f>AND(#REF!,"AAAAAHvXt2o=")</f>
        <v>#REF!</v>
      </c>
      <c r="DD19" t="e">
        <f>AND(#REF!,"AAAAAHvXt2s=")</f>
        <v>#REF!</v>
      </c>
      <c r="DE19" t="e">
        <f>AND(#REF!,"AAAAAHvXt2w=")</f>
        <v>#REF!</v>
      </c>
      <c r="DF19" t="e">
        <f>AND(#REF!,"AAAAAHvXt20=")</f>
        <v>#REF!</v>
      </c>
      <c r="DG19" t="e">
        <f>AND(#REF!,"AAAAAHvXt24=")</f>
        <v>#REF!</v>
      </c>
      <c r="DH19" t="e">
        <f>AND(#REF!,"AAAAAHvXt28=")</f>
        <v>#REF!</v>
      </c>
      <c r="DI19" t="e">
        <f>AND(#REF!,"AAAAAHvXt3A=")</f>
        <v>#REF!</v>
      </c>
      <c r="DJ19" t="e">
        <f>AND(#REF!,"AAAAAHvXt3E=")</f>
        <v>#REF!</v>
      </c>
      <c r="DK19" t="e">
        <f>AND(#REF!,"AAAAAHvXt3I=")</f>
        <v>#REF!</v>
      </c>
      <c r="DL19" t="e">
        <f>AND(#REF!,"AAAAAHvXt3M=")</f>
        <v>#REF!</v>
      </c>
      <c r="DM19" t="e">
        <f>AND(#REF!,"AAAAAHvXt3Q=")</f>
        <v>#REF!</v>
      </c>
      <c r="DN19" t="e">
        <f>AND(#REF!,"AAAAAHvXt3U=")</f>
        <v>#REF!</v>
      </c>
      <c r="DO19" t="e">
        <f>AND(#REF!,"AAAAAHvXt3Y=")</f>
        <v>#REF!</v>
      </c>
      <c r="DP19" t="e">
        <f>AND(#REF!,"AAAAAHvXt3c=")</f>
        <v>#REF!</v>
      </c>
      <c r="DQ19" t="e">
        <f>AND(#REF!,"AAAAAHvXt3g=")</f>
        <v>#REF!</v>
      </c>
      <c r="DR19" t="e">
        <f>AND(#REF!,"AAAAAHvXt3k=")</f>
        <v>#REF!</v>
      </c>
      <c r="DS19" t="e">
        <f>AND(#REF!,"AAAAAHvXt3o=")</f>
        <v>#REF!</v>
      </c>
      <c r="DT19" t="e">
        <f>AND(#REF!,"AAAAAHvXt3s=")</f>
        <v>#REF!</v>
      </c>
      <c r="DU19" t="e">
        <f>AND(#REF!,"AAAAAHvXt3w=")</f>
        <v>#REF!</v>
      </c>
      <c r="DV19" t="e">
        <f>AND(#REF!,"AAAAAHvXt30=")</f>
        <v>#REF!</v>
      </c>
      <c r="DW19" t="e">
        <f>AND(#REF!,"AAAAAHvXt34=")</f>
        <v>#REF!</v>
      </c>
      <c r="DX19" t="e">
        <f>AND(#REF!,"AAAAAHvXt38=")</f>
        <v>#REF!</v>
      </c>
      <c r="DY19" t="e">
        <f>AND(#REF!,"AAAAAHvXt4A=")</f>
        <v>#REF!</v>
      </c>
      <c r="DZ19" t="e">
        <f>AND(#REF!,"AAAAAHvXt4E=")</f>
        <v>#REF!</v>
      </c>
      <c r="EA19" t="e">
        <f>AND(#REF!,"AAAAAHvXt4I=")</f>
        <v>#REF!</v>
      </c>
      <c r="EB19" t="e">
        <f>AND(#REF!,"AAAAAHvXt4M=")</f>
        <v>#REF!</v>
      </c>
      <c r="EC19" t="e">
        <f>AND(#REF!,"AAAAAHvXt4Q=")</f>
        <v>#REF!</v>
      </c>
      <c r="ED19" t="e">
        <f>AND(#REF!,"AAAAAHvXt4U=")</f>
        <v>#REF!</v>
      </c>
      <c r="EE19" t="e">
        <f>AND(#REF!,"AAAAAHvXt4Y=")</f>
        <v>#REF!</v>
      </c>
      <c r="EF19" t="e">
        <f>AND(#REF!,"AAAAAHvXt4c=")</f>
        <v>#REF!</v>
      </c>
      <c r="EG19" t="e">
        <f>AND(#REF!,"AAAAAHvXt4g=")</f>
        <v>#REF!</v>
      </c>
      <c r="EH19" t="e">
        <f>AND(#REF!,"AAAAAHvXt4k=")</f>
        <v>#REF!</v>
      </c>
      <c r="EI19" t="e">
        <f>AND(#REF!,"AAAAAHvXt4o=")</f>
        <v>#REF!</v>
      </c>
      <c r="EJ19" t="e">
        <f>AND(#REF!,"AAAAAHvXt4s=")</f>
        <v>#REF!</v>
      </c>
      <c r="EK19" t="e">
        <f>AND(#REF!,"AAAAAHvXt4w=")</f>
        <v>#REF!</v>
      </c>
      <c r="EL19" t="e">
        <f>AND(#REF!,"AAAAAHvXt40=")</f>
        <v>#REF!</v>
      </c>
      <c r="EM19" t="e">
        <f>AND(#REF!,"AAAAAHvXt44=")</f>
        <v>#REF!</v>
      </c>
      <c r="EN19" t="e">
        <f>AND(#REF!,"AAAAAHvXt48=")</f>
        <v>#REF!</v>
      </c>
      <c r="EO19" t="e">
        <f>IF(#REF!,"AAAAAHvXt5A=",0)</f>
        <v>#REF!</v>
      </c>
      <c r="EP19" t="e">
        <f>AND(#REF!,"AAAAAHvXt5E=")</f>
        <v>#REF!</v>
      </c>
      <c r="EQ19" t="e">
        <f>AND(#REF!,"AAAAAHvXt5I=")</f>
        <v>#REF!</v>
      </c>
      <c r="ER19" t="e">
        <f>AND(#REF!,"AAAAAHvXt5M=")</f>
        <v>#REF!</v>
      </c>
      <c r="ES19" t="e">
        <f>AND(#REF!,"AAAAAHvXt5Q=")</f>
        <v>#REF!</v>
      </c>
      <c r="ET19" t="e">
        <f>AND(#REF!,"AAAAAHvXt5U=")</f>
        <v>#REF!</v>
      </c>
      <c r="EU19" t="e">
        <f>AND(#REF!,"AAAAAHvXt5Y=")</f>
        <v>#REF!</v>
      </c>
      <c r="EV19" t="e">
        <f>AND(#REF!,"AAAAAHvXt5c=")</f>
        <v>#REF!</v>
      </c>
      <c r="EW19" t="e">
        <f>AND(#REF!,"AAAAAHvXt5g=")</f>
        <v>#REF!</v>
      </c>
      <c r="EX19" t="e">
        <f>AND(#REF!,"AAAAAHvXt5k=")</f>
        <v>#REF!</v>
      </c>
      <c r="EY19" t="e">
        <f>AND(#REF!,"AAAAAHvXt5o=")</f>
        <v>#REF!</v>
      </c>
      <c r="EZ19" t="e">
        <f>AND(#REF!,"AAAAAHvXt5s=")</f>
        <v>#REF!</v>
      </c>
      <c r="FA19" t="e">
        <f>AND(#REF!,"AAAAAHvXt5w=")</f>
        <v>#REF!</v>
      </c>
      <c r="FB19" t="e">
        <f>AND(#REF!,"AAAAAHvXt50=")</f>
        <v>#REF!</v>
      </c>
      <c r="FC19" t="e">
        <f>AND(#REF!,"AAAAAHvXt54=")</f>
        <v>#REF!</v>
      </c>
      <c r="FD19" t="e">
        <f>AND(#REF!,"AAAAAHvXt58=")</f>
        <v>#REF!</v>
      </c>
      <c r="FE19" t="e">
        <f>AND(#REF!,"AAAAAHvXt6A=")</f>
        <v>#REF!</v>
      </c>
      <c r="FF19" t="e">
        <f>AND(#REF!,"AAAAAHvXt6E=")</f>
        <v>#REF!</v>
      </c>
      <c r="FG19" t="e">
        <f>AND(#REF!,"AAAAAHvXt6I=")</f>
        <v>#REF!</v>
      </c>
      <c r="FH19" t="e">
        <f>AND(#REF!,"AAAAAHvXt6M=")</f>
        <v>#REF!</v>
      </c>
      <c r="FI19" t="e">
        <f>AND(#REF!,"AAAAAHvXt6Q=")</f>
        <v>#REF!</v>
      </c>
      <c r="FJ19" t="e">
        <f>AND(#REF!,"AAAAAHvXt6U=")</f>
        <v>#REF!</v>
      </c>
      <c r="FK19" t="e">
        <f>AND(#REF!,"AAAAAHvXt6Y=")</f>
        <v>#REF!</v>
      </c>
      <c r="FL19" t="e">
        <f>AND(#REF!,"AAAAAHvXt6c=")</f>
        <v>#REF!</v>
      </c>
      <c r="FM19" t="e">
        <f>AND(#REF!,"AAAAAHvXt6g=")</f>
        <v>#REF!</v>
      </c>
      <c r="FN19" t="e">
        <f>AND(#REF!,"AAAAAHvXt6k=")</f>
        <v>#REF!</v>
      </c>
      <c r="FO19" t="e">
        <f>AND(#REF!,"AAAAAHvXt6o=")</f>
        <v>#REF!</v>
      </c>
      <c r="FP19" t="e">
        <f>AND(#REF!,"AAAAAHvXt6s=")</f>
        <v>#REF!</v>
      </c>
      <c r="FQ19" t="e">
        <f>AND(#REF!,"AAAAAHvXt6w=")</f>
        <v>#REF!</v>
      </c>
      <c r="FR19" t="e">
        <f>AND(#REF!,"AAAAAHvXt60=")</f>
        <v>#REF!</v>
      </c>
      <c r="FS19" t="e">
        <f>AND(#REF!,"AAAAAHvXt64=")</f>
        <v>#REF!</v>
      </c>
      <c r="FT19" t="e">
        <f>AND(#REF!,"AAAAAHvXt68=")</f>
        <v>#REF!</v>
      </c>
      <c r="FU19" t="e">
        <f>AND(#REF!,"AAAAAHvXt7A=")</f>
        <v>#REF!</v>
      </c>
      <c r="FV19" t="e">
        <f>AND(#REF!,"AAAAAHvXt7E=")</f>
        <v>#REF!</v>
      </c>
      <c r="FW19" t="e">
        <f>AND(#REF!,"AAAAAHvXt7I=")</f>
        <v>#REF!</v>
      </c>
      <c r="FX19" t="e">
        <f>AND(#REF!,"AAAAAHvXt7M=")</f>
        <v>#REF!</v>
      </c>
      <c r="FY19" t="e">
        <f>AND(#REF!,"AAAAAHvXt7Q=")</f>
        <v>#REF!</v>
      </c>
      <c r="FZ19" t="e">
        <f>AND(#REF!,"AAAAAHvXt7U=")</f>
        <v>#REF!</v>
      </c>
      <c r="GA19" t="e">
        <f>AND(#REF!,"AAAAAHvXt7Y=")</f>
        <v>#REF!</v>
      </c>
      <c r="GB19" t="e">
        <f>AND(#REF!,"AAAAAHvXt7c=")</f>
        <v>#REF!</v>
      </c>
      <c r="GC19" t="e">
        <f>AND(#REF!,"AAAAAHvXt7g=")</f>
        <v>#REF!</v>
      </c>
      <c r="GD19" t="e">
        <f>AND(#REF!,"AAAAAHvXt7k=")</f>
        <v>#REF!</v>
      </c>
      <c r="GE19" t="e">
        <f>AND(#REF!,"AAAAAHvXt7o=")</f>
        <v>#REF!</v>
      </c>
      <c r="GF19" t="e">
        <f>AND(#REF!,"AAAAAHvXt7s=")</f>
        <v>#REF!</v>
      </c>
      <c r="GG19" t="e">
        <f>IF(#REF!,"AAAAAHvXt7w=",0)</f>
        <v>#REF!</v>
      </c>
      <c r="GH19" t="e">
        <f>AND(#REF!,"AAAAAHvXt70=")</f>
        <v>#REF!</v>
      </c>
      <c r="GI19" t="e">
        <f>AND(#REF!,"AAAAAHvXt74=")</f>
        <v>#REF!</v>
      </c>
      <c r="GJ19" t="e">
        <f>AND(#REF!,"AAAAAHvXt78=")</f>
        <v>#REF!</v>
      </c>
      <c r="GK19" t="e">
        <f>AND(#REF!,"AAAAAHvXt8A=")</f>
        <v>#REF!</v>
      </c>
      <c r="GL19" t="e">
        <f>AND(#REF!,"AAAAAHvXt8E=")</f>
        <v>#REF!</v>
      </c>
      <c r="GM19" t="e">
        <f>AND(#REF!,"AAAAAHvXt8I=")</f>
        <v>#REF!</v>
      </c>
      <c r="GN19" t="e">
        <f>AND(#REF!,"AAAAAHvXt8M=")</f>
        <v>#REF!</v>
      </c>
      <c r="GO19" t="e">
        <f>AND(#REF!,"AAAAAHvXt8Q=")</f>
        <v>#REF!</v>
      </c>
      <c r="GP19" t="e">
        <f>AND(#REF!,"AAAAAHvXt8U=")</f>
        <v>#REF!</v>
      </c>
      <c r="GQ19" t="e">
        <f>AND(#REF!,"AAAAAHvXt8Y=")</f>
        <v>#REF!</v>
      </c>
      <c r="GR19" t="e">
        <f>AND(#REF!,"AAAAAHvXt8c=")</f>
        <v>#REF!</v>
      </c>
      <c r="GS19" t="e">
        <f>AND(#REF!,"AAAAAHvXt8g=")</f>
        <v>#REF!</v>
      </c>
      <c r="GT19" t="e">
        <f>AND(#REF!,"AAAAAHvXt8k=")</f>
        <v>#REF!</v>
      </c>
      <c r="GU19" t="e">
        <f>AND(#REF!,"AAAAAHvXt8o=")</f>
        <v>#REF!</v>
      </c>
      <c r="GV19" t="e">
        <f>AND(#REF!,"AAAAAHvXt8s=")</f>
        <v>#REF!</v>
      </c>
      <c r="GW19" t="e">
        <f>AND(#REF!,"AAAAAHvXt8w=")</f>
        <v>#REF!</v>
      </c>
      <c r="GX19" t="e">
        <f>AND(#REF!,"AAAAAHvXt80=")</f>
        <v>#REF!</v>
      </c>
      <c r="GY19" t="e">
        <f>AND(#REF!,"AAAAAHvXt84=")</f>
        <v>#REF!</v>
      </c>
      <c r="GZ19" t="e">
        <f>AND(#REF!,"AAAAAHvXt88=")</f>
        <v>#REF!</v>
      </c>
      <c r="HA19" t="e">
        <f>AND(#REF!,"AAAAAHvXt9A=")</f>
        <v>#REF!</v>
      </c>
      <c r="HB19" t="e">
        <f>AND(#REF!,"AAAAAHvXt9E=")</f>
        <v>#REF!</v>
      </c>
      <c r="HC19" t="e">
        <f>AND(#REF!,"AAAAAHvXt9I=")</f>
        <v>#REF!</v>
      </c>
      <c r="HD19" t="e">
        <f>AND(#REF!,"AAAAAHvXt9M=")</f>
        <v>#REF!</v>
      </c>
      <c r="HE19" t="e">
        <f>AND(#REF!,"AAAAAHvXt9Q=")</f>
        <v>#REF!</v>
      </c>
      <c r="HF19" t="e">
        <f>AND(#REF!,"AAAAAHvXt9U=")</f>
        <v>#REF!</v>
      </c>
      <c r="HG19" t="e">
        <f>AND(#REF!,"AAAAAHvXt9Y=")</f>
        <v>#REF!</v>
      </c>
      <c r="HH19" t="e">
        <f>AND(#REF!,"AAAAAHvXt9c=")</f>
        <v>#REF!</v>
      </c>
      <c r="HI19" t="e">
        <f>AND(#REF!,"AAAAAHvXt9g=")</f>
        <v>#REF!</v>
      </c>
      <c r="HJ19" t="e">
        <f>AND(#REF!,"AAAAAHvXt9k=")</f>
        <v>#REF!</v>
      </c>
      <c r="HK19" t="e">
        <f>AND(#REF!,"AAAAAHvXt9o=")</f>
        <v>#REF!</v>
      </c>
      <c r="HL19" t="e">
        <f>AND(#REF!,"AAAAAHvXt9s=")</f>
        <v>#REF!</v>
      </c>
      <c r="HM19" t="e">
        <f>AND(#REF!,"AAAAAHvXt9w=")</f>
        <v>#REF!</v>
      </c>
      <c r="HN19" t="e">
        <f>AND(#REF!,"AAAAAHvXt90=")</f>
        <v>#REF!</v>
      </c>
      <c r="HO19" t="e">
        <f>AND(#REF!,"AAAAAHvXt94=")</f>
        <v>#REF!</v>
      </c>
      <c r="HP19" t="e">
        <f>AND(#REF!,"AAAAAHvXt98=")</f>
        <v>#REF!</v>
      </c>
      <c r="HQ19" t="e">
        <f>AND(#REF!,"AAAAAHvXt+A=")</f>
        <v>#REF!</v>
      </c>
      <c r="HR19" t="e">
        <f>AND(#REF!,"AAAAAHvXt+E=")</f>
        <v>#REF!</v>
      </c>
      <c r="HS19" t="e">
        <f>AND(#REF!,"AAAAAHvXt+I=")</f>
        <v>#REF!</v>
      </c>
      <c r="HT19" t="e">
        <f>AND(#REF!,"AAAAAHvXt+M=")</f>
        <v>#REF!</v>
      </c>
      <c r="HU19" t="e">
        <f>AND(#REF!,"AAAAAHvXt+Q=")</f>
        <v>#REF!</v>
      </c>
      <c r="HV19" t="e">
        <f>AND(#REF!,"AAAAAHvXt+U=")</f>
        <v>#REF!</v>
      </c>
      <c r="HW19" t="e">
        <f>AND(#REF!,"AAAAAHvXt+Y=")</f>
        <v>#REF!</v>
      </c>
      <c r="HX19" t="e">
        <f>AND(#REF!,"AAAAAHvXt+c=")</f>
        <v>#REF!</v>
      </c>
      <c r="HY19" t="e">
        <f>IF(#REF!,"AAAAAHvXt+g=",0)</f>
        <v>#REF!</v>
      </c>
      <c r="HZ19" t="e">
        <f>AND(#REF!,"AAAAAHvXt+k=")</f>
        <v>#REF!</v>
      </c>
      <c r="IA19" t="e">
        <f>AND(#REF!,"AAAAAHvXt+o=")</f>
        <v>#REF!</v>
      </c>
      <c r="IB19" t="e">
        <f>AND(#REF!,"AAAAAHvXt+s=")</f>
        <v>#REF!</v>
      </c>
      <c r="IC19" t="e">
        <f>AND(#REF!,"AAAAAHvXt+w=")</f>
        <v>#REF!</v>
      </c>
      <c r="ID19" t="e">
        <f>AND(#REF!,"AAAAAHvXt+0=")</f>
        <v>#REF!</v>
      </c>
      <c r="IE19" t="e">
        <f>AND(#REF!,"AAAAAHvXt+4=")</f>
        <v>#REF!</v>
      </c>
      <c r="IF19" t="e">
        <f>AND(#REF!,"AAAAAHvXt+8=")</f>
        <v>#REF!</v>
      </c>
      <c r="IG19" t="e">
        <f>AND(#REF!,"AAAAAHvXt/A=")</f>
        <v>#REF!</v>
      </c>
      <c r="IH19" t="e">
        <f>AND(#REF!,"AAAAAHvXt/E=")</f>
        <v>#REF!</v>
      </c>
      <c r="II19" t="e">
        <f>AND(#REF!,"AAAAAHvXt/I=")</f>
        <v>#REF!</v>
      </c>
      <c r="IJ19" t="e">
        <f>AND(#REF!,"AAAAAHvXt/M=")</f>
        <v>#REF!</v>
      </c>
      <c r="IK19" t="e">
        <f>AND(#REF!,"AAAAAHvXt/Q=")</f>
        <v>#REF!</v>
      </c>
      <c r="IL19" t="e">
        <f>AND(#REF!,"AAAAAHvXt/U=")</f>
        <v>#REF!</v>
      </c>
      <c r="IM19" t="e">
        <f>AND(#REF!,"AAAAAHvXt/Y=")</f>
        <v>#REF!</v>
      </c>
      <c r="IN19" t="e">
        <f>AND(#REF!,"AAAAAHvXt/c=")</f>
        <v>#REF!</v>
      </c>
      <c r="IO19" t="e">
        <f>AND(#REF!,"AAAAAHvXt/g=")</f>
        <v>#REF!</v>
      </c>
      <c r="IP19" t="e">
        <f>AND(#REF!,"AAAAAHvXt/k=")</f>
        <v>#REF!</v>
      </c>
      <c r="IQ19" t="e">
        <f>AND(#REF!,"AAAAAHvXt/o=")</f>
        <v>#REF!</v>
      </c>
      <c r="IR19" t="e">
        <f>AND(#REF!,"AAAAAHvXt/s=")</f>
        <v>#REF!</v>
      </c>
      <c r="IS19" t="e">
        <f>AND(#REF!,"AAAAAHvXt/w=")</f>
        <v>#REF!</v>
      </c>
      <c r="IT19" t="e">
        <f>AND(#REF!,"AAAAAHvXt/0=")</f>
        <v>#REF!</v>
      </c>
      <c r="IU19" t="e">
        <f>AND(#REF!,"AAAAAHvXt/4=")</f>
        <v>#REF!</v>
      </c>
      <c r="IV19" t="e">
        <f>AND(#REF!,"AAAAAHvXt/8=")</f>
        <v>#REF!</v>
      </c>
    </row>
    <row r="20" spans="1:256" x14ac:dyDescent="0.25">
      <c r="A20" t="e">
        <f>AND(#REF!,"AAAAADn8XwA=")</f>
        <v>#REF!</v>
      </c>
      <c r="B20" t="e">
        <f>AND(#REF!,"AAAAADn8XwE=")</f>
        <v>#REF!</v>
      </c>
      <c r="C20" t="e">
        <f>AND(#REF!,"AAAAADn8XwI=")</f>
        <v>#REF!</v>
      </c>
      <c r="D20" t="e">
        <f>AND(#REF!,"AAAAADn8XwM=")</f>
        <v>#REF!</v>
      </c>
      <c r="E20" t="e">
        <f>AND(#REF!,"AAAAADn8XwQ=")</f>
        <v>#REF!</v>
      </c>
      <c r="F20" t="e">
        <f>AND(#REF!,"AAAAADn8XwU=")</f>
        <v>#REF!</v>
      </c>
      <c r="G20" t="e">
        <f>AND(#REF!,"AAAAADn8XwY=")</f>
        <v>#REF!</v>
      </c>
      <c r="H20" t="e">
        <f>AND(#REF!,"AAAAADn8Xwc=")</f>
        <v>#REF!</v>
      </c>
      <c r="I20" t="e">
        <f>AND(#REF!,"AAAAADn8Xwg=")</f>
        <v>#REF!</v>
      </c>
      <c r="J20" t="e">
        <f>AND(#REF!,"AAAAADn8Xwk=")</f>
        <v>#REF!</v>
      </c>
      <c r="K20" t="e">
        <f>AND(#REF!,"AAAAADn8Xwo=")</f>
        <v>#REF!</v>
      </c>
      <c r="L20" t="e">
        <f>AND(#REF!,"AAAAADn8Xws=")</f>
        <v>#REF!</v>
      </c>
      <c r="M20" t="e">
        <f>AND(#REF!,"AAAAADn8Xww=")</f>
        <v>#REF!</v>
      </c>
      <c r="N20" t="e">
        <f>AND(#REF!,"AAAAADn8Xw0=")</f>
        <v>#REF!</v>
      </c>
      <c r="O20" t="e">
        <f>AND(#REF!,"AAAAADn8Xw4=")</f>
        <v>#REF!</v>
      </c>
      <c r="P20" t="e">
        <f>AND(#REF!,"AAAAADn8Xw8=")</f>
        <v>#REF!</v>
      </c>
      <c r="Q20" t="e">
        <f>AND(#REF!,"AAAAADn8XxA=")</f>
        <v>#REF!</v>
      </c>
      <c r="R20" t="e">
        <f>AND(#REF!,"AAAAADn8XxE=")</f>
        <v>#REF!</v>
      </c>
      <c r="S20" t="e">
        <f>AND(#REF!,"AAAAADn8XxI=")</f>
        <v>#REF!</v>
      </c>
      <c r="T20" t="e">
        <f>AND(#REF!,"AAAAADn8XxM=")</f>
        <v>#REF!</v>
      </c>
      <c r="U20" t="e">
        <f>IF(#REF!,"AAAAADn8XxQ=",0)</f>
        <v>#REF!</v>
      </c>
      <c r="V20" t="e">
        <f>AND(#REF!,"AAAAADn8XxU=")</f>
        <v>#REF!</v>
      </c>
      <c r="W20" t="e">
        <f>AND(#REF!,"AAAAADn8XxY=")</f>
        <v>#REF!</v>
      </c>
      <c r="X20" t="e">
        <f>AND(#REF!,"AAAAADn8Xxc=")</f>
        <v>#REF!</v>
      </c>
      <c r="Y20" t="e">
        <f>AND(#REF!,"AAAAADn8Xxg=")</f>
        <v>#REF!</v>
      </c>
      <c r="Z20" t="e">
        <f>AND(#REF!,"AAAAADn8Xxk=")</f>
        <v>#REF!</v>
      </c>
      <c r="AA20" t="e">
        <f>AND(#REF!,"AAAAADn8Xxo=")</f>
        <v>#REF!</v>
      </c>
      <c r="AB20" t="e">
        <f>AND(#REF!,"AAAAADn8Xxs=")</f>
        <v>#REF!</v>
      </c>
      <c r="AC20" t="e">
        <f>AND(#REF!,"AAAAADn8Xxw=")</f>
        <v>#REF!</v>
      </c>
      <c r="AD20" t="e">
        <f>AND(#REF!,"AAAAADn8Xx0=")</f>
        <v>#REF!</v>
      </c>
      <c r="AE20" t="e">
        <f>AND(#REF!,"AAAAADn8Xx4=")</f>
        <v>#REF!</v>
      </c>
      <c r="AF20" t="e">
        <f>AND(#REF!,"AAAAADn8Xx8=")</f>
        <v>#REF!</v>
      </c>
      <c r="AG20" t="e">
        <f>AND(#REF!,"AAAAADn8XyA=")</f>
        <v>#REF!</v>
      </c>
      <c r="AH20" t="e">
        <f>AND(#REF!,"AAAAADn8XyE=")</f>
        <v>#REF!</v>
      </c>
      <c r="AI20" t="e">
        <f>AND(#REF!,"AAAAADn8XyI=")</f>
        <v>#REF!</v>
      </c>
      <c r="AJ20" t="e">
        <f>AND(#REF!,"AAAAADn8XyM=")</f>
        <v>#REF!</v>
      </c>
      <c r="AK20" t="e">
        <f>AND(#REF!,"AAAAADn8XyQ=")</f>
        <v>#REF!</v>
      </c>
      <c r="AL20" t="e">
        <f>AND(#REF!,"AAAAADn8XyU=")</f>
        <v>#REF!</v>
      </c>
      <c r="AM20" t="e">
        <f>AND(#REF!,"AAAAADn8XyY=")</f>
        <v>#REF!</v>
      </c>
      <c r="AN20" t="e">
        <f>AND(#REF!,"AAAAADn8Xyc=")</f>
        <v>#REF!</v>
      </c>
      <c r="AO20" t="e">
        <f>AND(#REF!,"AAAAADn8Xyg=")</f>
        <v>#REF!</v>
      </c>
      <c r="AP20" t="e">
        <f>AND(#REF!,"AAAAADn8Xyk=")</f>
        <v>#REF!</v>
      </c>
      <c r="AQ20" t="e">
        <f>AND(#REF!,"AAAAADn8Xyo=")</f>
        <v>#REF!</v>
      </c>
      <c r="AR20" t="e">
        <f>AND(#REF!,"AAAAADn8Xys=")</f>
        <v>#REF!</v>
      </c>
      <c r="AS20" t="e">
        <f>AND(#REF!,"AAAAADn8Xyw=")</f>
        <v>#REF!</v>
      </c>
      <c r="AT20" t="e">
        <f>AND(#REF!,"AAAAADn8Xy0=")</f>
        <v>#REF!</v>
      </c>
      <c r="AU20" t="e">
        <f>AND(#REF!,"AAAAADn8Xy4=")</f>
        <v>#REF!</v>
      </c>
      <c r="AV20" t="e">
        <f>AND(#REF!,"AAAAADn8Xy8=")</f>
        <v>#REF!</v>
      </c>
      <c r="AW20" t="e">
        <f>AND(#REF!,"AAAAADn8XzA=")</f>
        <v>#REF!</v>
      </c>
      <c r="AX20" t="e">
        <f>AND(#REF!,"AAAAADn8XzE=")</f>
        <v>#REF!</v>
      </c>
      <c r="AY20" t="e">
        <f>AND(#REF!,"AAAAADn8XzI=")</f>
        <v>#REF!</v>
      </c>
      <c r="AZ20" t="e">
        <f>AND(#REF!,"AAAAADn8XzM=")</f>
        <v>#REF!</v>
      </c>
      <c r="BA20" t="e">
        <f>AND(#REF!,"AAAAADn8XzQ=")</f>
        <v>#REF!</v>
      </c>
      <c r="BB20" t="e">
        <f>AND(#REF!,"AAAAADn8XzU=")</f>
        <v>#REF!</v>
      </c>
      <c r="BC20" t="e">
        <f>AND(#REF!,"AAAAADn8XzY=")</f>
        <v>#REF!</v>
      </c>
      <c r="BD20" t="e">
        <f>AND(#REF!,"AAAAADn8Xzc=")</f>
        <v>#REF!</v>
      </c>
      <c r="BE20" t="e">
        <f>AND(#REF!,"AAAAADn8Xzg=")</f>
        <v>#REF!</v>
      </c>
      <c r="BF20" t="e">
        <f>AND(#REF!,"AAAAADn8Xzk=")</f>
        <v>#REF!</v>
      </c>
      <c r="BG20" t="e">
        <f>AND(#REF!,"AAAAADn8Xzo=")</f>
        <v>#REF!</v>
      </c>
      <c r="BH20" t="e">
        <f>AND(#REF!,"AAAAADn8Xzs=")</f>
        <v>#REF!</v>
      </c>
      <c r="BI20" t="e">
        <f>AND(#REF!,"AAAAADn8Xzw=")</f>
        <v>#REF!</v>
      </c>
      <c r="BJ20" t="e">
        <f>AND(#REF!,"AAAAADn8Xz0=")</f>
        <v>#REF!</v>
      </c>
      <c r="BK20" t="e">
        <f>AND(#REF!,"AAAAADn8Xz4=")</f>
        <v>#REF!</v>
      </c>
      <c r="BL20" t="e">
        <f>AND(#REF!,"AAAAADn8Xz8=")</f>
        <v>#REF!</v>
      </c>
      <c r="BM20" t="e">
        <f>IF(#REF!,"AAAAADn8X0A=",0)</f>
        <v>#REF!</v>
      </c>
      <c r="BN20" t="e">
        <f>AND(#REF!,"AAAAADn8X0E=")</f>
        <v>#REF!</v>
      </c>
      <c r="BO20" t="e">
        <f>AND(#REF!,"AAAAADn8X0I=")</f>
        <v>#REF!</v>
      </c>
      <c r="BP20" t="e">
        <f>AND(#REF!,"AAAAADn8X0M=")</f>
        <v>#REF!</v>
      </c>
      <c r="BQ20" t="e">
        <f>AND(#REF!,"AAAAADn8X0Q=")</f>
        <v>#REF!</v>
      </c>
      <c r="BR20" t="e">
        <f>AND(#REF!,"AAAAADn8X0U=")</f>
        <v>#REF!</v>
      </c>
      <c r="BS20" t="e">
        <f>AND(#REF!,"AAAAADn8X0Y=")</f>
        <v>#REF!</v>
      </c>
      <c r="BT20" t="e">
        <f>AND(#REF!,"AAAAADn8X0c=")</f>
        <v>#REF!</v>
      </c>
      <c r="BU20" t="e">
        <f>AND(#REF!,"AAAAADn8X0g=")</f>
        <v>#REF!</v>
      </c>
      <c r="BV20" t="e">
        <f>AND(#REF!,"AAAAADn8X0k=")</f>
        <v>#REF!</v>
      </c>
      <c r="BW20" t="e">
        <f>AND(#REF!,"AAAAADn8X0o=")</f>
        <v>#REF!</v>
      </c>
      <c r="BX20" t="e">
        <f>AND(#REF!,"AAAAADn8X0s=")</f>
        <v>#REF!</v>
      </c>
      <c r="BY20" t="e">
        <f>AND(#REF!,"AAAAADn8X0w=")</f>
        <v>#REF!</v>
      </c>
      <c r="BZ20" t="e">
        <f>AND(#REF!,"AAAAADn8X00=")</f>
        <v>#REF!</v>
      </c>
      <c r="CA20" t="e">
        <f>AND(#REF!,"AAAAADn8X04=")</f>
        <v>#REF!</v>
      </c>
      <c r="CB20" t="e">
        <f>AND(#REF!,"AAAAADn8X08=")</f>
        <v>#REF!</v>
      </c>
      <c r="CC20" t="e">
        <f>AND(#REF!,"AAAAADn8X1A=")</f>
        <v>#REF!</v>
      </c>
      <c r="CD20" t="e">
        <f>AND(#REF!,"AAAAADn8X1E=")</f>
        <v>#REF!</v>
      </c>
      <c r="CE20" t="e">
        <f>AND(#REF!,"AAAAADn8X1I=")</f>
        <v>#REF!</v>
      </c>
      <c r="CF20" t="e">
        <f>AND(#REF!,"AAAAADn8X1M=")</f>
        <v>#REF!</v>
      </c>
      <c r="CG20" t="e">
        <f>AND(#REF!,"AAAAADn8X1Q=")</f>
        <v>#REF!</v>
      </c>
      <c r="CH20" t="e">
        <f>AND(#REF!,"AAAAADn8X1U=")</f>
        <v>#REF!</v>
      </c>
      <c r="CI20" t="e">
        <f>AND(#REF!,"AAAAADn8X1Y=")</f>
        <v>#REF!</v>
      </c>
      <c r="CJ20" t="e">
        <f>AND(#REF!,"AAAAADn8X1c=")</f>
        <v>#REF!</v>
      </c>
      <c r="CK20" t="e">
        <f>AND(#REF!,"AAAAADn8X1g=")</f>
        <v>#REF!</v>
      </c>
      <c r="CL20" t="e">
        <f>AND(#REF!,"AAAAADn8X1k=")</f>
        <v>#REF!</v>
      </c>
      <c r="CM20" t="e">
        <f>AND(#REF!,"AAAAADn8X1o=")</f>
        <v>#REF!</v>
      </c>
      <c r="CN20" t="e">
        <f>AND(#REF!,"AAAAADn8X1s=")</f>
        <v>#REF!</v>
      </c>
      <c r="CO20" t="e">
        <f>AND(#REF!,"AAAAADn8X1w=")</f>
        <v>#REF!</v>
      </c>
      <c r="CP20" t="e">
        <f>AND(#REF!,"AAAAADn8X10=")</f>
        <v>#REF!</v>
      </c>
      <c r="CQ20" t="e">
        <f>AND(#REF!,"AAAAADn8X14=")</f>
        <v>#REF!</v>
      </c>
      <c r="CR20" t="e">
        <f>AND(#REF!,"AAAAADn8X18=")</f>
        <v>#REF!</v>
      </c>
      <c r="CS20" t="e">
        <f>AND(#REF!,"AAAAADn8X2A=")</f>
        <v>#REF!</v>
      </c>
      <c r="CT20" t="e">
        <f>AND(#REF!,"AAAAADn8X2E=")</f>
        <v>#REF!</v>
      </c>
      <c r="CU20" t="e">
        <f>AND(#REF!,"AAAAADn8X2I=")</f>
        <v>#REF!</v>
      </c>
      <c r="CV20" t="e">
        <f>AND(#REF!,"AAAAADn8X2M=")</f>
        <v>#REF!</v>
      </c>
      <c r="CW20" t="e">
        <f>AND(#REF!,"AAAAADn8X2Q=")</f>
        <v>#REF!</v>
      </c>
      <c r="CX20" t="e">
        <f>AND(#REF!,"AAAAADn8X2U=")</f>
        <v>#REF!</v>
      </c>
      <c r="CY20" t="e">
        <f>AND(#REF!,"AAAAADn8X2Y=")</f>
        <v>#REF!</v>
      </c>
      <c r="CZ20" t="e">
        <f>AND(#REF!,"AAAAADn8X2c=")</f>
        <v>#REF!</v>
      </c>
      <c r="DA20" t="e">
        <f>AND(#REF!,"AAAAADn8X2g=")</f>
        <v>#REF!</v>
      </c>
      <c r="DB20" t="e">
        <f>AND(#REF!,"AAAAADn8X2k=")</f>
        <v>#REF!</v>
      </c>
      <c r="DC20" t="e">
        <f>AND(#REF!,"AAAAADn8X2o=")</f>
        <v>#REF!</v>
      </c>
      <c r="DD20" t="e">
        <f>AND(#REF!,"AAAAADn8X2s=")</f>
        <v>#REF!</v>
      </c>
      <c r="DE20" t="e">
        <f>IF(#REF!,"AAAAADn8X2w=",0)</f>
        <v>#REF!</v>
      </c>
      <c r="DF20" t="e">
        <f>AND(#REF!,"AAAAADn8X20=")</f>
        <v>#REF!</v>
      </c>
      <c r="DG20" t="e">
        <f>AND(#REF!,"AAAAADn8X24=")</f>
        <v>#REF!</v>
      </c>
      <c r="DH20" t="e">
        <f>AND(#REF!,"AAAAADn8X28=")</f>
        <v>#REF!</v>
      </c>
      <c r="DI20" t="e">
        <f>AND(#REF!,"AAAAADn8X3A=")</f>
        <v>#REF!</v>
      </c>
      <c r="DJ20" t="e">
        <f>AND(#REF!,"AAAAADn8X3E=")</f>
        <v>#REF!</v>
      </c>
      <c r="DK20" t="e">
        <f>AND(#REF!,"AAAAADn8X3I=")</f>
        <v>#REF!</v>
      </c>
      <c r="DL20" t="e">
        <f>AND(#REF!,"AAAAADn8X3M=")</f>
        <v>#REF!</v>
      </c>
      <c r="DM20" t="e">
        <f>AND(#REF!,"AAAAADn8X3Q=")</f>
        <v>#REF!</v>
      </c>
      <c r="DN20" t="e">
        <f>AND(#REF!,"AAAAADn8X3U=")</f>
        <v>#REF!</v>
      </c>
      <c r="DO20" t="e">
        <f>AND(#REF!,"AAAAADn8X3Y=")</f>
        <v>#REF!</v>
      </c>
      <c r="DP20" t="e">
        <f>AND(#REF!,"AAAAADn8X3c=")</f>
        <v>#REF!</v>
      </c>
      <c r="DQ20" t="e">
        <f>AND(#REF!,"AAAAADn8X3g=")</f>
        <v>#REF!</v>
      </c>
      <c r="DR20" t="e">
        <f>AND(#REF!,"AAAAADn8X3k=")</f>
        <v>#REF!</v>
      </c>
      <c r="DS20" t="e">
        <f>AND(#REF!,"AAAAADn8X3o=")</f>
        <v>#REF!</v>
      </c>
      <c r="DT20" t="e">
        <f>AND(#REF!,"AAAAADn8X3s=")</f>
        <v>#REF!</v>
      </c>
      <c r="DU20" t="e">
        <f>AND(#REF!,"AAAAADn8X3w=")</f>
        <v>#REF!</v>
      </c>
      <c r="DV20" t="e">
        <f>AND(#REF!,"AAAAADn8X30=")</f>
        <v>#REF!</v>
      </c>
      <c r="DW20" t="e">
        <f>AND(#REF!,"AAAAADn8X34=")</f>
        <v>#REF!</v>
      </c>
      <c r="DX20" t="e">
        <f>AND(#REF!,"AAAAADn8X38=")</f>
        <v>#REF!</v>
      </c>
      <c r="DY20" t="e">
        <f>AND(#REF!,"AAAAADn8X4A=")</f>
        <v>#REF!</v>
      </c>
      <c r="DZ20" t="e">
        <f>AND(#REF!,"AAAAADn8X4E=")</f>
        <v>#REF!</v>
      </c>
      <c r="EA20" t="e">
        <f>AND(#REF!,"AAAAADn8X4I=")</f>
        <v>#REF!</v>
      </c>
      <c r="EB20" t="e">
        <f>AND(#REF!,"AAAAADn8X4M=")</f>
        <v>#REF!</v>
      </c>
      <c r="EC20" t="e">
        <f>AND(#REF!,"AAAAADn8X4Q=")</f>
        <v>#REF!</v>
      </c>
      <c r="ED20" t="e">
        <f>AND(#REF!,"AAAAADn8X4U=")</f>
        <v>#REF!</v>
      </c>
      <c r="EE20" t="e">
        <f>AND(#REF!,"AAAAADn8X4Y=")</f>
        <v>#REF!</v>
      </c>
      <c r="EF20" t="e">
        <f>AND(#REF!,"AAAAADn8X4c=")</f>
        <v>#REF!</v>
      </c>
      <c r="EG20" t="e">
        <f>AND(#REF!,"AAAAADn8X4g=")</f>
        <v>#REF!</v>
      </c>
      <c r="EH20" t="e">
        <f>AND(#REF!,"AAAAADn8X4k=")</f>
        <v>#REF!</v>
      </c>
      <c r="EI20" t="e">
        <f>AND(#REF!,"AAAAADn8X4o=")</f>
        <v>#REF!</v>
      </c>
      <c r="EJ20" t="e">
        <f>AND(#REF!,"AAAAADn8X4s=")</f>
        <v>#REF!</v>
      </c>
      <c r="EK20" t="e">
        <f>AND(#REF!,"AAAAADn8X4w=")</f>
        <v>#REF!</v>
      </c>
      <c r="EL20" t="e">
        <f>AND(#REF!,"AAAAADn8X40=")</f>
        <v>#REF!</v>
      </c>
      <c r="EM20" t="e">
        <f>AND(#REF!,"AAAAADn8X44=")</f>
        <v>#REF!</v>
      </c>
      <c r="EN20" t="e">
        <f>AND(#REF!,"AAAAADn8X48=")</f>
        <v>#REF!</v>
      </c>
      <c r="EO20" t="e">
        <f>AND(#REF!,"AAAAADn8X5A=")</f>
        <v>#REF!</v>
      </c>
      <c r="EP20" t="e">
        <f>AND(#REF!,"AAAAADn8X5E=")</f>
        <v>#REF!</v>
      </c>
      <c r="EQ20" t="e">
        <f>AND(#REF!,"AAAAADn8X5I=")</f>
        <v>#REF!</v>
      </c>
      <c r="ER20" t="e">
        <f>AND(#REF!,"AAAAADn8X5M=")</f>
        <v>#REF!</v>
      </c>
      <c r="ES20" t="e">
        <f>AND(#REF!,"AAAAADn8X5Q=")</f>
        <v>#REF!</v>
      </c>
      <c r="ET20" t="e">
        <f>AND(#REF!,"AAAAADn8X5U=")</f>
        <v>#REF!</v>
      </c>
      <c r="EU20" t="e">
        <f>AND(#REF!,"AAAAADn8X5Y=")</f>
        <v>#REF!</v>
      </c>
      <c r="EV20" t="e">
        <f>AND(#REF!,"AAAAADn8X5c=")</f>
        <v>#REF!</v>
      </c>
      <c r="EW20" t="e">
        <f>IF(#REF!,"AAAAADn8X5g=",0)</f>
        <v>#REF!</v>
      </c>
      <c r="EX20" t="e">
        <f>AND(#REF!,"AAAAADn8X5k=")</f>
        <v>#REF!</v>
      </c>
      <c r="EY20" t="e">
        <f>AND(#REF!,"AAAAADn8X5o=")</f>
        <v>#REF!</v>
      </c>
      <c r="EZ20" t="e">
        <f>AND(#REF!,"AAAAADn8X5s=")</f>
        <v>#REF!</v>
      </c>
      <c r="FA20" t="e">
        <f>AND(#REF!,"AAAAADn8X5w=")</f>
        <v>#REF!</v>
      </c>
      <c r="FB20" t="e">
        <f>AND(#REF!,"AAAAADn8X50=")</f>
        <v>#REF!</v>
      </c>
      <c r="FC20" t="e">
        <f>AND(#REF!,"AAAAADn8X54=")</f>
        <v>#REF!</v>
      </c>
      <c r="FD20" t="e">
        <f>AND(#REF!,"AAAAADn8X58=")</f>
        <v>#REF!</v>
      </c>
      <c r="FE20" t="e">
        <f>AND(#REF!,"AAAAADn8X6A=")</f>
        <v>#REF!</v>
      </c>
      <c r="FF20" t="e">
        <f>AND(#REF!,"AAAAADn8X6E=")</f>
        <v>#REF!</v>
      </c>
      <c r="FG20" t="e">
        <f>AND(#REF!,"AAAAADn8X6I=")</f>
        <v>#REF!</v>
      </c>
      <c r="FH20" t="e">
        <f>AND(#REF!,"AAAAADn8X6M=")</f>
        <v>#REF!</v>
      </c>
      <c r="FI20" t="e">
        <f>AND(#REF!,"AAAAADn8X6Q=")</f>
        <v>#REF!</v>
      </c>
      <c r="FJ20" t="e">
        <f>AND(#REF!,"AAAAADn8X6U=")</f>
        <v>#REF!</v>
      </c>
      <c r="FK20" t="e">
        <f>AND(#REF!,"AAAAADn8X6Y=")</f>
        <v>#REF!</v>
      </c>
      <c r="FL20" t="e">
        <f>AND(#REF!,"AAAAADn8X6c=")</f>
        <v>#REF!</v>
      </c>
      <c r="FM20" t="e">
        <f>AND(#REF!,"AAAAADn8X6g=")</f>
        <v>#REF!</v>
      </c>
      <c r="FN20" t="e">
        <f>AND(#REF!,"AAAAADn8X6k=")</f>
        <v>#REF!</v>
      </c>
      <c r="FO20" t="e">
        <f>AND(#REF!,"AAAAADn8X6o=")</f>
        <v>#REF!</v>
      </c>
      <c r="FP20" t="e">
        <f>AND(#REF!,"AAAAADn8X6s=")</f>
        <v>#REF!</v>
      </c>
      <c r="FQ20" t="e">
        <f>AND(#REF!,"AAAAADn8X6w=")</f>
        <v>#REF!</v>
      </c>
      <c r="FR20" t="e">
        <f>AND(#REF!,"AAAAADn8X60=")</f>
        <v>#REF!</v>
      </c>
      <c r="FS20" t="e">
        <f>AND(#REF!,"AAAAADn8X64=")</f>
        <v>#REF!</v>
      </c>
      <c r="FT20" t="e">
        <f>AND(#REF!,"AAAAADn8X68=")</f>
        <v>#REF!</v>
      </c>
      <c r="FU20" t="e">
        <f>AND(#REF!,"AAAAADn8X7A=")</f>
        <v>#REF!</v>
      </c>
      <c r="FV20" t="e">
        <f>AND(#REF!,"AAAAADn8X7E=")</f>
        <v>#REF!</v>
      </c>
      <c r="FW20" t="e">
        <f>AND(#REF!,"AAAAADn8X7I=")</f>
        <v>#REF!</v>
      </c>
      <c r="FX20" t="e">
        <f>AND(#REF!,"AAAAADn8X7M=")</f>
        <v>#REF!</v>
      </c>
      <c r="FY20" t="e">
        <f>AND(#REF!,"AAAAADn8X7Q=")</f>
        <v>#REF!</v>
      </c>
      <c r="FZ20" t="e">
        <f>AND(#REF!,"AAAAADn8X7U=")</f>
        <v>#REF!</v>
      </c>
      <c r="GA20" t="e">
        <f>AND(#REF!,"AAAAADn8X7Y=")</f>
        <v>#REF!</v>
      </c>
      <c r="GB20" t="e">
        <f>AND(#REF!,"AAAAADn8X7c=")</f>
        <v>#REF!</v>
      </c>
      <c r="GC20" t="e">
        <f>AND(#REF!,"AAAAADn8X7g=")</f>
        <v>#REF!</v>
      </c>
      <c r="GD20" t="e">
        <f>AND(#REF!,"AAAAADn8X7k=")</f>
        <v>#REF!</v>
      </c>
      <c r="GE20" t="e">
        <f>AND(#REF!,"AAAAADn8X7o=")</f>
        <v>#REF!</v>
      </c>
      <c r="GF20" t="e">
        <f>AND(#REF!,"AAAAADn8X7s=")</f>
        <v>#REF!</v>
      </c>
      <c r="GG20" t="e">
        <f>AND(#REF!,"AAAAADn8X7w=")</f>
        <v>#REF!</v>
      </c>
      <c r="GH20" t="e">
        <f>AND(#REF!,"AAAAADn8X70=")</f>
        <v>#REF!</v>
      </c>
      <c r="GI20" t="e">
        <f>AND(#REF!,"AAAAADn8X74=")</f>
        <v>#REF!</v>
      </c>
      <c r="GJ20" t="e">
        <f>AND(#REF!,"AAAAADn8X78=")</f>
        <v>#REF!</v>
      </c>
      <c r="GK20" t="e">
        <f>AND(#REF!,"AAAAADn8X8A=")</f>
        <v>#REF!</v>
      </c>
      <c r="GL20" t="e">
        <f>AND(#REF!,"AAAAADn8X8E=")</f>
        <v>#REF!</v>
      </c>
      <c r="GM20" t="e">
        <f>AND(#REF!,"AAAAADn8X8I=")</f>
        <v>#REF!</v>
      </c>
      <c r="GN20" t="e">
        <f>AND(#REF!,"AAAAADn8X8M=")</f>
        <v>#REF!</v>
      </c>
      <c r="GO20" t="e">
        <f>IF(#REF!,"AAAAADn8X8Q=",0)</f>
        <v>#REF!</v>
      </c>
      <c r="GP20" t="e">
        <f>AND(#REF!,"AAAAADn8X8U=")</f>
        <v>#REF!</v>
      </c>
      <c r="GQ20" t="e">
        <f>AND(#REF!,"AAAAADn8X8Y=")</f>
        <v>#REF!</v>
      </c>
      <c r="GR20" t="e">
        <f>AND(#REF!,"AAAAADn8X8c=")</f>
        <v>#REF!</v>
      </c>
      <c r="GS20" t="e">
        <f>AND(#REF!,"AAAAADn8X8g=")</f>
        <v>#REF!</v>
      </c>
      <c r="GT20" t="e">
        <f>AND(#REF!,"AAAAADn8X8k=")</f>
        <v>#REF!</v>
      </c>
      <c r="GU20" t="e">
        <f>AND(#REF!,"AAAAADn8X8o=")</f>
        <v>#REF!</v>
      </c>
      <c r="GV20" t="e">
        <f>AND(#REF!,"AAAAADn8X8s=")</f>
        <v>#REF!</v>
      </c>
      <c r="GW20" t="e">
        <f>AND(#REF!,"AAAAADn8X8w=")</f>
        <v>#REF!</v>
      </c>
      <c r="GX20" t="e">
        <f>AND(#REF!,"AAAAADn8X80=")</f>
        <v>#REF!</v>
      </c>
      <c r="GY20" t="e">
        <f>AND(#REF!,"AAAAADn8X84=")</f>
        <v>#REF!</v>
      </c>
      <c r="GZ20" t="e">
        <f>AND(#REF!,"AAAAADn8X88=")</f>
        <v>#REF!</v>
      </c>
      <c r="HA20" t="e">
        <f>AND(#REF!,"AAAAADn8X9A=")</f>
        <v>#REF!</v>
      </c>
      <c r="HB20" t="e">
        <f>AND(#REF!,"AAAAADn8X9E=")</f>
        <v>#REF!</v>
      </c>
      <c r="HC20" t="e">
        <f>AND(#REF!,"AAAAADn8X9I=")</f>
        <v>#REF!</v>
      </c>
      <c r="HD20" t="e">
        <f>AND(#REF!,"AAAAADn8X9M=")</f>
        <v>#REF!</v>
      </c>
      <c r="HE20" t="e">
        <f>AND(#REF!,"AAAAADn8X9Q=")</f>
        <v>#REF!</v>
      </c>
      <c r="HF20" t="e">
        <f>AND(#REF!,"AAAAADn8X9U=")</f>
        <v>#REF!</v>
      </c>
      <c r="HG20" t="e">
        <f>AND(#REF!,"AAAAADn8X9Y=")</f>
        <v>#REF!</v>
      </c>
      <c r="HH20" t="e">
        <f>AND(#REF!,"AAAAADn8X9c=")</f>
        <v>#REF!</v>
      </c>
      <c r="HI20" t="e">
        <f>AND(#REF!,"AAAAADn8X9g=")</f>
        <v>#REF!</v>
      </c>
      <c r="HJ20" t="e">
        <f>AND(#REF!,"AAAAADn8X9k=")</f>
        <v>#REF!</v>
      </c>
      <c r="HK20" t="e">
        <f>AND(#REF!,"AAAAADn8X9o=")</f>
        <v>#REF!</v>
      </c>
      <c r="HL20" t="e">
        <f>AND(#REF!,"AAAAADn8X9s=")</f>
        <v>#REF!</v>
      </c>
      <c r="HM20" t="e">
        <f>AND(#REF!,"AAAAADn8X9w=")</f>
        <v>#REF!</v>
      </c>
      <c r="HN20" t="e">
        <f>AND(#REF!,"AAAAADn8X90=")</f>
        <v>#REF!</v>
      </c>
      <c r="HO20" t="e">
        <f>AND(#REF!,"AAAAADn8X94=")</f>
        <v>#REF!</v>
      </c>
      <c r="HP20" t="e">
        <f>AND(#REF!,"AAAAADn8X98=")</f>
        <v>#REF!</v>
      </c>
      <c r="HQ20" t="e">
        <f>AND(#REF!,"AAAAADn8X+A=")</f>
        <v>#REF!</v>
      </c>
      <c r="HR20" t="e">
        <f>AND(#REF!,"AAAAADn8X+E=")</f>
        <v>#REF!</v>
      </c>
      <c r="HS20" t="e">
        <f>AND(#REF!,"AAAAADn8X+I=")</f>
        <v>#REF!</v>
      </c>
      <c r="HT20" t="e">
        <f>AND(#REF!,"AAAAADn8X+M=")</f>
        <v>#REF!</v>
      </c>
      <c r="HU20" t="e">
        <f>AND(#REF!,"AAAAADn8X+Q=")</f>
        <v>#REF!</v>
      </c>
      <c r="HV20" t="e">
        <f>AND(#REF!,"AAAAADn8X+U=")</f>
        <v>#REF!</v>
      </c>
      <c r="HW20" t="e">
        <f>AND(#REF!,"AAAAADn8X+Y=")</f>
        <v>#REF!</v>
      </c>
      <c r="HX20" t="e">
        <f>AND(#REF!,"AAAAADn8X+c=")</f>
        <v>#REF!</v>
      </c>
      <c r="HY20" t="e">
        <f>AND(#REF!,"AAAAADn8X+g=")</f>
        <v>#REF!</v>
      </c>
      <c r="HZ20" t="e">
        <f>AND(#REF!,"AAAAADn8X+k=")</f>
        <v>#REF!</v>
      </c>
      <c r="IA20" t="e">
        <f>AND(#REF!,"AAAAADn8X+o=")</f>
        <v>#REF!</v>
      </c>
      <c r="IB20" t="e">
        <f>AND(#REF!,"AAAAADn8X+s=")</f>
        <v>#REF!</v>
      </c>
      <c r="IC20" t="e">
        <f>AND(#REF!,"AAAAADn8X+w=")</f>
        <v>#REF!</v>
      </c>
      <c r="ID20" t="e">
        <f>AND(#REF!,"AAAAADn8X+0=")</f>
        <v>#REF!</v>
      </c>
      <c r="IE20" t="e">
        <f>AND(#REF!,"AAAAADn8X+4=")</f>
        <v>#REF!</v>
      </c>
      <c r="IF20" t="e">
        <f>AND(#REF!,"AAAAADn8X+8=")</f>
        <v>#REF!</v>
      </c>
      <c r="IG20" t="e">
        <f>IF(#REF!,"AAAAADn8X/A=",0)</f>
        <v>#REF!</v>
      </c>
      <c r="IH20" t="e">
        <f>AND(#REF!,"AAAAADn8X/E=")</f>
        <v>#REF!</v>
      </c>
      <c r="II20" t="e">
        <f>AND(#REF!,"AAAAADn8X/I=")</f>
        <v>#REF!</v>
      </c>
      <c r="IJ20" t="e">
        <f>AND(#REF!,"AAAAADn8X/M=")</f>
        <v>#REF!</v>
      </c>
      <c r="IK20" t="e">
        <f>AND(#REF!,"AAAAADn8X/Q=")</f>
        <v>#REF!</v>
      </c>
      <c r="IL20" t="e">
        <f>AND(#REF!,"AAAAADn8X/U=")</f>
        <v>#REF!</v>
      </c>
      <c r="IM20" t="e">
        <f>AND(#REF!,"AAAAADn8X/Y=")</f>
        <v>#REF!</v>
      </c>
      <c r="IN20" t="e">
        <f>AND(#REF!,"AAAAADn8X/c=")</f>
        <v>#REF!</v>
      </c>
      <c r="IO20" t="e">
        <f>AND(#REF!,"AAAAADn8X/g=")</f>
        <v>#REF!</v>
      </c>
      <c r="IP20" t="e">
        <f>AND(#REF!,"AAAAADn8X/k=")</f>
        <v>#REF!</v>
      </c>
      <c r="IQ20" t="e">
        <f>AND(#REF!,"AAAAADn8X/o=")</f>
        <v>#REF!</v>
      </c>
      <c r="IR20" t="e">
        <f>AND(#REF!,"AAAAADn8X/s=")</f>
        <v>#REF!</v>
      </c>
      <c r="IS20" t="e">
        <f>AND(#REF!,"AAAAADn8X/w=")</f>
        <v>#REF!</v>
      </c>
      <c r="IT20" t="e">
        <f>AND(#REF!,"AAAAADn8X/0=")</f>
        <v>#REF!</v>
      </c>
      <c r="IU20" t="e">
        <f>AND(#REF!,"AAAAADn8X/4=")</f>
        <v>#REF!</v>
      </c>
      <c r="IV20" t="e">
        <f>AND(#REF!,"AAAAADn8X/8=")</f>
        <v>#REF!</v>
      </c>
    </row>
    <row r="21" spans="1:256" x14ac:dyDescent="0.25">
      <c r="A21" t="e">
        <f>AND(#REF!,"AAAAAHqb/gA=")</f>
        <v>#REF!</v>
      </c>
      <c r="B21" t="e">
        <f>AND(#REF!,"AAAAAHqb/gE=")</f>
        <v>#REF!</v>
      </c>
      <c r="C21" t="e">
        <f>AND(#REF!,"AAAAAHqb/gI=")</f>
        <v>#REF!</v>
      </c>
      <c r="D21" t="e">
        <f>AND(#REF!,"AAAAAHqb/gM=")</f>
        <v>#REF!</v>
      </c>
      <c r="E21" t="e">
        <f>AND(#REF!,"AAAAAHqb/gQ=")</f>
        <v>#REF!</v>
      </c>
      <c r="F21" t="e">
        <f>AND(#REF!,"AAAAAHqb/gU=")</f>
        <v>#REF!</v>
      </c>
      <c r="G21" t="e">
        <f>AND(#REF!,"AAAAAHqb/gY=")</f>
        <v>#REF!</v>
      </c>
      <c r="H21" t="e">
        <f>AND(#REF!,"AAAAAHqb/gc=")</f>
        <v>#REF!</v>
      </c>
      <c r="I21" t="e">
        <f>AND(#REF!,"AAAAAHqb/gg=")</f>
        <v>#REF!</v>
      </c>
      <c r="J21" t="e">
        <f>AND(#REF!,"AAAAAHqb/gk=")</f>
        <v>#REF!</v>
      </c>
      <c r="K21" t="e">
        <f>AND(#REF!,"AAAAAHqb/go=")</f>
        <v>#REF!</v>
      </c>
      <c r="L21" t="e">
        <f>AND(#REF!,"AAAAAHqb/gs=")</f>
        <v>#REF!</v>
      </c>
      <c r="M21" t="e">
        <f>AND(#REF!,"AAAAAHqb/gw=")</f>
        <v>#REF!</v>
      </c>
      <c r="N21" t="e">
        <f>AND(#REF!,"AAAAAHqb/g0=")</f>
        <v>#REF!</v>
      </c>
      <c r="O21" t="e">
        <f>AND(#REF!,"AAAAAHqb/g4=")</f>
        <v>#REF!</v>
      </c>
      <c r="P21" t="e">
        <f>AND(#REF!,"AAAAAHqb/g8=")</f>
        <v>#REF!</v>
      </c>
      <c r="Q21" t="e">
        <f>AND(#REF!,"AAAAAHqb/hA=")</f>
        <v>#REF!</v>
      </c>
      <c r="R21" t="e">
        <f>AND(#REF!,"AAAAAHqb/hE=")</f>
        <v>#REF!</v>
      </c>
      <c r="S21" t="e">
        <f>AND(#REF!,"AAAAAHqb/hI=")</f>
        <v>#REF!</v>
      </c>
      <c r="T21" t="e">
        <f>AND(#REF!,"AAAAAHqb/hM=")</f>
        <v>#REF!</v>
      </c>
      <c r="U21" t="e">
        <f>AND(#REF!,"AAAAAHqb/hQ=")</f>
        <v>#REF!</v>
      </c>
      <c r="V21" t="e">
        <f>AND(#REF!,"AAAAAHqb/hU=")</f>
        <v>#REF!</v>
      </c>
      <c r="W21" t="e">
        <f>AND(#REF!,"AAAAAHqb/hY=")</f>
        <v>#REF!</v>
      </c>
      <c r="X21" t="e">
        <f>AND(#REF!,"AAAAAHqb/hc=")</f>
        <v>#REF!</v>
      </c>
      <c r="Y21" t="e">
        <f>AND(#REF!,"AAAAAHqb/hg=")</f>
        <v>#REF!</v>
      </c>
      <c r="Z21" t="e">
        <f>AND(#REF!,"AAAAAHqb/hk=")</f>
        <v>#REF!</v>
      </c>
      <c r="AA21" t="e">
        <f>AND(#REF!,"AAAAAHqb/ho=")</f>
        <v>#REF!</v>
      </c>
      <c r="AB21" t="e">
        <f>AND(#REF!,"AAAAAHqb/hs=")</f>
        <v>#REF!</v>
      </c>
      <c r="AC21" t="e">
        <f>IF(#REF!,"AAAAAHqb/hw=",0)</f>
        <v>#REF!</v>
      </c>
      <c r="AD21" t="e">
        <f>AND(#REF!,"AAAAAHqb/h0=")</f>
        <v>#REF!</v>
      </c>
      <c r="AE21" t="e">
        <f>AND(#REF!,"AAAAAHqb/h4=")</f>
        <v>#REF!</v>
      </c>
      <c r="AF21" t="e">
        <f>AND(#REF!,"AAAAAHqb/h8=")</f>
        <v>#REF!</v>
      </c>
      <c r="AG21" t="e">
        <f>AND(#REF!,"AAAAAHqb/iA=")</f>
        <v>#REF!</v>
      </c>
      <c r="AH21" t="e">
        <f>AND(#REF!,"AAAAAHqb/iE=")</f>
        <v>#REF!</v>
      </c>
      <c r="AI21" t="e">
        <f>AND(#REF!,"AAAAAHqb/iI=")</f>
        <v>#REF!</v>
      </c>
      <c r="AJ21" t="e">
        <f>AND(#REF!,"AAAAAHqb/iM=")</f>
        <v>#REF!</v>
      </c>
      <c r="AK21" t="e">
        <f>AND(#REF!,"AAAAAHqb/iQ=")</f>
        <v>#REF!</v>
      </c>
      <c r="AL21" t="e">
        <f>AND(#REF!,"AAAAAHqb/iU=")</f>
        <v>#REF!</v>
      </c>
      <c r="AM21" t="e">
        <f>AND(#REF!,"AAAAAHqb/iY=")</f>
        <v>#REF!</v>
      </c>
      <c r="AN21" t="e">
        <f>AND(#REF!,"AAAAAHqb/ic=")</f>
        <v>#REF!</v>
      </c>
      <c r="AO21" t="e">
        <f>AND(#REF!,"AAAAAHqb/ig=")</f>
        <v>#REF!</v>
      </c>
      <c r="AP21" t="e">
        <f>AND(#REF!,"AAAAAHqb/ik=")</f>
        <v>#REF!</v>
      </c>
      <c r="AQ21" t="e">
        <f>AND(#REF!,"AAAAAHqb/io=")</f>
        <v>#REF!</v>
      </c>
      <c r="AR21" t="e">
        <f>AND(#REF!,"AAAAAHqb/is=")</f>
        <v>#REF!</v>
      </c>
      <c r="AS21" t="e">
        <f>AND(#REF!,"AAAAAHqb/iw=")</f>
        <v>#REF!</v>
      </c>
      <c r="AT21" t="e">
        <f>AND(#REF!,"AAAAAHqb/i0=")</f>
        <v>#REF!</v>
      </c>
      <c r="AU21" t="e">
        <f>AND(#REF!,"AAAAAHqb/i4=")</f>
        <v>#REF!</v>
      </c>
      <c r="AV21" t="e">
        <f>AND(#REF!,"AAAAAHqb/i8=")</f>
        <v>#REF!</v>
      </c>
      <c r="AW21" t="e">
        <f>AND(#REF!,"AAAAAHqb/jA=")</f>
        <v>#REF!</v>
      </c>
      <c r="AX21" t="e">
        <f>AND(#REF!,"AAAAAHqb/jE=")</f>
        <v>#REF!</v>
      </c>
      <c r="AY21" t="e">
        <f>AND(#REF!,"AAAAAHqb/jI=")</f>
        <v>#REF!</v>
      </c>
      <c r="AZ21" t="e">
        <f>AND(#REF!,"AAAAAHqb/jM=")</f>
        <v>#REF!</v>
      </c>
      <c r="BA21" t="e">
        <f>AND(#REF!,"AAAAAHqb/jQ=")</f>
        <v>#REF!</v>
      </c>
      <c r="BB21" t="e">
        <f>AND(#REF!,"AAAAAHqb/jU=")</f>
        <v>#REF!</v>
      </c>
      <c r="BC21" t="e">
        <f>AND(#REF!,"AAAAAHqb/jY=")</f>
        <v>#REF!</v>
      </c>
      <c r="BD21" t="e">
        <f>AND(#REF!,"AAAAAHqb/jc=")</f>
        <v>#REF!</v>
      </c>
      <c r="BE21" t="e">
        <f>AND(#REF!,"AAAAAHqb/jg=")</f>
        <v>#REF!</v>
      </c>
      <c r="BF21" t="e">
        <f>AND(#REF!,"AAAAAHqb/jk=")</f>
        <v>#REF!</v>
      </c>
      <c r="BG21" t="e">
        <f>AND(#REF!,"AAAAAHqb/jo=")</f>
        <v>#REF!</v>
      </c>
      <c r="BH21" t="e">
        <f>AND(#REF!,"AAAAAHqb/js=")</f>
        <v>#REF!</v>
      </c>
      <c r="BI21" t="e">
        <f>AND(#REF!,"AAAAAHqb/jw=")</f>
        <v>#REF!</v>
      </c>
      <c r="BJ21" t="e">
        <f>AND(#REF!,"AAAAAHqb/j0=")</f>
        <v>#REF!</v>
      </c>
      <c r="BK21" t="e">
        <f>AND(#REF!,"AAAAAHqb/j4=")</f>
        <v>#REF!</v>
      </c>
      <c r="BL21" t="e">
        <f>AND(#REF!,"AAAAAHqb/j8=")</f>
        <v>#REF!</v>
      </c>
      <c r="BM21" t="e">
        <f>AND(#REF!,"AAAAAHqb/kA=")</f>
        <v>#REF!</v>
      </c>
      <c r="BN21" t="e">
        <f>AND(#REF!,"AAAAAHqb/kE=")</f>
        <v>#REF!</v>
      </c>
      <c r="BO21" t="e">
        <f>AND(#REF!,"AAAAAHqb/kI=")</f>
        <v>#REF!</v>
      </c>
      <c r="BP21" t="e">
        <f>AND(#REF!,"AAAAAHqb/kM=")</f>
        <v>#REF!</v>
      </c>
      <c r="BQ21" t="e">
        <f>AND(#REF!,"AAAAAHqb/kQ=")</f>
        <v>#REF!</v>
      </c>
      <c r="BR21" t="e">
        <f>AND(#REF!,"AAAAAHqb/kU=")</f>
        <v>#REF!</v>
      </c>
      <c r="BS21" t="e">
        <f>AND(#REF!,"AAAAAHqb/kY=")</f>
        <v>#REF!</v>
      </c>
      <c r="BT21" t="e">
        <f>AND(#REF!,"AAAAAHqb/kc=")</f>
        <v>#REF!</v>
      </c>
      <c r="BU21" t="e">
        <f>IF(#REF!,"AAAAAHqb/kg=",0)</f>
        <v>#REF!</v>
      </c>
      <c r="BV21" t="e">
        <f>AND(#REF!,"AAAAAHqb/kk=")</f>
        <v>#REF!</v>
      </c>
      <c r="BW21" t="e">
        <f>AND(#REF!,"AAAAAHqb/ko=")</f>
        <v>#REF!</v>
      </c>
      <c r="BX21" t="e">
        <f>AND(#REF!,"AAAAAHqb/ks=")</f>
        <v>#REF!</v>
      </c>
      <c r="BY21" t="e">
        <f>AND(#REF!,"AAAAAHqb/kw=")</f>
        <v>#REF!</v>
      </c>
      <c r="BZ21" t="e">
        <f>AND(#REF!,"AAAAAHqb/k0=")</f>
        <v>#REF!</v>
      </c>
      <c r="CA21" t="e">
        <f>AND(#REF!,"AAAAAHqb/k4=")</f>
        <v>#REF!</v>
      </c>
      <c r="CB21" t="e">
        <f>AND(#REF!,"AAAAAHqb/k8=")</f>
        <v>#REF!</v>
      </c>
      <c r="CC21" t="e">
        <f>AND(#REF!,"AAAAAHqb/lA=")</f>
        <v>#REF!</v>
      </c>
      <c r="CD21" t="e">
        <f>AND(#REF!,"AAAAAHqb/lE=")</f>
        <v>#REF!</v>
      </c>
      <c r="CE21" t="e">
        <f>AND(#REF!,"AAAAAHqb/lI=")</f>
        <v>#REF!</v>
      </c>
      <c r="CF21" t="e">
        <f>AND(#REF!,"AAAAAHqb/lM=")</f>
        <v>#REF!</v>
      </c>
      <c r="CG21" t="e">
        <f>AND(#REF!,"AAAAAHqb/lQ=")</f>
        <v>#REF!</v>
      </c>
      <c r="CH21" t="e">
        <f>AND(#REF!,"AAAAAHqb/lU=")</f>
        <v>#REF!</v>
      </c>
      <c r="CI21" t="e">
        <f>AND(#REF!,"AAAAAHqb/lY=")</f>
        <v>#REF!</v>
      </c>
      <c r="CJ21" t="e">
        <f>AND(#REF!,"AAAAAHqb/lc=")</f>
        <v>#REF!</v>
      </c>
      <c r="CK21" t="e">
        <f>AND(#REF!,"AAAAAHqb/lg=")</f>
        <v>#REF!</v>
      </c>
      <c r="CL21" t="e">
        <f>AND(#REF!,"AAAAAHqb/lk=")</f>
        <v>#REF!</v>
      </c>
      <c r="CM21" t="e">
        <f>AND(#REF!,"AAAAAHqb/lo=")</f>
        <v>#REF!</v>
      </c>
      <c r="CN21" t="e">
        <f>AND(#REF!,"AAAAAHqb/ls=")</f>
        <v>#REF!</v>
      </c>
      <c r="CO21" t="e">
        <f>AND(#REF!,"AAAAAHqb/lw=")</f>
        <v>#REF!</v>
      </c>
      <c r="CP21" t="e">
        <f>AND(#REF!,"AAAAAHqb/l0=")</f>
        <v>#REF!</v>
      </c>
      <c r="CQ21" t="e">
        <f>AND(#REF!,"AAAAAHqb/l4=")</f>
        <v>#REF!</v>
      </c>
      <c r="CR21" t="e">
        <f>AND(#REF!,"AAAAAHqb/l8=")</f>
        <v>#REF!</v>
      </c>
      <c r="CS21" t="e">
        <f>AND(#REF!,"AAAAAHqb/mA=")</f>
        <v>#REF!</v>
      </c>
      <c r="CT21" t="e">
        <f>AND(#REF!,"AAAAAHqb/mE=")</f>
        <v>#REF!</v>
      </c>
      <c r="CU21" t="e">
        <f>AND(#REF!,"AAAAAHqb/mI=")</f>
        <v>#REF!</v>
      </c>
      <c r="CV21" t="e">
        <f>AND(#REF!,"AAAAAHqb/mM=")</f>
        <v>#REF!</v>
      </c>
      <c r="CW21" t="e">
        <f>AND(#REF!,"AAAAAHqb/mQ=")</f>
        <v>#REF!</v>
      </c>
      <c r="CX21" t="e">
        <f>AND(#REF!,"AAAAAHqb/mU=")</f>
        <v>#REF!</v>
      </c>
      <c r="CY21" t="e">
        <f>AND(#REF!,"AAAAAHqb/mY=")</f>
        <v>#REF!</v>
      </c>
      <c r="CZ21" t="e">
        <f>AND(#REF!,"AAAAAHqb/mc=")</f>
        <v>#REF!</v>
      </c>
      <c r="DA21" t="e">
        <f>AND(#REF!,"AAAAAHqb/mg=")</f>
        <v>#REF!</v>
      </c>
      <c r="DB21" t="e">
        <f>AND(#REF!,"AAAAAHqb/mk=")</f>
        <v>#REF!</v>
      </c>
      <c r="DC21" t="e">
        <f>AND(#REF!,"AAAAAHqb/mo=")</f>
        <v>#REF!</v>
      </c>
      <c r="DD21" t="e">
        <f>AND(#REF!,"AAAAAHqb/ms=")</f>
        <v>#REF!</v>
      </c>
      <c r="DE21" t="e">
        <f>AND(#REF!,"AAAAAHqb/mw=")</f>
        <v>#REF!</v>
      </c>
      <c r="DF21" t="e">
        <f>AND(#REF!,"AAAAAHqb/m0=")</f>
        <v>#REF!</v>
      </c>
      <c r="DG21" t="e">
        <f>AND(#REF!,"AAAAAHqb/m4=")</f>
        <v>#REF!</v>
      </c>
      <c r="DH21" t="e">
        <f>AND(#REF!,"AAAAAHqb/m8=")</f>
        <v>#REF!</v>
      </c>
      <c r="DI21" t="e">
        <f>AND(#REF!,"AAAAAHqb/nA=")</f>
        <v>#REF!</v>
      </c>
      <c r="DJ21" t="e">
        <f>AND(#REF!,"AAAAAHqb/nE=")</f>
        <v>#REF!</v>
      </c>
      <c r="DK21" t="e">
        <f>AND(#REF!,"AAAAAHqb/nI=")</f>
        <v>#REF!</v>
      </c>
      <c r="DL21" t="e">
        <f>AND(#REF!,"AAAAAHqb/nM=")</f>
        <v>#REF!</v>
      </c>
      <c r="DM21" t="e">
        <f>IF(#REF!,"AAAAAHqb/nQ=",0)</f>
        <v>#REF!</v>
      </c>
      <c r="DN21" t="e">
        <f>AND(#REF!,"AAAAAHqb/nU=")</f>
        <v>#REF!</v>
      </c>
      <c r="DO21" t="e">
        <f>AND(#REF!,"AAAAAHqb/nY=")</f>
        <v>#REF!</v>
      </c>
      <c r="DP21" t="e">
        <f>AND(#REF!,"AAAAAHqb/nc=")</f>
        <v>#REF!</v>
      </c>
      <c r="DQ21" t="e">
        <f>AND(#REF!,"AAAAAHqb/ng=")</f>
        <v>#REF!</v>
      </c>
      <c r="DR21" t="e">
        <f>AND(#REF!,"AAAAAHqb/nk=")</f>
        <v>#REF!</v>
      </c>
      <c r="DS21" t="e">
        <f>AND(#REF!,"AAAAAHqb/no=")</f>
        <v>#REF!</v>
      </c>
      <c r="DT21" t="e">
        <f>AND(#REF!,"AAAAAHqb/ns=")</f>
        <v>#REF!</v>
      </c>
      <c r="DU21" t="e">
        <f>AND(#REF!,"AAAAAHqb/nw=")</f>
        <v>#REF!</v>
      </c>
      <c r="DV21" t="e">
        <f>AND(#REF!,"AAAAAHqb/n0=")</f>
        <v>#REF!</v>
      </c>
      <c r="DW21" t="e">
        <f>AND(#REF!,"AAAAAHqb/n4=")</f>
        <v>#REF!</v>
      </c>
      <c r="DX21" t="e">
        <f>AND(#REF!,"AAAAAHqb/n8=")</f>
        <v>#REF!</v>
      </c>
      <c r="DY21" t="e">
        <f>AND(#REF!,"AAAAAHqb/oA=")</f>
        <v>#REF!</v>
      </c>
      <c r="DZ21" t="e">
        <f>AND(#REF!,"AAAAAHqb/oE=")</f>
        <v>#REF!</v>
      </c>
      <c r="EA21" t="e">
        <f>AND(#REF!,"AAAAAHqb/oI=")</f>
        <v>#REF!</v>
      </c>
      <c r="EB21" t="e">
        <f>AND(#REF!,"AAAAAHqb/oM=")</f>
        <v>#REF!</v>
      </c>
      <c r="EC21" t="e">
        <f>AND(#REF!,"AAAAAHqb/oQ=")</f>
        <v>#REF!</v>
      </c>
      <c r="ED21" t="e">
        <f>AND(#REF!,"AAAAAHqb/oU=")</f>
        <v>#REF!</v>
      </c>
      <c r="EE21" t="e">
        <f>AND(#REF!,"AAAAAHqb/oY=")</f>
        <v>#REF!</v>
      </c>
      <c r="EF21" t="e">
        <f>AND(#REF!,"AAAAAHqb/oc=")</f>
        <v>#REF!</v>
      </c>
      <c r="EG21" t="e">
        <f>AND(#REF!,"AAAAAHqb/og=")</f>
        <v>#REF!</v>
      </c>
      <c r="EH21" t="e">
        <f>AND(#REF!,"AAAAAHqb/ok=")</f>
        <v>#REF!</v>
      </c>
      <c r="EI21" t="e">
        <f>AND(#REF!,"AAAAAHqb/oo=")</f>
        <v>#REF!</v>
      </c>
      <c r="EJ21" t="e">
        <f>AND(#REF!,"AAAAAHqb/os=")</f>
        <v>#REF!</v>
      </c>
      <c r="EK21" t="e">
        <f>AND(#REF!,"AAAAAHqb/ow=")</f>
        <v>#REF!</v>
      </c>
      <c r="EL21" t="e">
        <f>AND(#REF!,"AAAAAHqb/o0=")</f>
        <v>#REF!</v>
      </c>
      <c r="EM21" t="e">
        <f>AND(#REF!,"AAAAAHqb/o4=")</f>
        <v>#REF!</v>
      </c>
      <c r="EN21" t="e">
        <f>AND(#REF!,"AAAAAHqb/o8=")</f>
        <v>#REF!</v>
      </c>
      <c r="EO21" t="e">
        <f>AND(#REF!,"AAAAAHqb/pA=")</f>
        <v>#REF!</v>
      </c>
      <c r="EP21" t="e">
        <f>AND(#REF!,"AAAAAHqb/pE=")</f>
        <v>#REF!</v>
      </c>
      <c r="EQ21" t="e">
        <f>AND(#REF!,"AAAAAHqb/pI=")</f>
        <v>#REF!</v>
      </c>
      <c r="ER21" t="e">
        <f>AND(#REF!,"AAAAAHqb/pM=")</f>
        <v>#REF!</v>
      </c>
      <c r="ES21" t="e">
        <f>AND(#REF!,"AAAAAHqb/pQ=")</f>
        <v>#REF!</v>
      </c>
      <c r="ET21" t="e">
        <f>AND(#REF!,"AAAAAHqb/pU=")</f>
        <v>#REF!</v>
      </c>
      <c r="EU21" t="e">
        <f>AND(#REF!,"AAAAAHqb/pY=")</f>
        <v>#REF!</v>
      </c>
      <c r="EV21" t="e">
        <f>AND(#REF!,"AAAAAHqb/pc=")</f>
        <v>#REF!</v>
      </c>
      <c r="EW21" t="e">
        <f>AND(#REF!,"AAAAAHqb/pg=")</f>
        <v>#REF!</v>
      </c>
      <c r="EX21" t="e">
        <f>AND(#REF!,"AAAAAHqb/pk=")</f>
        <v>#REF!</v>
      </c>
      <c r="EY21" t="e">
        <f>AND(#REF!,"AAAAAHqb/po=")</f>
        <v>#REF!</v>
      </c>
      <c r="EZ21" t="e">
        <f>AND(#REF!,"AAAAAHqb/ps=")</f>
        <v>#REF!</v>
      </c>
      <c r="FA21" t="e">
        <f>AND(#REF!,"AAAAAHqb/pw=")</f>
        <v>#REF!</v>
      </c>
      <c r="FB21" t="e">
        <f>AND(#REF!,"AAAAAHqb/p0=")</f>
        <v>#REF!</v>
      </c>
      <c r="FC21" t="e">
        <f>AND(#REF!,"AAAAAHqb/p4=")</f>
        <v>#REF!</v>
      </c>
      <c r="FD21" t="e">
        <f>AND(#REF!,"AAAAAHqb/p8=")</f>
        <v>#REF!</v>
      </c>
      <c r="FE21" t="e">
        <f>IF(#REF!,"AAAAAHqb/qA=",0)</f>
        <v>#REF!</v>
      </c>
      <c r="FF21" t="e">
        <f>AND(#REF!,"AAAAAHqb/qE=")</f>
        <v>#REF!</v>
      </c>
      <c r="FG21" t="e">
        <f>AND(#REF!,"AAAAAHqb/qI=")</f>
        <v>#REF!</v>
      </c>
      <c r="FH21" t="e">
        <f>AND(#REF!,"AAAAAHqb/qM=")</f>
        <v>#REF!</v>
      </c>
      <c r="FI21" t="e">
        <f>AND(#REF!,"AAAAAHqb/qQ=")</f>
        <v>#REF!</v>
      </c>
      <c r="FJ21" t="e">
        <f>AND(#REF!,"AAAAAHqb/qU=")</f>
        <v>#REF!</v>
      </c>
      <c r="FK21" t="e">
        <f>AND(#REF!,"AAAAAHqb/qY=")</f>
        <v>#REF!</v>
      </c>
      <c r="FL21" t="e">
        <f>AND(#REF!,"AAAAAHqb/qc=")</f>
        <v>#REF!</v>
      </c>
      <c r="FM21" t="e">
        <f>AND(#REF!,"AAAAAHqb/qg=")</f>
        <v>#REF!</v>
      </c>
      <c r="FN21" t="e">
        <f>AND(#REF!,"AAAAAHqb/qk=")</f>
        <v>#REF!</v>
      </c>
      <c r="FO21" t="e">
        <f>AND(#REF!,"AAAAAHqb/qo=")</f>
        <v>#REF!</v>
      </c>
      <c r="FP21" t="e">
        <f>AND(#REF!,"AAAAAHqb/qs=")</f>
        <v>#REF!</v>
      </c>
      <c r="FQ21" t="e">
        <f>AND(#REF!,"AAAAAHqb/qw=")</f>
        <v>#REF!</v>
      </c>
      <c r="FR21" t="e">
        <f>AND(#REF!,"AAAAAHqb/q0=")</f>
        <v>#REF!</v>
      </c>
      <c r="FS21" t="e">
        <f>AND(#REF!,"AAAAAHqb/q4=")</f>
        <v>#REF!</v>
      </c>
      <c r="FT21" t="e">
        <f>AND(#REF!,"AAAAAHqb/q8=")</f>
        <v>#REF!</v>
      </c>
      <c r="FU21" t="e">
        <f>AND(#REF!,"AAAAAHqb/rA=")</f>
        <v>#REF!</v>
      </c>
      <c r="FV21" t="e">
        <f>AND(#REF!,"AAAAAHqb/rE=")</f>
        <v>#REF!</v>
      </c>
      <c r="FW21" t="e">
        <f>AND(#REF!,"AAAAAHqb/rI=")</f>
        <v>#REF!</v>
      </c>
      <c r="FX21" t="e">
        <f>AND(#REF!,"AAAAAHqb/rM=")</f>
        <v>#REF!</v>
      </c>
      <c r="FY21" t="e">
        <f>AND(#REF!,"AAAAAHqb/rQ=")</f>
        <v>#REF!</v>
      </c>
      <c r="FZ21" t="e">
        <f>AND(#REF!,"AAAAAHqb/rU=")</f>
        <v>#REF!</v>
      </c>
      <c r="GA21" t="e">
        <f>AND(#REF!,"AAAAAHqb/rY=")</f>
        <v>#REF!</v>
      </c>
      <c r="GB21" t="e">
        <f>AND(#REF!,"AAAAAHqb/rc=")</f>
        <v>#REF!</v>
      </c>
      <c r="GC21" t="e">
        <f>AND(#REF!,"AAAAAHqb/rg=")</f>
        <v>#REF!</v>
      </c>
      <c r="GD21" t="e">
        <f>AND(#REF!,"AAAAAHqb/rk=")</f>
        <v>#REF!</v>
      </c>
      <c r="GE21" t="e">
        <f>AND(#REF!,"AAAAAHqb/ro=")</f>
        <v>#REF!</v>
      </c>
      <c r="GF21" t="e">
        <f>AND(#REF!,"AAAAAHqb/rs=")</f>
        <v>#REF!</v>
      </c>
      <c r="GG21" t="e">
        <f>AND(#REF!,"AAAAAHqb/rw=")</f>
        <v>#REF!</v>
      </c>
      <c r="GH21" t="e">
        <f>AND(#REF!,"AAAAAHqb/r0=")</f>
        <v>#REF!</v>
      </c>
      <c r="GI21" t="e">
        <f>AND(#REF!,"AAAAAHqb/r4=")</f>
        <v>#REF!</v>
      </c>
      <c r="GJ21" t="e">
        <f>AND(#REF!,"AAAAAHqb/r8=")</f>
        <v>#REF!</v>
      </c>
      <c r="GK21" t="e">
        <f>AND(#REF!,"AAAAAHqb/sA=")</f>
        <v>#REF!</v>
      </c>
      <c r="GL21" t="e">
        <f>AND(#REF!,"AAAAAHqb/sE=")</f>
        <v>#REF!</v>
      </c>
      <c r="GM21" t="e">
        <f>AND(#REF!,"AAAAAHqb/sI=")</f>
        <v>#REF!</v>
      </c>
      <c r="GN21" t="e">
        <f>AND(#REF!,"AAAAAHqb/sM=")</f>
        <v>#REF!</v>
      </c>
      <c r="GO21" t="e">
        <f>AND(#REF!,"AAAAAHqb/sQ=")</f>
        <v>#REF!</v>
      </c>
      <c r="GP21" t="e">
        <f>AND(#REF!,"AAAAAHqb/sU=")</f>
        <v>#REF!</v>
      </c>
      <c r="GQ21" t="e">
        <f>AND(#REF!,"AAAAAHqb/sY=")</f>
        <v>#REF!</v>
      </c>
      <c r="GR21" t="e">
        <f>AND(#REF!,"AAAAAHqb/sc=")</f>
        <v>#REF!</v>
      </c>
      <c r="GS21" t="e">
        <f>AND(#REF!,"AAAAAHqb/sg=")</f>
        <v>#REF!</v>
      </c>
      <c r="GT21" t="e">
        <f>AND(#REF!,"AAAAAHqb/sk=")</f>
        <v>#REF!</v>
      </c>
      <c r="GU21" t="e">
        <f>AND(#REF!,"AAAAAHqb/so=")</f>
        <v>#REF!</v>
      </c>
      <c r="GV21" t="e">
        <f>AND(#REF!,"AAAAAHqb/ss=")</f>
        <v>#REF!</v>
      </c>
      <c r="GW21" t="e">
        <f>IF(#REF!,"AAAAAHqb/sw=",0)</f>
        <v>#REF!</v>
      </c>
      <c r="GX21" t="e">
        <f>AND(#REF!,"AAAAAHqb/s0=")</f>
        <v>#REF!</v>
      </c>
      <c r="GY21" t="e">
        <f>AND(#REF!,"AAAAAHqb/s4=")</f>
        <v>#REF!</v>
      </c>
      <c r="GZ21" t="e">
        <f>AND(#REF!,"AAAAAHqb/s8=")</f>
        <v>#REF!</v>
      </c>
      <c r="HA21" t="e">
        <f>AND(#REF!,"AAAAAHqb/tA=")</f>
        <v>#REF!</v>
      </c>
      <c r="HB21" t="e">
        <f>AND(#REF!,"AAAAAHqb/tE=")</f>
        <v>#REF!</v>
      </c>
      <c r="HC21" t="e">
        <f>AND(#REF!,"AAAAAHqb/tI=")</f>
        <v>#REF!</v>
      </c>
      <c r="HD21" t="e">
        <f>AND(#REF!,"AAAAAHqb/tM=")</f>
        <v>#REF!</v>
      </c>
      <c r="HE21" t="e">
        <f>AND(#REF!,"AAAAAHqb/tQ=")</f>
        <v>#REF!</v>
      </c>
      <c r="HF21" t="e">
        <f>AND(#REF!,"AAAAAHqb/tU=")</f>
        <v>#REF!</v>
      </c>
      <c r="HG21" t="e">
        <f>AND(#REF!,"AAAAAHqb/tY=")</f>
        <v>#REF!</v>
      </c>
      <c r="HH21" t="e">
        <f>AND(#REF!,"AAAAAHqb/tc=")</f>
        <v>#REF!</v>
      </c>
      <c r="HI21" t="e">
        <f>AND(#REF!,"AAAAAHqb/tg=")</f>
        <v>#REF!</v>
      </c>
      <c r="HJ21" t="e">
        <f>AND(#REF!,"AAAAAHqb/tk=")</f>
        <v>#REF!</v>
      </c>
      <c r="HK21" t="e">
        <f>AND(#REF!,"AAAAAHqb/to=")</f>
        <v>#REF!</v>
      </c>
      <c r="HL21" t="e">
        <f>AND(#REF!,"AAAAAHqb/ts=")</f>
        <v>#REF!</v>
      </c>
      <c r="HM21" t="e">
        <f>AND(#REF!,"AAAAAHqb/tw=")</f>
        <v>#REF!</v>
      </c>
      <c r="HN21" t="e">
        <f>AND(#REF!,"AAAAAHqb/t0=")</f>
        <v>#REF!</v>
      </c>
      <c r="HO21" t="e">
        <f>AND(#REF!,"AAAAAHqb/t4=")</f>
        <v>#REF!</v>
      </c>
      <c r="HP21" t="e">
        <f>AND(#REF!,"AAAAAHqb/t8=")</f>
        <v>#REF!</v>
      </c>
      <c r="HQ21" t="e">
        <f>AND(#REF!,"AAAAAHqb/uA=")</f>
        <v>#REF!</v>
      </c>
      <c r="HR21" t="e">
        <f>AND(#REF!,"AAAAAHqb/uE=")</f>
        <v>#REF!</v>
      </c>
      <c r="HS21" t="e">
        <f>AND(#REF!,"AAAAAHqb/uI=")</f>
        <v>#REF!</v>
      </c>
      <c r="HT21" t="e">
        <f>AND(#REF!,"AAAAAHqb/uM=")</f>
        <v>#REF!</v>
      </c>
      <c r="HU21" t="e">
        <f>AND(#REF!,"AAAAAHqb/uQ=")</f>
        <v>#REF!</v>
      </c>
      <c r="HV21" t="e">
        <f>AND(#REF!,"AAAAAHqb/uU=")</f>
        <v>#REF!</v>
      </c>
      <c r="HW21" t="e">
        <f>AND(#REF!,"AAAAAHqb/uY=")</f>
        <v>#REF!</v>
      </c>
      <c r="HX21" t="e">
        <f>AND(#REF!,"AAAAAHqb/uc=")</f>
        <v>#REF!</v>
      </c>
      <c r="HY21" t="e">
        <f>AND(#REF!,"AAAAAHqb/ug=")</f>
        <v>#REF!</v>
      </c>
      <c r="HZ21" t="e">
        <f>AND(#REF!,"AAAAAHqb/uk=")</f>
        <v>#REF!</v>
      </c>
      <c r="IA21" t="e">
        <f>AND(#REF!,"AAAAAHqb/uo=")</f>
        <v>#REF!</v>
      </c>
      <c r="IB21" t="e">
        <f>AND(#REF!,"AAAAAHqb/us=")</f>
        <v>#REF!</v>
      </c>
      <c r="IC21" t="e">
        <f>AND(#REF!,"AAAAAHqb/uw=")</f>
        <v>#REF!</v>
      </c>
      <c r="ID21" t="e">
        <f>AND(#REF!,"AAAAAHqb/u0=")</f>
        <v>#REF!</v>
      </c>
      <c r="IE21" t="e">
        <f>AND(#REF!,"AAAAAHqb/u4=")</f>
        <v>#REF!</v>
      </c>
      <c r="IF21" t="e">
        <f>AND(#REF!,"AAAAAHqb/u8=")</f>
        <v>#REF!</v>
      </c>
      <c r="IG21" t="e">
        <f>AND(#REF!,"AAAAAHqb/vA=")</f>
        <v>#REF!</v>
      </c>
      <c r="IH21" t="e">
        <f>AND(#REF!,"AAAAAHqb/vE=")</f>
        <v>#REF!</v>
      </c>
      <c r="II21" t="e">
        <f>AND(#REF!,"AAAAAHqb/vI=")</f>
        <v>#REF!</v>
      </c>
      <c r="IJ21" t="e">
        <f>AND(#REF!,"AAAAAHqb/vM=")</f>
        <v>#REF!</v>
      </c>
      <c r="IK21" t="e">
        <f>AND(#REF!,"AAAAAHqb/vQ=")</f>
        <v>#REF!</v>
      </c>
      <c r="IL21" t="e">
        <f>AND(#REF!,"AAAAAHqb/vU=")</f>
        <v>#REF!</v>
      </c>
      <c r="IM21" t="e">
        <f>AND(#REF!,"AAAAAHqb/vY=")</f>
        <v>#REF!</v>
      </c>
      <c r="IN21" t="e">
        <f>AND(#REF!,"AAAAAHqb/vc=")</f>
        <v>#REF!</v>
      </c>
      <c r="IO21" t="e">
        <f>IF(#REF!,"AAAAAHqb/vg=",0)</f>
        <v>#REF!</v>
      </c>
      <c r="IP21" t="e">
        <f>AND(#REF!,"AAAAAHqb/vk=")</f>
        <v>#REF!</v>
      </c>
      <c r="IQ21" t="e">
        <f>AND(#REF!,"AAAAAHqb/vo=")</f>
        <v>#REF!</v>
      </c>
      <c r="IR21" t="e">
        <f>AND(#REF!,"AAAAAHqb/vs=")</f>
        <v>#REF!</v>
      </c>
      <c r="IS21" t="e">
        <f>AND(#REF!,"AAAAAHqb/vw=")</f>
        <v>#REF!</v>
      </c>
      <c r="IT21" t="e">
        <f>AND(#REF!,"AAAAAHqb/v0=")</f>
        <v>#REF!</v>
      </c>
      <c r="IU21" t="e">
        <f>AND(#REF!,"AAAAAHqb/v4=")</f>
        <v>#REF!</v>
      </c>
      <c r="IV21" t="e">
        <f>AND(#REF!,"AAAAAHqb/v8=")</f>
        <v>#REF!</v>
      </c>
    </row>
    <row r="22" spans="1:256" x14ac:dyDescent="0.25">
      <c r="A22" t="e">
        <f>AND(#REF!,"AAAAADX9/wA=")</f>
        <v>#REF!</v>
      </c>
      <c r="B22" t="e">
        <f>AND(#REF!,"AAAAADX9/wE=")</f>
        <v>#REF!</v>
      </c>
      <c r="C22" t="e">
        <f>AND(#REF!,"AAAAADX9/wI=")</f>
        <v>#REF!</v>
      </c>
      <c r="D22" t="e">
        <f>AND(#REF!,"AAAAADX9/wM=")</f>
        <v>#REF!</v>
      </c>
      <c r="E22" t="e">
        <f>AND(#REF!,"AAAAADX9/wQ=")</f>
        <v>#REF!</v>
      </c>
      <c r="F22" t="e">
        <f>AND(#REF!,"AAAAADX9/wU=")</f>
        <v>#REF!</v>
      </c>
      <c r="G22" t="e">
        <f>AND(#REF!,"AAAAADX9/wY=")</f>
        <v>#REF!</v>
      </c>
      <c r="H22" t="e">
        <f>AND(#REF!,"AAAAADX9/wc=")</f>
        <v>#REF!</v>
      </c>
      <c r="I22" t="e">
        <f>AND(#REF!,"AAAAADX9/wg=")</f>
        <v>#REF!</v>
      </c>
      <c r="J22" t="e">
        <f>AND(#REF!,"AAAAADX9/wk=")</f>
        <v>#REF!</v>
      </c>
      <c r="K22" t="e">
        <f>AND(#REF!,"AAAAADX9/wo=")</f>
        <v>#REF!</v>
      </c>
      <c r="L22" t="e">
        <f>AND(#REF!,"AAAAADX9/ws=")</f>
        <v>#REF!</v>
      </c>
      <c r="M22" t="e">
        <f>AND(#REF!,"AAAAADX9/ww=")</f>
        <v>#REF!</v>
      </c>
      <c r="N22" t="e">
        <f>AND(#REF!,"AAAAADX9/w0=")</f>
        <v>#REF!</v>
      </c>
      <c r="O22" t="e">
        <f>AND(#REF!,"AAAAADX9/w4=")</f>
        <v>#REF!</v>
      </c>
      <c r="P22" t="e">
        <f>AND(#REF!,"AAAAADX9/w8=")</f>
        <v>#REF!</v>
      </c>
      <c r="Q22" t="e">
        <f>AND(#REF!,"AAAAADX9/xA=")</f>
        <v>#REF!</v>
      </c>
      <c r="R22" t="e">
        <f>AND(#REF!,"AAAAADX9/xE=")</f>
        <v>#REF!</v>
      </c>
      <c r="S22" t="e">
        <f>AND(#REF!,"AAAAADX9/xI=")</f>
        <v>#REF!</v>
      </c>
      <c r="T22" t="e">
        <f>AND(#REF!,"AAAAADX9/xM=")</f>
        <v>#REF!</v>
      </c>
      <c r="U22" t="e">
        <f>AND(#REF!,"AAAAADX9/xQ=")</f>
        <v>#REF!</v>
      </c>
      <c r="V22" t="e">
        <f>AND(#REF!,"AAAAADX9/xU=")</f>
        <v>#REF!</v>
      </c>
      <c r="W22" t="e">
        <f>AND(#REF!,"AAAAADX9/xY=")</f>
        <v>#REF!</v>
      </c>
      <c r="X22" t="e">
        <f>AND(#REF!,"AAAAADX9/xc=")</f>
        <v>#REF!</v>
      </c>
      <c r="Y22" t="e">
        <f>AND(#REF!,"AAAAADX9/xg=")</f>
        <v>#REF!</v>
      </c>
      <c r="Z22" t="e">
        <f>AND(#REF!,"AAAAADX9/xk=")</f>
        <v>#REF!</v>
      </c>
      <c r="AA22" t="e">
        <f>AND(#REF!,"AAAAADX9/xo=")</f>
        <v>#REF!</v>
      </c>
      <c r="AB22" t="e">
        <f>AND(#REF!,"AAAAADX9/xs=")</f>
        <v>#REF!</v>
      </c>
      <c r="AC22" t="e">
        <f>AND(#REF!,"AAAAADX9/xw=")</f>
        <v>#REF!</v>
      </c>
      <c r="AD22" t="e">
        <f>AND(#REF!,"AAAAADX9/x0=")</f>
        <v>#REF!</v>
      </c>
      <c r="AE22" t="e">
        <f>AND(#REF!,"AAAAADX9/x4=")</f>
        <v>#REF!</v>
      </c>
      <c r="AF22" t="e">
        <f>AND(#REF!,"AAAAADX9/x8=")</f>
        <v>#REF!</v>
      </c>
      <c r="AG22" t="e">
        <f>AND(#REF!,"AAAAADX9/yA=")</f>
        <v>#REF!</v>
      </c>
      <c r="AH22" t="e">
        <f>AND(#REF!,"AAAAADX9/yE=")</f>
        <v>#REF!</v>
      </c>
      <c r="AI22" t="e">
        <f>AND(#REF!,"AAAAADX9/yI=")</f>
        <v>#REF!</v>
      </c>
      <c r="AJ22" t="e">
        <f>AND(#REF!,"AAAAADX9/yM=")</f>
        <v>#REF!</v>
      </c>
      <c r="AK22" t="e">
        <f>IF(#REF!,"AAAAADX9/yQ=",0)</f>
        <v>#REF!</v>
      </c>
      <c r="AL22" t="e">
        <f>AND(#REF!,"AAAAADX9/yU=")</f>
        <v>#REF!</v>
      </c>
      <c r="AM22" t="e">
        <f>AND(#REF!,"AAAAADX9/yY=")</f>
        <v>#REF!</v>
      </c>
      <c r="AN22" t="e">
        <f>AND(#REF!,"AAAAADX9/yc=")</f>
        <v>#REF!</v>
      </c>
      <c r="AO22" t="e">
        <f>AND(#REF!,"AAAAADX9/yg=")</f>
        <v>#REF!</v>
      </c>
      <c r="AP22" t="e">
        <f>AND(#REF!,"AAAAADX9/yk=")</f>
        <v>#REF!</v>
      </c>
      <c r="AQ22" t="e">
        <f>AND(#REF!,"AAAAADX9/yo=")</f>
        <v>#REF!</v>
      </c>
      <c r="AR22" t="e">
        <f>AND(#REF!,"AAAAADX9/ys=")</f>
        <v>#REF!</v>
      </c>
      <c r="AS22" t="e">
        <f>AND(#REF!,"AAAAADX9/yw=")</f>
        <v>#REF!</v>
      </c>
      <c r="AT22" t="e">
        <f>AND(#REF!,"AAAAADX9/y0=")</f>
        <v>#REF!</v>
      </c>
      <c r="AU22" t="e">
        <f>AND(#REF!,"AAAAADX9/y4=")</f>
        <v>#REF!</v>
      </c>
      <c r="AV22" t="e">
        <f>AND(#REF!,"AAAAADX9/y8=")</f>
        <v>#REF!</v>
      </c>
      <c r="AW22" t="e">
        <f>AND(#REF!,"AAAAADX9/zA=")</f>
        <v>#REF!</v>
      </c>
      <c r="AX22" t="e">
        <f>AND(#REF!,"AAAAADX9/zE=")</f>
        <v>#REF!</v>
      </c>
      <c r="AY22" t="e">
        <f>AND(#REF!,"AAAAADX9/zI=")</f>
        <v>#REF!</v>
      </c>
      <c r="AZ22" t="e">
        <f>AND(#REF!,"AAAAADX9/zM=")</f>
        <v>#REF!</v>
      </c>
      <c r="BA22" t="e">
        <f>AND(#REF!,"AAAAADX9/zQ=")</f>
        <v>#REF!</v>
      </c>
      <c r="BB22" t="e">
        <f>AND(#REF!,"AAAAADX9/zU=")</f>
        <v>#REF!</v>
      </c>
      <c r="BC22" t="e">
        <f>AND(#REF!,"AAAAADX9/zY=")</f>
        <v>#REF!</v>
      </c>
      <c r="BD22" t="e">
        <f>AND(#REF!,"AAAAADX9/zc=")</f>
        <v>#REF!</v>
      </c>
      <c r="BE22" t="e">
        <f>AND(#REF!,"AAAAADX9/zg=")</f>
        <v>#REF!</v>
      </c>
      <c r="BF22" t="e">
        <f>AND(#REF!,"AAAAADX9/zk=")</f>
        <v>#REF!</v>
      </c>
      <c r="BG22" t="e">
        <f>AND(#REF!,"AAAAADX9/zo=")</f>
        <v>#REF!</v>
      </c>
      <c r="BH22" t="e">
        <f>AND(#REF!,"AAAAADX9/zs=")</f>
        <v>#REF!</v>
      </c>
      <c r="BI22" t="e">
        <f>AND(#REF!,"AAAAADX9/zw=")</f>
        <v>#REF!</v>
      </c>
      <c r="BJ22" t="e">
        <f>AND(#REF!,"AAAAADX9/z0=")</f>
        <v>#REF!</v>
      </c>
      <c r="BK22" t="e">
        <f>AND(#REF!,"AAAAADX9/z4=")</f>
        <v>#REF!</v>
      </c>
      <c r="BL22" t="e">
        <f>AND(#REF!,"AAAAADX9/z8=")</f>
        <v>#REF!</v>
      </c>
      <c r="BM22" t="e">
        <f>AND(#REF!,"AAAAADX9/0A=")</f>
        <v>#REF!</v>
      </c>
      <c r="BN22" t="e">
        <f>AND(#REF!,"AAAAADX9/0E=")</f>
        <v>#REF!</v>
      </c>
      <c r="BO22" t="e">
        <f>AND(#REF!,"AAAAADX9/0I=")</f>
        <v>#REF!</v>
      </c>
      <c r="BP22" t="e">
        <f>AND(#REF!,"AAAAADX9/0M=")</f>
        <v>#REF!</v>
      </c>
      <c r="BQ22" t="e">
        <f>AND(#REF!,"AAAAADX9/0Q=")</f>
        <v>#REF!</v>
      </c>
      <c r="BR22" t="e">
        <f>AND(#REF!,"AAAAADX9/0U=")</f>
        <v>#REF!</v>
      </c>
      <c r="BS22" t="e">
        <f>AND(#REF!,"AAAAADX9/0Y=")</f>
        <v>#REF!</v>
      </c>
      <c r="BT22" t="e">
        <f>AND(#REF!,"AAAAADX9/0c=")</f>
        <v>#REF!</v>
      </c>
      <c r="BU22" t="e">
        <f>AND(#REF!,"AAAAADX9/0g=")</f>
        <v>#REF!</v>
      </c>
      <c r="BV22" t="e">
        <f>AND(#REF!,"AAAAADX9/0k=")</f>
        <v>#REF!</v>
      </c>
      <c r="BW22" t="e">
        <f>AND(#REF!,"AAAAADX9/0o=")</f>
        <v>#REF!</v>
      </c>
      <c r="BX22" t="e">
        <f>AND(#REF!,"AAAAADX9/0s=")</f>
        <v>#REF!</v>
      </c>
      <c r="BY22" t="e">
        <f>AND(#REF!,"AAAAADX9/0w=")</f>
        <v>#REF!</v>
      </c>
      <c r="BZ22" t="e">
        <f>AND(#REF!,"AAAAADX9/00=")</f>
        <v>#REF!</v>
      </c>
      <c r="CA22" t="e">
        <f>AND(#REF!,"AAAAADX9/04=")</f>
        <v>#REF!</v>
      </c>
      <c r="CB22" t="e">
        <f>AND(#REF!,"AAAAADX9/08=")</f>
        <v>#REF!</v>
      </c>
      <c r="CC22" t="e">
        <f>IF(#REF!,"AAAAADX9/1A=",0)</f>
        <v>#REF!</v>
      </c>
      <c r="CD22" t="e">
        <f>AND(#REF!,"AAAAADX9/1E=")</f>
        <v>#REF!</v>
      </c>
      <c r="CE22" t="e">
        <f>AND(#REF!,"AAAAADX9/1I=")</f>
        <v>#REF!</v>
      </c>
      <c r="CF22" t="e">
        <f>AND(#REF!,"AAAAADX9/1M=")</f>
        <v>#REF!</v>
      </c>
      <c r="CG22" t="e">
        <f>AND(#REF!,"AAAAADX9/1Q=")</f>
        <v>#REF!</v>
      </c>
      <c r="CH22" t="e">
        <f>AND(#REF!,"AAAAADX9/1U=")</f>
        <v>#REF!</v>
      </c>
      <c r="CI22" t="e">
        <f>AND(#REF!,"AAAAADX9/1Y=")</f>
        <v>#REF!</v>
      </c>
      <c r="CJ22" t="e">
        <f>AND(#REF!,"AAAAADX9/1c=")</f>
        <v>#REF!</v>
      </c>
      <c r="CK22" t="e">
        <f>AND(#REF!,"AAAAADX9/1g=")</f>
        <v>#REF!</v>
      </c>
      <c r="CL22" t="e">
        <f>AND(#REF!,"AAAAADX9/1k=")</f>
        <v>#REF!</v>
      </c>
      <c r="CM22" t="e">
        <f>AND(#REF!,"AAAAADX9/1o=")</f>
        <v>#REF!</v>
      </c>
      <c r="CN22" t="e">
        <f>AND(#REF!,"AAAAADX9/1s=")</f>
        <v>#REF!</v>
      </c>
      <c r="CO22" t="e">
        <f>AND(#REF!,"AAAAADX9/1w=")</f>
        <v>#REF!</v>
      </c>
      <c r="CP22" t="e">
        <f>AND(#REF!,"AAAAADX9/10=")</f>
        <v>#REF!</v>
      </c>
      <c r="CQ22" t="e">
        <f>AND(#REF!,"AAAAADX9/14=")</f>
        <v>#REF!</v>
      </c>
      <c r="CR22" t="e">
        <f>AND(#REF!,"AAAAADX9/18=")</f>
        <v>#REF!</v>
      </c>
      <c r="CS22" t="e">
        <f>AND(#REF!,"AAAAADX9/2A=")</f>
        <v>#REF!</v>
      </c>
      <c r="CT22" t="e">
        <f>AND(#REF!,"AAAAADX9/2E=")</f>
        <v>#REF!</v>
      </c>
      <c r="CU22" t="e">
        <f>AND(#REF!,"AAAAADX9/2I=")</f>
        <v>#REF!</v>
      </c>
      <c r="CV22" t="e">
        <f>AND(#REF!,"AAAAADX9/2M=")</f>
        <v>#REF!</v>
      </c>
      <c r="CW22" t="e">
        <f>AND(#REF!,"AAAAADX9/2Q=")</f>
        <v>#REF!</v>
      </c>
      <c r="CX22" t="e">
        <f>AND(#REF!,"AAAAADX9/2U=")</f>
        <v>#REF!</v>
      </c>
      <c r="CY22" t="e">
        <f>AND(#REF!,"AAAAADX9/2Y=")</f>
        <v>#REF!</v>
      </c>
      <c r="CZ22" t="e">
        <f>AND(#REF!,"AAAAADX9/2c=")</f>
        <v>#REF!</v>
      </c>
      <c r="DA22" t="e">
        <f>AND(#REF!,"AAAAADX9/2g=")</f>
        <v>#REF!</v>
      </c>
      <c r="DB22" t="e">
        <f>AND(#REF!,"AAAAADX9/2k=")</f>
        <v>#REF!</v>
      </c>
      <c r="DC22" t="e">
        <f>AND(#REF!,"AAAAADX9/2o=")</f>
        <v>#REF!</v>
      </c>
      <c r="DD22" t="e">
        <f>AND(#REF!,"AAAAADX9/2s=")</f>
        <v>#REF!</v>
      </c>
      <c r="DE22" t="e">
        <f>AND(#REF!,"AAAAADX9/2w=")</f>
        <v>#REF!</v>
      </c>
      <c r="DF22" t="e">
        <f>AND(#REF!,"AAAAADX9/20=")</f>
        <v>#REF!</v>
      </c>
      <c r="DG22" t="e">
        <f>AND(#REF!,"AAAAADX9/24=")</f>
        <v>#REF!</v>
      </c>
      <c r="DH22" t="e">
        <f>AND(#REF!,"AAAAADX9/28=")</f>
        <v>#REF!</v>
      </c>
      <c r="DI22" t="e">
        <f>AND(#REF!,"AAAAADX9/3A=")</f>
        <v>#REF!</v>
      </c>
      <c r="DJ22" t="e">
        <f>AND(#REF!,"AAAAADX9/3E=")</f>
        <v>#REF!</v>
      </c>
      <c r="DK22" t="e">
        <f>AND(#REF!,"AAAAADX9/3I=")</f>
        <v>#REF!</v>
      </c>
      <c r="DL22" t="e">
        <f>AND(#REF!,"AAAAADX9/3M=")</f>
        <v>#REF!</v>
      </c>
      <c r="DM22" t="e">
        <f>AND(#REF!,"AAAAADX9/3Q=")</f>
        <v>#REF!</v>
      </c>
      <c r="DN22" t="e">
        <f>AND(#REF!,"AAAAADX9/3U=")</f>
        <v>#REF!</v>
      </c>
      <c r="DO22" t="e">
        <f>AND(#REF!,"AAAAADX9/3Y=")</f>
        <v>#REF!</v>
      </c>
      <c r="DP22" t="e">
        <f>AND(#REF!,"AAAAADX9/3c=")</f>
        <v>#REF!</v>
      </c>
      <c r="DQ22" t="e">
        <f>AND(#REF!,"AAAAADX9/3g=")</f>
        <v>#REF!</v>
      </c>
      <c r="DR22" t="e">
        <f>AND(#REF!,"AAAAADX9/3k=")</f>
        <v>#REF!</v>
      </c>
      <c r="DS22" t="e">
        <f>AND(#REF!,"AAAAADX9/3o=")</f>
        <v>#REF!</v>
      </c>
      <c r="DT22" t="e">
        <f>AND(#REF!,"AAAAADX9/3s=")</f>
        <v>#REF!</v>
      </c>
      <c r="DU22" t="e">
        <f>IF(#REF!,"AAAAADX9/3w=",0)</f>
        <v>#REF!</v>
      </c>
      <c r="DV22" t="e">
        <f>AND(#REF!,"AAAAADX9/30=")</f>
        <v>#REF!</v>
      </c>
      <c r="DW22" t="e">
        <f>AND(#REF!,"AAAAADX9/34=")</f>
        <v>#REF!</v>
      </c>
      <c r="DX22" t="e">
        <f>AND(#REF!,"AAAAADX9/38=")</f>
        <v>#REF!</v>
      </c>
      <c r="DY22" t="e">
        <f>AND(#REF!,"AAAAADX9/4A=")</f>
        <v>#REF!</v>
      </c>
      <c r="DZ22" t="e">
        <f>AND(#REF!,"AAAAADX9/4E=")</f>
        <v>#REF!</v>
      </c>
      <c r="EA22" t="e">
        <f>AND(#REF!,"AAAAADX9/4I=")</f>
        <v>#REF!</v>
      </c>
      <c r="EB22" t="e">
        <f>AND(#REF!,"AAAAADX9/4M=")</f>
        <v>#REF!</v>
      </c>
      <c r="EC22" t="e">
        <f>AND(#REF!,"AAAAADX9/4Q=")</f>
        <v>#REF!</v>
      </c>
      <c r="ED22" t="e">
        <f>AND(#REF!,"AAAAADX9/4U=")</f>
        <v>#REF!</v>
      </c>
      <c r="EE22" t="e">
        <f>AND(#REF!,"AAAAADX9/4Y=")</f>
        <v>#REF!</v>
      </c>
      <c r="EF22" t="e">
        <f>AND(#REF!,"AAAAADX9/4c=")</f>
        <v>#REF!</v>
      </c>
      <c r="EG22" t="e">
        <f>AND(#REF!,"AAAAADX9/4g=")</f>
        <v>#REF!</v>
      </c>
      <c r="EH22" t="e">
        <f>AND(#REF!,"AAAAADX9/4k=")</f>
        <v>#REF!</v>
      </c>
      <c r="EI22" t="e">
        <f>AND(#REF!,"AAAAADX9/4o=")</f>
        <v>#REF!</v>
      </c>
      <c r="EJ22" t="e">
        <f>AND(#REF!,"AAAAADX9/4s=")</f>
        <v>#REF!</v>
      </c>
      <c r="EK22" t="e">
        <f>AND(#REF!,"AAAAADX9/4w=")</f>
        <v>#REF!</v>
      </c>
      <c r="EL22" t="e">
        <f>AND(#REF!,"AAAAADX9/40=")</f>
        <v>#REF!</v>
      </c>
      <c r="EM22" t="e">
        <f>AND(#REF!,"AAAAADX9/44=")</f>
        <v>#REF!</v>
      </c>
      <c r="EN22" t="e">
        <f>AND(#REF!,"AAAAADX9/48=")</f>
        <v>#REF!</v>
      </c>
      <c r="EO22" t="e">
        <f>AND(#REF!,"AAAAADX9/5A=")</f>
        <v>#REF!</v>
      </c>
      <c r="EP22" t="e">
        <f>AND(#REF!,"AAAAADX9/5E=")</f>
        <v>#REF!</v>
      </c>
      <c r="EQ22" t="e">
        <f>AND(#REF!,"AAAAADX9/5I=")</f>
        <v>#REF!</v>
      </c>
      <c r="ER22" t="e">
        <f>AND(#REF!,"AAAAADX9/5M=")</f>
        <v>#REF!</v>
      </c>
      <c r="ES22" t="e">
        <f>AND(#REF!,"AAAAADX9/5Q=")</f>
        <v>#REF!</v>
      </c>
      <c r="ET22" t="e">
        <f>AND(#REF!,"AAAAADX9/5U=")</f>
        <v>#REF!</v>
      </c>
      <c r="EU22" t="e">
        <f>AND(#REF!,"AAAAADX9/5Y=")</f>
        <v>#REF!</v>
      </c>
      <c r="EV22" t="e">
        <f>AND(#REF!,"AAAAADX9/5c=")</f>
        <v>#REF!</v>
      </c>
      <c r="EW22" t="e">
        <f>AND(#REF!,"AAAAADX9/5g=")</f>
        <v>#REF!</v>
      </c>
      <c r="EX22" t="e">
        <f>AND(#REF!,"AAAAADX9/5k=")</f>
        <v>#REF!</v>
      </c>
      <c r="EY22" t="e">
        <f>AND(#REF!,"AAAAADX9/5o=")</f>
        <v>#REF!</v>
      </c>
      <c r="EZ22" t="e">
        <f>AND(#REF!,"AAAAADX9/5s=")</f>
        <v>#REF!</v>
      </c>
      <c r="FA22" t="e">
        <f>AND(#REF!,"AAAAADX9/5w=")</f>
        <v>#REF!</v>
      </c>
      <c r="FB22" t="e">
        <f>AND(#REF!,"AAAAADX9/50=")</f>
        <v>#REF!</v>
      </c>
      <c r="FC22" t="e">
        <f>AND(#REF!,"AAAAADX9/54=")</f>
        <v>#REF!</v>
      </c>
      <c r="FD22" t="e">
        <f>AND(#REF!,"AAAAADX9/58=")</f>
        <v>#REF!</v>
      </c>
      <c r="FE22" t="e">
        <f>AND(#REF!,"AAAAADX9/6A=")</f>
        <v>#REF!</v>
      </c>
      <c r="FF22" t="e">
        <f>AND(#REF!,"AAAAADX9/6E=")</f>
        <v>#REF!</v>
      </c>
      <c r="FG22" t="e">
        <f>AND(#REF!,"AAAAADX9/6I=")</f>
        <v>#REF!</v>
      </c>
      <c r="FH22" t="e">
        <f>AND(#REF!,"AAAAADX9/6M=")</f>
        <v>#REF!</v>
      </c>
      <c r="FI22" t="e">
        <f>AND(#REF!,"AAAAADX9/6Q=")</f>
        <v>#REF!</v>
      </c>
      <c r="FJ22" t="e">
        <f>AND(#REF!,"AAAAADX9/6U=")</f>
        <v>#REF!</v>
      </c>
      <c r="FK22" t="e">
        <f>AND(#REF!,"AAAAADX9/6Y=")</f>
        <v>#REF!</v>
      </c>
      <c r="FL22" t="e">
        <f>AND(#REF!,"AAAAADX9/6c=")</f>
        <v>#REF!</v>
      </c>
      <c r="FM22" t="e">
        <f>IF(#REF!,"AAAAADX9/6g=",0)</f>
        <v>#REF!</v>
      </c>
      <c r="FN22" t="e">
        <f>AND(#REF!,"AAAAADX9/6k=")</f>
        <v>#REF!</v>
      </c>
      <c r="FO22" t="e">
        <f>AND(#REF!,"AAAAADX9/6o=")</f>
        <v>#REF!</v>
      </c>
      <c r="FP22" t="e">
        <f>AND(#REF!,"AAAAADX9/6s=")</f>
        <v>#REF!</v>
      </c>
      <c r="FQ22" t="e">
        <f>AND(#REF!,"AAAAADX9/6w=")</f>
        <v>#REF!</v>
      </c>
      <c r="FR22" t="e">
        <f>AND(#REF!,"AAAAADX9/60=")</f>
        <v>#REF!</v>
      </c>
      <c r="FS22" t="e">
        <f>AND(#REF!,"AAAAADX9/64=")</f>
        <v>#REF!</v>
      </c>
      <c r="FT22" t="e">
        <f>AND(#REF!,"AAAAADX9/68=")</f>
        <v>#REF!</v>
      </c>
      <c r="FU22" t="e">
        <f>AND(#REF!,"AAAAADX9/7A=")</f>
        <v>#REF!</v>
      </c>
      <c r="FV22" t="e">
        <f>AND(#REF!,"AAAAADX9/7E=")</f>
        <v>#REF!</v>
      </c>
      <c r="FW22" t="e">
        <f>AND(#REF!,"AAAAADX9/7I=")</f>
        <v>#REF!</v>
      </c>
      <c r="FX22" t="e">
        <f>AND(#REF!,"AAAAADX9/7M=")</f>
        <v>#REF!</v>
      </c>
      <c r="FY22" t="e">
        <f>AND(#REF!,"AAAAADX9/7Q=")</f>
        <v>#REF!</v>
      </c>
      <c r="FZ22" t="e">
        <f>AND(#REF!,"AAAAADX9/7U=")</f>
        <v>#REF!</v>
      </c>
      <c r="GA22" t="e">
        <f>AND(#REF!,"AAAAADX9/7Y=")</f>
        <v>#REF!</v>
      </c>
      <c r="GB22" t="e">
        <f>AND(#REF!,"AAAAADX9/7c=")</f>
        <v>#REF!</v>
      </c>
      <c r="GC22" t="e">
        <f>AND(#REF!,"AAAAADX9/7g=")</f>
        <v>#REF!</v>
      </c>
      <c r="GD22" t="e">
        <f>AND(#REF!,"AAAAADX9/7k=")</f>
        <v>#REF!</v>
      </c>
      <c r="GE22" t="e">
        <f>AND(#REF!,"AAAAADX9/7o=")</f>
        <v>#REF!</v>
      </c>
      <c r="GF22" t="e">
        <f>AND(#REF!,"AAAAADX9/7s=")</f>
        <v>#REF!</v>
      </c>
      <c r="GG22" t="e">
        <f>AND(#REF!,"AAAAADX9/7w=")</f>
        <v>#REF!</v>
      </c>
      <c r="GH22" t="e">
        <f>AND(#REF!,"AAAAADX9/70=")</f>
        <v>#REF!</v>
      </c>
      <c r="GI22" t="e">
        <f>AND(#REF!,"AAAAADX9/74=")</f>
        <v>#REF!</v>
      </c>
      <c r="GJ22" t="e">
        <f>AND(#REF!,"AAAAADX9/78=")</f>
        <v>#REF!</v>
      </c>
      <c r="GK22" t="e">
        <f>AND(#REF!,"AAAAADX9/8A=")</f>
        <v>#REF!</v>
      </c>
      <c r="GL22" t="e">
        <f>AND(#REF!,"AAAAADX9/8E=")</f>
        <v>#REF!</v>
      </c>
      <c r="GM22" t="e">
        <f>AND(#REF!,"AAAAADX9/8I=")</f>
        <v>#REF!</v>
      </c>
      <c r="GN22" t="e">
        <f>AND(#REF!,"AAAAADX9/8M=")</f>
        <v>#REF!</v>
      </c>
      <c r="GO22" t="e">
        <f>AND(#REF!,"AAAAADX9/8Q=")</f>
        <v>#REF!</v>
      </c>
      <c r="GP22" t="e">
        <f>AND(#REF!,"AAAAADX9/8U=")</f>
        <v>#REF!</v>
      </c>
      <c r="GQ22" t="e">
        <f>AND(#REF!,"AAAAADX9/8Y=")</f>
        <v>#REF!</v>
      </c>
      <c r="GR22" t="e">
        <f>AND(#REF!,"AAAAADX9/8c=")</f>
        <v>#REF!</v>
      </c>
      <c r="GS22" t="e">
        <f>AND(#REF!,"AAAAADX9/8g=")</f>
        <v>#REF!</v>
      </c>
      <c r="GT22" t="e">
        <f>AND(#REF!,"AAAAADX9/8k=")</f>
        <v>#REF!</v>
      </c>
      <c r="GU22" t="e">
        <f>AND(#REF!,"AAAAADX9/8o=")</f>
        <v>#REF!</v>
      </c>
      <c r="GV22" t="e">
        <f>AND(#REF!,"AAAAADX9/8s=")</f>
        <v>#REF!</v>
      </c>
      <c r="GW22" t="e">
        <f>AND(#REF!,"AAAAADX9/8w=")</f>
        <v>#REF!</v>
      </c>
      <c r="GX22" t="e">
        <f>AND(#REF!,"AAAAADX9/80=")</f>
        <v>#REF!</v>
      </c>
      <c r="GY22" t="e">
        <f>AND(#REF!,"AAAAADX9/84=")</f>
        <v>#REF!</v>
      </c>
      <c r="GZ22" t="e">
        <f>AND(#REF!,"AAAAADX9/88=")</f>
        <v>#REF!</v>
      </c>
      <c r="HA22" t="e">
        <f>AND(#REF!,"AAAAADX9/9A=")</f>
        <v>#REF!</v>
      </c>
      <c r="HB22" t="e">
        <f>AND(#REF!,"AAAAADX9/9E=")</f>
        <v>#REF!</v>
      </c>
      <c r="HC22" t="e">
        <f>AND(#REF!,"AAAAADX9/9I=")</f>
        <v>#REF!</v>
      </c>
      <c r="HD22" t="e">
        <f>AND(#REF!,"AAAAADX9/9M=")</f>
        <v>#REF!</v>
      </c>
      <c r="HE22" t="e">
        <f>IF(#REF!,"AAAAADX9/9Q=",0)</f>
        <v>#REF!</v>
      </c>
      <c r="HF22" t="e">
        <f>AND(#REF!,"AAAAADX9/9U=")</f>
        <v>#REF!</v>
      </c>
      <c r="HG22" t="e">
        <f>AND(#REF!,"AAAAADX9/9Y=")</f>
        <v>#REF!</v>
      </c>
      <c r="HH22" t="e">
        <f>AND(#REF!,"AAAAADX9/9c=")</f>
        <v>#REF!</v>
      </c>
      <c r="HI22" t="e">
        <f>AND(#REF!,"AAAAADX9/9g=")</f>
        <v>#REF!</v>
      </c>
      <c r="HJ22" t="e">
        <f>AND(#REF!,"AAAAADX9/9k=")</f>
        <v>#REF!</v>
      </c>
      <c r="HK22" t="e">
        <f>AND(#REF!,"AAAAADX9/9o=")</f>
        <v>#REF!</v>
      </c>
      <c r="HL22" t="e">
        <f>AND(#REF!,"AAAAADX9/9s=")</f>
        <v>#REF!</v>
      </c>
      <c r="HM22" t="e">
        <f>AND(#REF!,"AAAAADX9/9w=")</f>
        <v>#REF!</v>
      </c>
      <c r="HN22" t="e">
        <f>AND(#REF!,"AAAAADX9/90=")</f>
        <v>#REF!</v>
      </c>
      <c r="HO22" t="e">
        <f>AND(#REF!,"AAAAADX9/94=")</f>
        <v>#REF!</v>
      </c>
      <c r="HP22" t="e">
        <f>AND(#REF!,"AAAAADX9/98=")</f>
        <v>#REF!</v>
      </c>
      <c r="HQ22" t="e">
        <f>AND(#REF!,"AAAAADX9/+A=")</f>
        <v>#REF!</v>
      </c>
      <c r="HR22" t="e">
        <f>AND(#REF!,"AAAAADX9/+E=")</f>
        <v>#REF!</v>
      </c>
      <c r="HS22" t="e">
        <f>AND(#REF!,"AAAAADX9/+I=")</f>
        <v>#REF!</v>
      </c>
      <c r="HT22" t="e">
        <f>AND(#REF!,"AAAAADX9/+M=")</f>
        <v>#REF!</v>
      </c>
      <c r="HU22" t="e">
        <f>AND(#REF!,"AAAAADX9/+Q=")</f>
        <v>#REF!</v>
      </c>
      <c r="HV22" t="e">
        <f>AND(#REF!,"AAAAADX9/+U=")</f>
        <v>#REF!</v>
      </c>
      <c r="HW22" t="e">
        <f>AND(#REF!,"AAAAADX9/+Y=")</f>
        <v>#REF!</v>
      </c>
      <c r="HX22" t="e">
        <f>AND(#REF!,"AAAAADX9/+c=")</f>
        <v>#REF!</v>
      </c>
      <c r="HY22" t="e">
        <f>AND(#REF!,"AAAAADX9/+g=")</f>
        <v>#REF!</v>
      </c>
      <c r="HZ22" t="e">
        <f>AND(#REF!,"AAAAADX9/+k=")</f>
        <v>#REF!</v>
      </c>
      <c r="IA22" t="e">
        <f>AND(#REF!,"AAAAADX9/+o=")</f>
        <v>#REF!</v>
      </c>
      <c r="IB22" t="e">
        <f>AND(#REF!,"AAAAADX9/+s=")</f>
        <v>#REF!</v>
      </c>
      <c r="IC22" t="e">
        <f>AND(#REF!,"AAAAADX9/+w=")</f>
        <v>#REF!</v>
      </c>
      <c r="ID22" t="e">
        <f>AND(#REF!,"AAAAADX9/+0=")</f>
        <v>#REF!</v>
      </c>
      <c r="IE22" t="e">
        <f>AND(#REF!,"AAAAADX9/+4=")</f>
        <v>#REF!</v>
      </c>
      <c r="IF22" t="e">
        <f>AND(#REF!,"AAAAADX9/+8=")</f>
        <v>#REF!</v>
      </c>
      <c r="IG22" t="e">
        <f>AND(#REF!,"AAAAADX9//A=")</f>
        <v>#REF!</v>
      </c>
      <c r="IH22" t="e">
        <f>AND(#REF!,"AAAAADX9//E=")</f>
        <v>#REF!</v>
      </c>
      <c r="II22" t="e">
        <f>AND(#REF!,"AAAAADX9//I=")</f>
        <v>#REF!</v>
      </c>
      <c r="IJ22" t="e">
        <f>AND(#REF!,"AAAAADX9//M=")</f>
        <v>#REF!</v>
      </c>
      <c r="IK22" t="e">
        <f>AND(#REF!,"AAAAADX9//Q=")</f>
        <v>#REF!</v>
      </c>
      <c r="IL22" t="e">
        <f>AND(#REF!,"AAAAADX9//U=")</f>
        <v>#REF!</v>
      </c>
      <c r="IM22" t="e">
        <f>AND(#REF!,"AAAAADX9//Y=")</f>
        <v>#REF!</v>
      </c>
      <c r="IN22" t="e">
        <f>AND(#REF!,"AAAAADX9//c=")</f>
        <v>#REF!</v>
      </c>
      <c r="IO22" t="e">
        <f>AND(#REF!,"AAAAADX9//g=")</f>
        <v>#REF!</v>
      </c>
      <c r="IP22" t="e">
        <f>AND(#REF!,"AAAAADX9//k=")</f>
        <v>#REF!</v>
      </c>
      <c r="IQ22" t="e">
        <f>AND(#REF!,"AAAAADX9//o=")</f>
        <v>#REF!</v>
      </c>
      <c r="IR22" t="e">
        <f>AND(#REF!,"AAAAADX9//s=")</f>
        <v>#REF!</v>
      </c>
      <c r="IS22" t="e">
        <f>AND(#REF!,"AAAAADX9//w=")</f>
        <v>#REF!</v>
      </c>
      <c r="IT22" t="e">
        <f>AND(#REF!,"AAAAADX9//0=")</f>
        <v>#REF!</v>
      </c>
      <c r="IU22" t="e">
        <f>AND(#REF!,"AAAAADX9//4=")</f>
        <v>#REF!</v>
      </c>
      <c r="IV22" t="e">
        <f>AND(#REF!,"AAAAADX9//8=")</f>
        <v>#REF!</v>
      </c>
    </row>
    <row r="23" spans="1:256" x14ac:dyDescent="0.25">
      <c r="A23" t="e">
        <f>IF(#REF!,"AAAAAHdmnwA=",0)</f>
        <v>#REF!</v>
      </c>
      <c r="B23" t="e">
        <f>AND(#REF!,"AAAAAHdmnwE=")</f>
        <v>#REF!</v>
      </c>
      <c r="C23" t="e">
        <f>AND(#REF!,"AAAAAHdmnwI=")</f>
        <v>#REF!</v>
      </c>
      <c r="D23" t="e">
        <f>AND(#REF!,"AAAAAHdmnwM=")</f>
        <v>#REF!</v>
      </c>
      <c r="E23" t="e">
        <f>AND(#REF!,"AAAAAHdmnwQ=")</f>
        <v>#REF!</v>
      </c>
      <c r="F23" t="e">
        <f>AND(#REF!,"AAAAAHdmnwU=")</f>
        <v>#REF!</v>
      </c>
      <c r="G23" t="e">
        <f>AND(#REF!,"AAAAAHdmnwY=")</f>
        <v>#REF!</v>
      </c>
      <c r="H23" t="e">
        <f>AND(#REF!,"AAAAAHdmnwc=")</f>
        <v>#REF!</v>
      </c>
      <c r="I23" t="e">
        <f>AND(#REF!,"AAAAAHdmnwg=")</f>
        <v>#REF!</v>
      </c>
      <c r="J23" t="e">
        <f>AND(#REF!,"AAAAAHdmnwk=")</f>
        <v>#REF!</v>
      </c>
      <c r="K23" t="e">
        <f>AND(#REF!,"AAAAAHdmnwo=")</f>
        <v>#REF!</v>
      </c>
      <c r="L23" t="e">
        <f>AND(#REF!,"AAAAAHdmnws=")</f>
        <v>#REF!</v>
      </c>
      <c r="M23" t="e">
        <f>AND(#REF!,"AAAAAHdmnww=")</f>
        <v>#REF!</v>
      </c>
      <c r="N23" t="e">
        <f>AND(#REF!,"AAAAAHdmnw0=")</f>
        <v>#REF!</v>
      </c>
      <c r="O23" t="e">
        <f>AND(#REF!,"AAAAAHdmnw4=")</f>
        <v>#REF!</v>
      </c>
      <c r="P23" t="e">
        <f>AND(#REF!,"AAAAAHdmnw8=")</f>
        <v>#REF!</v>
      </c>
      <c r="Q23" t="e">
        <f>AND(#REF!,"AAAAAHdmnxA=")</f>
        <v>#REF!</v>
      </c>
      <c r="R23" t="e">
        <f>AND(#REF!,"AAAAAHdmnxE=")</f>
        <v>#REF!</v>
      </c>
      <c r="S23" t="e">
        <f>AND(#REF!,"AAAAAHdmnxI=")</f>
        <v>#REF!</v>
      </c>
      <c r="T23" t="e">
        <f>AND(#REF!,"AAAAAHdmnxM=")</f>
        <v>#REF!</v>
      </c>
      <c r="U23" t="e">
        <f>AND(#REF!,"AAAAAHdmnxQ=")</f>
        <v>#REF!</v>
      </c>
      <c r="V23" t="e">
        <f>AND(#REF!,"AAAAAHdmnxU=")</f>
        <v>#REF!</v>
      </c>
      <c r="W23" t="e">
        <f>AND(#REF!,"AAAAAHdmnxY=")</f>
        <v>#REF!</v>
      </c>
      <c r="X23" t="e">
        <f>AND(#REF!,"AAAAAHdmnxc=")</f>
        <v>#REF!</v>
      </c>
      <c r="Y23" t="e">
        <f>AND(#REF!,"AAAAAHdmnxg=")</f>
        <v>#REF!</v>
      </c>
      <c r="Z23" t="e">
        <f>AND(#REF!,"AAAAAHdmnxk=")</f>
        <v>#REF!</v>
      </c>
      <c r="AA23" t="e">
        <f>AND(#REF!,"AAAAAHdmnxo=")</f>
        <v>#REF!</v>
      </c>
      <c r="AB23" t="e">
        <f>AND(#REF!,"AAAAAHdmnxs=")</f>
        <v>#REF!</v>
      </c>
      <c r="AC23" t="e">
        <f>AND(#REF!,"AAAAAHdmnxw=")</f>
        <v>#REF!</v>
      </c>
      <c r="AD23" t="e">
        <f>AND(#REF!,"AAAAAHdmnx0=")</f>
        <v>#REF!</v>
      </c>
      <c r="AE23" t="e">
        <f>AND(#REF!,"AAAAAHdmnx4=")</f>
        <v>#REF!</v>
      </c>
      <c r="AF23" t="e">
        <f>AND(#REF!,"AAAAAHdmnx8=")</f>
        <v>#REF!</v>
      </c>
      <c r="AG23" t="e">
        <f>AND(#REF!,"AAAAAHdmnyA=")</f>
        <v>#REF!</v>
      </c>
      <c r="AH23" t="e">
        <f>AND(#REF!,"AAAAAHdmnyE=")</f>
        <v>#REF!</v>
      </c>
      <c r="AI23" t="e">
        <f>AND(#REF!,"AAAAAHdmnyI=")</f>
        <v>#REF!</v>
      </c>
      <c r="AJ23" t="e">
        <f>AND(#REF!,"AAAAAHdmnyM=")</f>
        <v>#REF!</v>
      </c>
      <c r="AK23" t="e">
        <f>AND(#REF!,"AAAAAHdmnyQ=")</f>
        <v>#REF!</v>
      </c>
      <c r="AL23" t="e">
        <f>AND(#REF!,"AAAAAHdmnyU=")</f>
        <v>#REF!</v>
      </c>
      <c r="AM23" t="e">
        <f>AND(#REF!,"AAAAAHdmnyY=")</f>
        <v>#REF!</v>
      </c>
      <c r="AN23" t="e">
        <f>AND(#REF!,"AAAAAHdmnyc=")</f>
        <v>#REF!</v>
      </c>
      <c r="AO23" t="e">
        <f>AND(#REF!,"AAAAAHdmnyg=")</f>
        <v>#REF!</v>
      </c>
      <c r="AP23" t="e">
        <f>AND(#REF!,"AAAAAHdmnyk=")</f>
        <v>#REF!</v>
      </c>
      <c r="AQ23" t="e">
        <f>AND(#REF!,"AAAAAHdmnyo=")</f>
        <v>#REF!</v>
      </c>
      <c r="AR23" t="e">
        <f>AND(#REF!,"AAAAAHdmnys=")</f>
        <v>#REF!</v>
      </c>
      <c r="AS23" t="e">
        <f>IF(#REF!,"AAAAAHdmnyw=",0)</f>
        <v>#REF!</v>
      </c>
      <c r="AT23" t="e">
        <f>AND(#REF!,"AAAAAHdmny0=")</f>
        <v>#REF!</v>
      </c>
      <c r="AU23" t="e">
        <f>AND(#REF!,"AAAAAHdmny4=")</f>
        <v>#REF!</v>
      </c>
      <c r="AV23" t="e">
        <f>AND(#REF!,"AAAAAHdmny8=")</f>
        <v>#REF!</v>
      </c>
      <c r="AW23" t="e">
        <f>AND(#REF!,"AAAAAHdmnzA=")</f>
        <v>#REF!</v>
      </c>
      <c r="AX23" t="e">
        <f>AND(#REF!,"AAAAAHdmnzE=")</f>
        <v>#REF!</v>
      </c>
      <c r="AY23" t="e">
        <f>AND(#REF!,"AAAAAHdmnzI=")</f>
        <v>#REF!</v>
      </c>
      <c r="AZ23" t="e">
        <f>AND(#REF!,"AAAAAHdmnzM=")</f>
        <v>#REF!</v>
      </c>
      <c r="BA23" t="e">
        <f>AND(#REF!,"AAAAAHdmnzQ=")</f>
        <v>#REF!</v>
      </c>
      <c r="BB23" t="e">
        <f>AND(#REF!,"AAAAAHdmnzU=")</f>
        <v>#REF!</v>
      </c>
      <c r="BC23" t="e">
        <f>AND(#REF!,"AAAAAHdmnzY=")</f>
        <v>#REF!</v>
      </c>
      <c r="BD23" t="e">
        <f>AND(#REF!,"AAAAAHdmnzc=")</f>
        <v>#REF!</v>
      </c>
      <c r="BE23" t="e">
        <f>AND(#REF!,"AAAAAHdmnzg=")</f>
        <v>#REF!</v>
      </c>
      <c r="BF23" t="e">
        <f>AND(#REF!,"AAAAAHdmnzk=")</f>
        <v>#REF!</v>
      </c>
      <c r="BG23" t="e">
        <f>AND(#REF!,"AAAAAHdmnzo=")</f>
        <v>#REF!</v>
      </c>
      <c r="BH23" t="e">
        <f>AND(#REF!,"AAAAAHdmnzs=")</f>
        <v>#REF!</v>
      </c>
      <c r="BI23" t="e">
        <f>AND(#REF!,"AAAAAHdmnzw=")</f>
        <v>#REF!</v>
      </c>
      <c r="BJ23" t="e">
        <f>AND(#REF!,"AAAAAHdmnz0=")</f>
        <v>#REF!</v>
      </c>
      <c r="BK23" t="e">
        <f>AND(#REF!,"AAAAAHdmnz4=")</f>
        <v>#REF!</v>
      </c>
      <c r="BL23" t="e">
        <f>AND(#REF!,"AAAAAHdmnz8=")</f>
        <v>#REF!</v>
      </c>
      <c r="BM23" t="e">
        <f>AND(#REF!,"AAAAAHdmn0A=")</f>
        <v>#REF!</v>
      </c>
      <c r="BN23" t="e">
        <f>AND(#REF!,"AAAAAHdmn0E=")</f>
        <v>#REF!</v>
      </c>
      <c r="BO23" t="e">
        <f>AND(#REF!,"AAAAAHdmn0I=")</f>
        <v>#REF!</v>
      </c>
      <c r="BP23" t="e">
        <f>AND(#REF!,"AAAAAHdmn0M=")</f>
        <v>#REF!</v>
      </c>
      <c r="BQ23" t="e">
        <f>AND(#REF!,"AAAAAHdmn0Q=")</f>
        <v>#REF!</v>
      </c>
      <c r="BR23" t="e">
        <f>AND(#REF!,"AAAAAHdmn0U=")</f>
        <v>#REF!</v>
      </c>
      <c r="BS23" t="e">
        <f>AND(#REF!,"AAAAAHdmn0Y=")</f>
        <v>#REF!</v>
      </c>
      <c r="BT23" t="e">
        <f>AND(#REF!,"AAAAAHdmn0c=")</f>
        <v>#REF!</v>
      </c>
      <c r="BU23" t="e">
        <f>AND(#REF!,"AAAAAHdmn0g=")</f>
        <v>#REF!</v>
      </c>
      <c r="BV23" t="e">
        <f>AND(#REF!,"AAAAAHdmn0k=")</f>
        <v>#REF!</v>
      </c>
      <c r="BW23" t="e">
        <f>AND(#REF!,"AAAAAHdmn0o=")</f>
        <v>#REF!</v>
      </c>
      <c r="BX23" t="e">
        <f>AND(#REF!,"AAAAAHdmn0s=")</f>
        <v>#REF!</v>
      </c>
      <c r="BY23" t="e">
        <f>AND(#REF!,"AAAAAHdmn0w=")</f>
        <v>#REF!</v>
      </c>
      <c r="BZ23" t="e">
        <f>AND(#REF!,"AAAAAHdmn00=")</f>
        <v>#REF!</v>
      </c>
      <c r="CA23" t="e">
        <f>AND(#REF!,"AAAAAHdmn04=")</f>
        <v>#REF!</v>
      </c>
      <c r="CB23" t="e">
        <f>AND(#REF!,"AAAAAHdmn08=")</f>
        <v>#REF!</v>
      </c>
      <c r="CC23" t="e">
        <f>AND(#REF!,"AAAAAHdmn1A=")</f>
        <v>#REF!</v>
      </c>
      <c r="CD23" t="e">
        <f>AND(#REF!,"AAAAAHdmn1E=")</f>
        <v>#REF!</v>
      </c>
      <c r="CE23" t="e">
        <f>AND(#REF!,"AAAAAHdmn1I=")</f>
        <v>#REF!</v>
      </c>
      <c r="CF23" t="e">
        <f>AND(#REF!,"AAAAAHdmn1M=")</f>
        <v>#REF!</v>
      </c>
      <c r="CG23" t="e">
        <f>AND(#REF!,"AAAAAHdmn1Q=")</f>
        <v>#REF!</v>
      </c>
      <c r="CH23" t="e">
        <f>AND(#REF!,"AAAAAHdmn1U=")</f>
        <v>#REF!</v>
      </c>
      <c r="CI23" t="e">
        <f>AND(#REF!,"AAAAAHdmn1Y=")</f>
        <v>#REF!</v>
      </c>
      <c r="CJ23" t="e">
        <f>AND(#REF!,"AAAAAHdmn1c=")</f>
        <v>#REF!</v>
      </c>
      <c r="CK23" t="e">
        <f>IF(#REF!,"AAAAAHdmn1g=",0)</f>
        <v>#REF!</v>
      </c>
      <c r="CL23" t="e">
        <f>AND(#REF!,"AAAAAHdmn1k=")</f>
        <v>#REF!</v>
      </c>
      <c r="CM23" t="e">
        <f>AND(#REF!,"AAAAAHdmn1o=")</f>
        <v>#REF!</v>
      </c>
      <c r="CN23" t="e">
        <f>AND(#REF!,"AAAAAHdmn1s=")</f>
        <v>#REF!</v>
      </c>
      <c r="CO23" t="e">
        <f>AND(#REF!,"AAAAAHdmn1w=")</f>
        <v>#REF!</v>
      </c>
      <c r="CP23" t="e">
        <f>AND(#REF!,"AAAAAHdmn10=")</f>
        <v>#REF!</v>
      </c>
      <c r="CQ23" t="e">
        <f>AND(#REF!,"AAAAAHdmn14=")</f>
        <v>#REF!</v>
      </c>
      <c r="CR23" t="e">
        <f>AND(#REF!,"AAAAAHdmn18=")</f>
        <v>#REF!</v>
      </c>
      <c r="CS23" t="e">
        <f>AND(#REF!,"AAAAAHdmn2A=")</f>
        <v>#REF!</v>
      </c>
      <c r="CT23" t="e">
        <f>AND(#REF!,"AAAAAHdmn2E=")</f>
        <v>#REF!</v>
      </c>
      <c r="CU23" t="e">
        <f>AND(#REF!,"AAAAAHdmn2I=")</f>
        <v>#REF!</v>
      </c>
      <c r="CV23" t="e">
        <f>AND(#REF!,"AAAAAHdmn2M=")</f>
        <v>#REF!</v>
      </c>
      <c r="CW23" t="e">
        <f>AND(#REF!,"AAAAAHdmn2Q=")</f>
        <v>#REF!</v>
      </c>
      <c r="CX23" t="e">
        <f>AND(#REF!,"AAAAAHdmn2U=")</f>
        <v>#REF!</v>
      </c>
      <c r="CY23" t="e">
        <f>AND(#REF!,"AAAAAHdmn2Y=")</f>
        <v>#REF!</v>
      </c>
      <c r="CZ23" t="e">
        <f>AND(#REF!,"AAAAAHdmn2c=")</f>
        <v>#REF!</v>
      </c>
      <c r="DA23" t="e">
        <f>AND(#REF!,"AAAAAHdmn2g=")</f>
        <v>#REF!</v>
      </c>
      <c r="DB23" t="e">
        <f>AND(#REF!,"AAAAAHdmn2k=")</f>
        <v>#REF!</v>
      </c>
      <c r="DC23" t="e">
        <f>AND(#REF!,"AAAAAHdmn2o=")</f>
        <v>#REF!</v>
      </c>
      <c r="DD23" t="e">
        <f>AND(#REF!,"AAAAAHdmn2s=")</f>
        <v>#REF!</v>
      </c>
      <c r="DE23" t="e">
        <f>AND(#REF!,"AAAAAHdmn2w=")</f>
        <v>#REF!</v>
      </c>
      <c r="DF23" t="e">
        <f>AND(#REF!,"AAAAAHdmn20=")</f>
        <v>#REF!</v>
      </c>
      <c r="DG23" t="e">
        <f>AND(#REF!,"AAAAAHdmn24=")</f>
        <v>#REF!</v>
      </c>
      <c r="DH23" t="e">
        <f>AND(#REF!,"AAAAAHdmn28=")</f>
        <v>#REF!</v>
      </c>
      <c r="DI23" t="e">
        <f>AND(#REF!,"AAAAAHdmn3A=")</f>
        <v>#REF!</v>
      </c>
      <c r="DJ23" t="e">
        <f>AND(#REF!,"AAAAAHdmn3E=")</f>
        <v>#REF!</v>
      </c>
      <c r="DK23" t="e">
        <f>AND(#REF!,"AAAAAHdmn3I=")</f>
        <v>#REF!</v>
      </c>
      <c r="DL23" t="e">
        <f>AND(#REF!,"AAAAAHdmn3M=")</f>
        <v>#REF!</v>
      </c>
      <c r="DM23" t="e">
        <f>AND(#REF!,"AAAAAHdmn3Q=")</f>
        <v>#REF!</v>
      </c>
      <c r="DN23" t="e">
        <f>AND(#REF!,"AAAAAHdmn3U=")</f>
        <v>#REF!</v>
      </c>
      <c r="DO23" t="e">
        <f>AND(#REF!,"AAAAAHdmn3Y=")</f>
        <v>#REF!</v>
      </c>
      <c r="DP23" t="e">
        <f>AND(#REF!,"AAAAAHdmn3c=")</f>
        <v>#REF!</v>
      </c>
      <c r="DQ23" t="e">
        <f>AND(#REF!,"AAAAAHdmn3g=")</f>
        <v>#REF!</v>
      </c>
      <c r="DR23" t="e">
        <f>AND(#REF!,"AAAAAHdmn3k=")</f>
        <v>#REF!</v>
      </c>
      <c r="DS23" t="e">
        <f>AND(#REF!,"AAAAAHdmn3o=")</f>
        <v>#REF!</v>
      </c>
      <c r="DT23" t="e">
        <f>AND(#REF!,"AAAAAHdmn3s=")</f>
        <v>#REF!</v>
      </c>
      <c r="DU23" t="e">
        <f>AND(#REF!,"AAAAAHdmn3w=")</f>
        <v>#REF!</v>
      </c>
      <c r="DV23" t="e">
        <f>AND(#REF!,"AAAAAHdmn30=")</f>
        <v>#REF!</v>
      </c>
      <c r="DW23" t="e">
        <f>AND(#REF!,"AAAAAHdmn34=")</f>
        <v>#REF!</v>
      </c>
      <c r="DX23" t="e">
        <f>AND(#REF!,"AAAAAHdmn38=")</f>
        <v>#REF!</v>
      </c>
      <c r="DY23" t="e">
        <f>AND(#REF!,"AAAAAHdmn4A=")</f>
        <v>#REF!</v>
      </c>
      <c r="DZ23" t="e">
        <f>AND(#REF!,"AAAAAHdmn4E=")</f>
        <v>#REF!</v>
      </c>
      <c r="EA23" t="e">
        <f>AND(#REF!,"AAAAAHdmn4I=")</f>
        <v>#REF!</v>
      </c>
      <c r="EB23" t="e">
        <f>AND(#REF!,"AAAAAHdmn4M=")</f>
        <v>#REF!</v>
      </c>
      <c r="EC23" t="e">
        <f>IF(#REF!,"AAAAAHdmn4Q=",0)</f>
        <v>#REF!</v>
      </c>
      <c r="ED23" t="e">
        <f>AND(#REF!,"AAAAAHdmn4U=")</f>
        <v>#REF!</v>
      </c>
      <c r="EE23" t="e">
        <f>AND(#REF!,"AAAAAHdmn4Y=")</f>
        <v>#REF!</v>
      </c>
      <c r="EF23" t="e">
        <f>AND(#REF!,"AAAAAHdmn4c=")</f>
        <v>#REF!</v>
      </c>
      <c r="EG23" t="e">
        <f>AND(#REF!,"AAAAAHdmn4g=")</f>
        <v>#REF!</v>
      </c>
      <c r="EH23" t="e">
        <f>AND(#REF!,"AAAAAHdmn4k=")</f>
        <v>#REF!</v>
      </c>
      <c r="EI23" t="e">
        <f>AND(#REF!,"AAAAAHdmn4o=")</f>
        <v>#REF!</v>
      </c>
      <c r="EJ23" t="e">
        <f>AND(#REF!,"AAAAAHdmn4s=")</f>
        <v>#REF!</v>
      </c>
      <c r="EK23" t="e">
        <f>AND(#REF!,"AAAAAHdmn4w=")</f>
        <v>#REF!</v>
      </c>
      <c r="EL23" t="e">
        <f>AND(#REF!,"AAAAAHdmn40=")</f>
        <v>#REF!</v>
      </c>
      <c r="EM23" t="e">
        <f>AND(#REF!,"AAAAAHdmn44=")</f>
        <v>#REF!</v>
      </c>
      <c r="EN23" t="e">
        <f>AND(#REF!,"AAAAAHdmn48=")</f>
        <v>#REF!</v>
      </c>
      <c r="EO23" t="e">
        <f>AND(#REF!,"AAAAAHdmn5A=")</f>
        <v>#REF!</v>
      </c>
      <c r="EP23" t="e">
        <f>AND(#REF!,"AAAAAHdmn5E=")</f>
        <v>#REF!</v>
      </c>
      <c r="EQ23" t="e">
        <f>AND(#REF!,"AAAAAHdmn5I=")</f>
        <v>#REF!</v>
      </c>
      <c r="ER23" t="e">
        <f>AND(#REF!,"AAAAAHdmn5M=")</f>
        <v>#REF!</v>
      </c>
      <c r="ES23" t="e">
        <f>AND(#REF!,"AAAAAHdmn5Q=")</f>
        <v>#REF!</v>
      </c>
      <c r="ET23" t="e">
        <f>AND(#REF!,"AAAAAHdmn5U=")</f>
        <v>#REF!</v>
      </c>
      <c r="EU23" t="e">
        <f>AND(#REF!,"AAAAAHdmn5Y=")</f>
        <v>#REF!</v>
      </c>
      <c r="EV23" t="e">
        <f>AND(#REF!,"AAAAAHdmn5c=")</f>
        <v>#REF!</v>
      </c>
      <c r="EW23" t="e">
        <f>AND(#REF!,"AAAAAHdmn5g=")</f>
        <v>#REF!</v>
      </c>
      <c r="EX23" t="e">
        <f>AND(#REF!,"AAAAAHdmn5k=")</f>
        <v>#REF!</v>
      </c>
      <c r="EY23" t="e">
        <f>AND(#REF!,"AAAAAHdmn5o=")</f>
        <v>#REF!</v>
      </c>
      <c r="EZ23" t="e">
        <f>AND(#REF!,"AAAAAHdmn5s=")</f>
        <v>#REF!</v>
      </c>
      <c r="FA23" t="e">
        <f>AND(#REF!,"AAAAAHdmn5w=")</f>
        <v>#REF!</v>
      </c>
      <c r="FB23" t="e">
        <f>AND(#REF!,"AAAAAHdmn50=")</f>
        <v>#REF!</v>
      </c>
      <c r="FC23" t="e">
        <f>AND(#REF!,"AAAAAHdmn54=")</f>
        <v>#REF!</v>
      </c>
      <c r="FD23" t="e">
        <f>AND(#REF!,"AAAAAHdmn58=")</f>
        <v>#REF!</v>
      </c>
      <c r="FE23" t="e">
        <f>AND(#REF!,"AAAAAHdmn6A=")</f>
        <v>#REF!</v>
      </c>
      <c r="FF23" t="e">
        <f>AND(#REF!,"AAAAAHdmn6E=")</f>
        <v>#REF!</v>
      </c>
      <c r="FG23" t="e">
        <f>AND(#REF!,"AAAAAHdmn6I=")</f>
        <v>#REF!</v>
      </c>
      <c r="FH23" t="e">
        <f>AND(#REF!,"AAAAAHdmn6M=")</f>
        <v>#REF!</v>
      </c>
      <c r="FI23" t="e">
        <f>AND(#REF!,"AAAAAHdmn6Q=")</f>
        <v>#REF!</v>
      </c>
      <c r="FJ23" t="e">
        <f>AND(#REF!,"AAAAAHdmn6U=")</f>
        <v>#REF!</v>
      </c>
      <c r="FK23" t="e">
        <f>AND(#REF!,"AAAAAHdmn6Y=")</f>
        <v>#REF!</v>
      </c>
      <c r="FL23" t="e">
        <f>AND(#REF!,"AAAAAHdmn6c=")</f>
        <v>#REF!</v>
      </c>
      <c r="FM23" t="e">
        <f>AND(#REF!,"AAAAAHdmn6g=")</f>
        <v>#REF!</v>
      </c>
      <c r="FN23" t="e">
        <f>AND(#REF!,"AAAAAHdmn6k=")</f>
        <v>#REF!</v>
      </c>
      <c r="FO23" t="e">
        <f>AND(#REF!,"AAAAAHdmn6o=")</f>
        <v>#REF!</v>
      </c>
      <c r="FP23" t="e">
        <f>AND(#REF!,"AAAAAHdmn6s=")</f>
        <v>#REF!</v>
      </c>
      <c r="FQ23" t="e">
        <f>AND(#REF!,"AAAAAHdmn6w=")</f>
        <v>#REF!</v>
      </c>
      <c r="FR23" t="e">
        <f>AND(#REF!,"AAAAAHdmn60=")</f>
        <v>#REF!</v>
      </c>
      <c r="FS23" t="e">
        <f>AND(#REF!,"AAAAAHdmn64=")</f>
        <v>#REF!</v>
      </c>
      <c r="FT23" t="e">
        <f>AND(#REF!,"AAAAAHdmn68=")</f>
        <v>#REF!</v>
      </c>
      <c r="FU23" t="e">
        <f>IF(#REF!,"AAAAAHdmn7A=",0)</f>
        <v>#REF!</v>
      </c>
      <c r="FV23" t="e">
        <f>AND(#REF!,"AAAAAHdmn7E=")</f>
        <v>#REF!</v>
      </c>
      <c r="FW23" t="e">
        <f>AND(#REF!,"AAAAAHdmn7I=")</f>
        <v>#REF!</v>
      </c>
      <c r="FX23" t="e">
        <f>AND(#REF!,"AAAAAHdmn7M=")</f>
        <v>#REF!</v>
      </c>
      <c r="FY23" t="e">
        <f>AND(#REF!,"AAAAAHdmn7Q=")</f>
        <v>#REF!</v>
      </c>
      <c r="FZ23" t="e">
        <f>AND(#REF!,"AAAAAHdmn7U=")</f>
        <v>#REF!</v>
      </c>
      <c r="GA23" t="e">
        <f>AND(#REF!,"AAAAAHdmn7Y=")</f>
        <v>#REF!</v>
      </c>
      <c r="GB23" t="e">
        <f>AND(#REF!,"AAAAAHdmn7c=")</f>
        <v>#REF!</v>
      </c>
      <c r="GC23" t="e">
        <f>AND(#REF!,"AAAAAHdmn7g=")</f>
        <v>#REF!</v>
      </c>
      <c r="GD23" t="e">
        <f>AND(#REF!,"AAAAAHdmn7k=")</f>
        <v>#REF!</v>
      </c>
      <c r="GE23" t="e">
        <f>AND(#REF!,"AAAAAHdmn7o=")</f>
        <v>#REF!</v>
      </c>
      <c r="GF23" t="e">
        <f>AND(#REF!,"AAAAAHdmn7s=")</f>
        <v>#REF!</v>
      </c>
      <c r="GG23" t="e">
        <f>AND(#REF!,"AAAAAHdmn7w=")</f>
        <v>#REF!</v>
      </c>
      <c r="GH23" t="e">
        <f>AND(#REF!,"AAAAAHdmn70=")</f>
        <v>#REF!</v>
      </c>
      <c r="GI23" t="e">
        <f>AND(#REF!,"AAAAAHdmn74=")</f>
        <v>#REF!</v>
      </c>
      <c r="GJ23" t="e">
        <f>AND(#REF!,"AAAAAHdmn78=")</f>
        <v>#REF!</v>
      </c>
      <c r="GK23" t="e">
        <f>AND(#REF!,"AAAAAHdmn8A=")</f>
        <v>#REF!</v>
      </c>
      <c r="GL23" t="e">
        <f>AND(#REF!,"AAAAAHdmn8E=")</f>
        <v>#REF!</v>
      </c>
      <c r="GM23" t="e">
        <f>AND(#REF!,"AAAAAHdmn8I=")</f>
        <v>#REF!</v>
      </c>
      <c r="GN23" t="e">
        <f>AND(#REF!,"AAAAAHdmn8M=")</f>
        <v>#REF!</v>
      </c>
      <c r="GO23" t="e">
        <f>AND(#REF!,"AAAAAHdmn8Q=")</f>
        <v>#REF!</v>
      </c>
      <c r="GP23" t="e">
        <f>AND(#REF!,"AAAAAHdmn8U=")</f>
        <v>#REF!</v>
      </c>
      <c r="GQ23" t="e">
        <f>AND(#REF!,"AAAAAHdmn8Y=")</f>
        <v>#REF!</v>
      </c>
      <c r="GR23" t="e">
        <f>AND(#REF!,"AAAAAHdmn8c=")</f>
        <v>#REF!</v>
      </c>
      <c r="GS23" t="e">
        <f>AND(#REF!,"AAAAAHdmn8g=")</f>
        <v>#REF!</v>
      </c>
      <c r="GT23" t="e">
        <f>AND(#REF!,"AAAAAHdmn8k=")</f>
        <v>#REF!</v>
      </c>
      <c r="GU23" t="e">
        <f>AND(#REF!,"AAAAAHdmn8o=")</f>
        <v>#REF!</v>
      </c>
      <c r="GV23" t="e">
        <f>AND(#REF!,"AAAAAHdmn8s=")</f>
        <v>#REF!</v>
      </c>
      <c r="GW23" t="e">
        <f>AND(#REF!,"AAAAAHdmn8w=")</f>
        <v>#REF!</v>
      </c>
      <c r="GX23" t="e">
        <f>AND(#REF!,"AAAAAHdmn80=")</f>
        <v>#REF!</v>
      </c>
      <c r="GY23" t="e">
        <f>AND(#REF!,"AAAAAHdmn84=")</f>
        <v>#REF!</v>
      </c>
      <c r="GZ23" t="e">
        <f>AND(#REF!,"AAAAAHdmn88=")</f>
        <v>#REF!</v>
      </c>
      <c r="HA23" t="e">
        <f>AND(#REF!,"AAAAAHdmn9A=")</f>
        <v>#REF!</v>
      </c>
      <c r="HB23" t="e">
        <f>AND(#REF!,"AAAAAHdmn9E=")</f>
        <v>#REF!</v>
      </c>
      <c r="HC23" t="e">
        <f>AND(#REF!,"AAAAAHdmn9I=")</f>
        <v>#REF!</v>
      </c>
      <c r="HD23" t="e">
        <f>AND(#REF!,"AAAAAHdmn9M=")</f>
        <v>#REF!</v>
      </c>
      <c r="HE23" t="e">
        <f>AND(#REF!,"AAAAAHdmn9Q=")</f>
        <v>#REF!</v>
      </c>
      <c r="HF23" t="e">
        <f>AND(#REF!,"AAAAAHdmn9U=")</f>
        <v>#REF!</v>
      </c>
      <c r="HG23" t="e">
        <f>AND(#REF!,"AAAAAHdmn9Y=")</f>
        <v>#REF!</v>
      </c>
      <c r="HH23" t="e">
        <f>AND(#REF!,"AAAAAHdmn9c=")</f>
        <v>#REF!</v>
      </c>
      <c r="HI23" t="e">
        <f>AND(#REF!,"AAAAAHdmn9g=")</f>
        <v>#REF!</v>
      </c>
      <c r="HJ23" t="e">
        <f>AND(#REF!,"AAAAAHdmn9k=")</f>
        <v>#REF!</v>
      </c>
      <c r="HK23" t="e">
        <f>AND(#REF!,"AAAAAHdmn9o=")</f>
        <v>#REF!</v>
      </c>
      <c r="HL23" t="e">
        <f>AND(#REF!,"AAAAAHdmn9s=")</f>
        <v>#REF!</v>
      </c>
      <c r="HM23" t="e">
        <f>IF(#REF!,"AAAAAHdmn9w=",0)</f>
        <v>#REF!</v>
      </c>
      <c r="HN23" t="e">
        <f>AND(#REF!,"AAAAAHdmn90=")</f>
        <v>#REF!</v>
      </c>
      <c r="HO23" t="e">
        <f>AND(#REF!,"AAAAAHdmn94=")</f>
        <v>#REF!</v>
      </c>
      <c r="HP23" t="e">
        <f>AND(#REF!,"AAAAAHdmn98=")</f>
        <v>#REF!</v>
      </c>
      <c r="HQ23" t="e">
        <f>AND(#REF!,"AAAAAHdmn+A=")</f>
        <v>#REF!</v>
      </c>
      <c r="HR23" t="e">
        <f>AND(#REF!,"AAAAAHdmn+E=")</f>
        <v>#REF!</v>
      </c>
      <c r="HS23" t="e">
        <f>AND(#REF!,"AAAAAHdmn+I=")</f>
        <v>#REF!</v>
      </c>
      <c r="HT23" t="e">
        <f>AND(#REF!,"AAAAAHdmn+M=")</f>
        <v>#REF!</v>
      </c>
      <c r="HU23" t="e">
        <f>AND(#REF!,"AAAAAHdmn+Q=")</f>
        <v>#REF!</v>
      </c>
      <c r="HV23" t="e">
        <f>AND(#REF!,"AAAAAHdmn+U=")</f>
        <v>#REF!</v>
      </c>
      <c r="HW23" t="e">
        <f>AND(#REF!,"AAAAAHdmn+Y=")</f>
        <v>#REF!</v>
      </c>
      <c r="HX23" t="e">
        <f>AND(#REF!,"AAAAAHdmn+c=")</f>
        <v>#REF!</v>
      </c>
      <c r="HY23" t="e">
        <f>AND(#REF!,"AAAAAHdmn+g=")</f>
        <v>#REF!</v>
      </c>
      <c r="HZ23" t="e">
        <f>AND(#REF!,"AAAAAHdmn+k=")</f>
        <v>#REF!</v>
      </c>
      <c r="IA23" t="e">
        <f>AND(#REF!,"AAAAAHdmn+o=")</f>
        <v>#REF!</v>
      </c>
      <c r="IB23" t="e">
        <f>AND(#REF!,"AAAAAHdmn+s=")</f>
        <v>#REF!</v>
      </c>
      <c r="IC23" t="e">
        <f>AND(#REF!,"AAAAAHdmn+w=")</f>
        <v>#REF!</v>
      </c>
      <c r="ID23" t="e">
        <f>AND(#REF!,"AAAAAHdmn+0=")</f>
        <v>#REF!</v>
      </c>
      <c r="IE23" t="e">
        <f>AND(#REF!,"AAAAAHdmn+4=")</f>
        <v>#REF!</v>
      </c>
      <c r="IF23" t="e">
        <f>AND(#REF!,"AAAAAHdmn+8=")</f>
        <v>#REF!</v>
      </c>
      <c r="IG23" t="e">
        <f>AND(#REF!,"AAAAAHdmn/A=")</f>
        <v>#REF!</v>
      </c>
      <c r="IH23" t="e">
        <f>AND(#REF!,"AAAAAHdmn/E=")</f>
        <v>#REF!</v>
      </c>
      <c r="II23" t="e">
        <f>AND(#REF!,"AAAAAHdmn/I=")</f>
        <v>#REF!</v>
      </c>
      <c r="IJ23" t="e">
        <f>AND(#REF!,"AAAAAHdmn/M=")</f>
        <v>#REF!</v>
      </c>
      <c r="IK23" t="e">
        <f>AND(#REF!,"AAAAAHdmn/Q=")</f>
        <v>#REF!</v>
      </c>
      <c r="IL23" t="e">
        <f>AND(#REF!,"AAAAAHdmn/U=")</f>
        <v>#REF!</v>
      </c>
      <c r="IM23" t="e">
        <f>AND(#REF!,"AAAAAHdmn/Y=")</f>
        <v>#REF!</v>
      </c>
      <c r="IN23" t="e">
        <f>AND(#REF!,"AAAAAHdmn/c=")</f>
        <v>#REF!</v>
      </c>
      <c r="IO23" t="e">
        <f>AND(#REF!,"AAAAAHdmn/g=")</f>
        <v>#REF!</v>
      </c>
      <c r="IP23" t="e">
        <f>AND(#REF!,"AAAAAHdmn/k=")</f>
        <v>#REF!</v>
      </c>
      <c r="IQ23" t="e">
        <f>AND(#REF!,"AAAAAHdmn/o=")</f>
        <v>#REF!</v>
      </c>
      <c r="IR23" t="e">
        <f>AND(#REF!,"AAAAAHdmn/s=")</f>
        <v>#REF!</v>
      </c>
      <c r="IS23" t="e">
        <f>AND(#REF!,"AAAAAHdmn/w=")</f>
        <v>#REF!</v>
      </c>
      <c r="IT23" t="e">
        <f>AND(#REF!,"AAAAAHdmn/0=")</f>
        <v>#REF!</v>
      </c>
      <c r="IU23" t="e">
        <f>AND(#REF!,"AAAAAHdmn/4=")</f>
        <v>#REF!</v>
      </c>
      <c r="IV23" t="e">
        <f>AND(#REF!,"AAAAAHdmn/8=")</f>
        <v>#REF!</v>
      </c>
    </row>
    <row r="24" spans="1:256" x14ac:dyDescent="0.25">
      <c r="A24" t="e">
        <f>AND(#REF!,"AAAAAA3/vwA=")</f>
        <v>#REF!</v>
      </c>
      <c r="B24" t="e">
        <f>AND(#REF!,"AAAAAA3/vwE=")</f>
        <v>#REF!</v>
      </c>
      <c r="C24" t="e">
        <f>AND(#REF!,"AAAAAA3/vwI=")</f>
        <v>#REF!</v>
      </c>
      <c r="D24" t="e">
        <f>AND(#REF!,"AAAAAA3/vwM=")</f>
        <v>#REF!</v>
      </c>
      <c r="E24" t="e">
        <f>AND(#REF!,"AAAAAA3/vwQ=")</f>
        <v>#REF!</v>
      </c>
      <c r="F24" t="e">
        <f>AND(#REF!,"AAAAAA3/vwU=")</f>
        <v>#REF!</v>
      </c>
      <c r="G24" t="e">
        <f>AND(#REF!,"AAAAAA3/vwY=")</f>
        <v>#REF!</v>
      </c>
      <c r="H24" t="e">
        <f>AND(#REF!,"AAAAAA3/vwc=")</f>
        <v>#REF!</v>
      </c>
      <c r="I24" t="e">
        <f>IF(#REF!,"AAAAAA3/vwg=",0)</f>
        <v>#REF!</v>
      </c>
      <c r="J24" t="e">
        <f>AND(#REF!,"AAAAAA3/vwk=")</f>
        <v>#REF!</v>
      </c>
      <c r="K24" t="e">
        <f>AND(#REF!,"AAAAAA3/vwo=")</f>
        <v>#REF!</v>
      </c>
      <c r="L24" t="e">
        <f>AND(#REF!,"AAAAAA3/vws=")</f>
        <v>#REF!</v>
      </c>
      <c r="M24" t="e">
        <f>AND(#REF!,"AAAAAA3/vww=")</f>
        <v>#REF!</v>
      </c>
      <c r="N24" t="e">
        <f>AND(#REF!,"AAAAAA3/vw0=")</f>
        <v>#REF!</v>
      </c>
      <c r="O24" t="e">
        <f>AND(#REF!,"AAAAAA3/vw4=")</f>
        <v>#REF!</v>
      </c>
      <c r="P24" t="e">
        <f>AND(#REF!,"AAAAAA3/vw8=")</f>
        <v>#REF!</v>
      </c>
      <c r="Q24" t="e">
        <f>AND(#REF!,"AAAAAA3/vxA=")</f>
        <v>#REF!</v>
      </c>
      <c r="R24" t="e">
        <f>AND(#REF!,"AAAAAA3/vxE=")</f>
        <v>#REF!</v>
      </c>
      <c r="S24" t="e">
        <f>AND(#REF!,"AAAAAA3/vxI=")</f>
        <v>#REF!</v>
      </c>
      <c r="T24" t="e">
        <f>AND(#REF!,"AAAAAA3/vxM=")</f>
        <v>#REF!</v>
      </c>
      <c r="U24" t="e">
        <f>AND(#REF!,"AAAAAA3/vxQ=")</f>
        <v>#REF!</v>
      </c>
      <c r="V24" t="e">
        <f>AND(#REF!,"AAAAAA3/vxU=")</f>
        <v>#REF!</v>
      </c>
      <c r="W24" t="e">
        <f>AND(#REF!,"AAAAAA3/vxY=")</f>
        <v>#REF!</v>
      </c>
      <c r="X24" t="e">
        <f>AND(#REF!,"AAAAAA3/vxc=")</f>
        <v>#REF!</v>
      </c>
      <c r="Y24" t="e">
        <f>AND(#REF!,"AAAAAA3/vxg=")</f>
        <v>#REF!</v>
      </c>
      <c r="Z24" t="e">
        <f>AND(#REF!,"AAAAAA3/vxk=")</f>
        <v>#REF!</v>
      </c>
      <c r="AA24" t="e">
        <f>AND(#REF!,"AAAAAA3/vxo=")</f>
        <v>#REF!</v>
      </c>
      <c r="AB24" t="e">
        <f>AND(#REF!,"AAAAAA3/vxs=")</f>
        <v>#REF!</v>
      </c>
      <c r="AC24" t="e">
        <f>AND(#REF!,"AAAAAA3/vxw=")</f>
        <v>#REF!</v>
      </c>
      <c r="AD24" t="e">
        <f>AND(#REF!,"AAAAAA3/vx0=")</f>
        <v>#REF!</v>
      </c>
      <c r="AE24" t="e">
        <f>AND(#REF!,"AAAAAA3/vx4=")</f>
        <v>#REF!</v>
      </c>
      <c r="AF24" t="e">
        <f>AND(#REF!,"AAAAAA3/vx8=")</f>
        <v>#REF!</v>
      </c>
      <c r="AG24" t="e">
        <f>AND(#REF!,"AAAAAA3/vyA=")</f>
        <v>#REF!</v>
      </c>
      <c r="AH24" t="e">
        <f>AND(#REF!,"AAAAAA3/vyE=")</f>
        <v>#REF!</v>
      </c>
      <c r="AI24" t="e">
        <f>AND(#REF!,"AAAAAA3/vyI=")</f>
        <v>#REF!</v>
      </c>
      <c r="AJ24" t="e">
        <f>AND(#REF!,"AAAAAA3/vyM=")</f>
        <v>#REF!</v>
      </c>
      <c r="AK24" t="e">
        <f>AND(#REF!,"AAAAAA3/vyQ=")</f>
        <v>#REF!</v>
      </c>
      <c r="AL24" t="e">
        <f>AND(#REF!,"AAAAAA3/vyU=")</f>
        <v>#REF!</v>
      </c>
      <c r="AM24" t="e">
        <f>AND(#REF!,"AAAAAA3/vyY=")</f>
        <v>#REF!</v>
      </c>
      <c r="AN24" t="e">
        <f>AND(#REF!,"AAAAAA3/vyc=")</f>
        <v>#REF!</v>
      </c>
      <c r="AO24" t="e">
        <f>AND(#REF!,"AAAAAA3/vyg=")</f>
        <v>#REF!</v>
      </c>
      <c r="AP24" t="e">
        <f>AND(#REF!,"AAAAAA3/vyk=")</f>
        <v>#REF!</v>
      </c>
      <c r="AQ24" t="e">
        <f>AND(#REF!,"AAAAAA3/vyo=")</f>
        <v>#REF!</v>
      </c>
      <c r="AR24" t="e">
        <f>AND(#REF!,"AAAAAA3/vys=")</f>
        <v>#REF!</v>
      </c>
      <c r="AS24" t="e">
        <f>AND(#REF!,"AAAAAA3/vyw=")</f>
        <v>#REF!</v>
      </c>
      <c r="AT24" t="e">
        <f>AND(#REF!,"AAAAAA3/vy0=")</f>
        <v>#REF!</v>
      </c>
      <c r="AU24" t="e">
        <f>AND(#REF!,"AAAAAA3/vy4=")</f>
        <v>#REF!</v>
      </c>
      <c r="AV24" t="e">
        <f>AND(#REF!,"AAAAAA3/vy8=")</f>
        <v>#REF!</v>
      </c>
      <c r="AW24" t="e">
        <f>AND(#REF!,"AAAAAA3/vzA=")</f>
        <v>#REF!</v>
      </c>
      <c r="AX24" t="e">
        <f>AND(#REF!,"AAAAAA3/vzE=")</f>
        <v>#REF!</v>
      </c>
      <c r="AY24" t="e">
        <f>AND(#REF!,"AAAAAA3/vzI=")</f>
        <v>#REF!</v>
      </c>
      <c r="AZ24" t="e">
        <f>AND(#REF!,"AAAAAA3/vzM=")</f>
        <v>#REF!</v>
      </c>
      <c r="BA24" t="e">
        <f>IF(#REF!,"AAAAAA3/vzQ=",0)</f>
        <v>#REF!</v>
      </c>
      <c r="BB24" t="e">
        <f>AND(#REF!,"AAAAAA3/vzU=")</f>
        <v>#REF!</v>
      </c>
      <c r="BC24" t="e">
        <f>AND(#REF!,"AAAAAA3/vzY=")</f>
        <v>#REF!</v>
      </c>
      <c r="BD24" t="e">
        <f>AND(#REF!,"AAAAAA3/vzc=")</f>
        <v>#REF!</v>
      </c>
      <c r="BE24" t="e">
        <f>AND(#REF!,"AAAAAA3/vzg=")</f>
        <v>#REF!</v>
      </c>
      <c r="BF24" t="e">
        <f>AND(#REF!,"AAAAAA3/vzk=")</f>
        <v>#REF!</v>
      </c>
      <c r="BG24" t="e">
        <f>AND(#REF!,"AAAAAA3/vzo=")</f>
        <v>#REF!</v>
      </c>
      <c r="BH24" t="e">
        <f>AND(#REF!,"AAAAAA3/vzs=")</f>
        <v>#REF!</v>
      </c>
      <c r="BI24" t="e">
        <f>AND(#REF!,"AAAAAA3/vzw=")</f>
        <v>#REF!</v>
      </c>
      <c r="BJ24" t="e">
        <f>AND(#REF!,"AAAAAA3/vz0=")</f>
        <v>#REF!</v>
      </c>
      <c r="BK24" t="e">
        <f>AND(#REF!,"AAAAAA3/vz4=")</f>
        <v>#REF!</v>
      </c>
      <c r="BL24" t="e">
        <f>AND(#REF!,"AAAAAA3/vz8=")</f>
        <v>#REF!</v>
      </c>
      <c r="BM24" t="e">
        <f>AND(#REF!,"AAAAAA3/v0A=")</f>
        <v>#REF!</v>
      </c>
      <c r="BN24" t="e">
        <f>AND(#REF!,"AAAAAA3/v0E=")</f>
        <v>#REF!</v>
      </c>
      <c r="BO24" t="e">
        <f>AND(#REF!,"AAAAAA3/v0I=")</f>
        <v>#REF!</v>
      </c>
      <c r="BP24" t="e">
        <f>AND(#REF!,"AAAAAA3/v0M=")</f>
        <v>#REF!</v>
      </c>
      <c r="BQ24" t="e">
        <f>AND(#REF!,"AAAAAA3/v0Q=")</f>
        <v>#REF!</v>
      </c>
      <c r="BR24" t="e">
        <f>AND(#REF!,"AAAAAA3/v0U=")</f>
        <v>#REF!</v>
      </c>
      <c r="BS24" t="e">
        <f>AND(#REF!,"AAAAAA3/v0Y=")</f>
        <v>#REF!</v>
      </c>
      <c r="BT24" t="e">
        <f>AND(#REF!,"AAAAAA3/v0c=")</f>
        <v>#REF!</v>
      </c>
      <c r="BU24" t="e">
        <f>AND(#REF!,"AAAAAA3/v0g=")</f>
        <v>#REF!</v>
      </c>
      <c r="BV24" t="e">
        <f>AND(#REF!,"AAAAAA3/v0k=")</f>
        <v>#REF!</v>
      </c>
      <c r="BW24" t="e">
        <f>AND(#REF!,"AAAAAA3/v0o=")</f>
        <v>#REF!</v>
      </c>
      <c r="BX24" t="e">
        <f>AND(#REF!,"AAAAAA3/v0s=")</f>
        <v>#REF!</v>
      </c>
      <c r="BY24" t="e">
        <f>AND(#REF!,"AAAAAA3/v0w=")</f>
        <v>#REF!</v>
      </c>
      <c r="BZ24" t="e">
        <f>AND(#REF!,"AAAAAA3/v00=")</f>
        <v>#REF!</v>
      </c>
      <c r="CA24" t="e">
        <f>AND(#REF!,"AAAAAA3/v04=")</f>
        <v>#REF!</v>
      </c>
      <c r="CB24" t="e">
        <f>AND(#REF!,"AAAAAA3/v08=")</f>
        <v>#REF!</v>
      </c>
      <c r="CC24" t="e">
        <f>AND(#REF!,"AAAAAA3/v1A=")</f>
        <v>#REF!</v>
      </c>
      <c r="CD24" t="e">
        <f>AND(#REF!,"AAAAAA3/v1E=")</f>
        <v>#REF!</v>
      </c>
      <c r="CE24" t="e">
        <f>AND(#REF!,"AAAAAA3/v1I=")</f>
        <v>#REF!</v>
      </c>
      <c r="CF24" t="e">
        <f>AND(#REF!,"AAAAAA3/v1M=")</f>
        <v>#REF!</v>
      </c>
      <c r="CG24" t="e">
        <f>AND(#REF!,"AAAAAA3/v1Q=")</f>
        <v>#REF!</v>
      </c>
      <c r="CH24" t="e">
        <f>AND(#REF!,"AAAAAA3/v1U=")</f>
        <v>#REF!</v>
      </c>
      <c r="CI24" t="e">
        <f>AND(#REF!,"AAAAAA3/v1Y=")</f>
        <v>#REF!</v>
      </c>
      <c r="CJ24" t="e">
        <f>AND(#REF!,"AAAAAA3/v1c=")</f>
        <v>#REF!</v>
      </c>
      <c r="CK24" t="e">
        <f>AND(#REF!,"AAAAAA3/v1g=")</f>
        <v>#REF!</v>
      </c>
      <c r="CL24" t="e">
        <f>AND(#REF!,"AAAAAA3/v1k=")</f>
        <v>#REF!</v>
      </c>
      <c r="CM24" t="e">
        <f>AND(#REF!,"AAAAAA3/v1o=")</f>
        <v>#REF!</v>
      </c>
      <c r="CN24" t="e">
        <f>AND(#REF!,"AAAAAA3/v1s=")</f>
        <v>#REF!</v>
      </c>
      <c r="CO24" t="e">
        <f>AND(#REF!,"AAAAAA3/v1w=")</f>
        <v>#REF!</v>
      </c>
      <c r="CP24" t="e">
        <f>AND(#REF!,"AAAAAA3/v10=")</f>
        <v>#REF!</v>
      </c>
      <c r="CQ24" t="e">
        <f>AND(#REF!,"AAAAAA3/v14=")</f>
        <v>#REF!</v>
      </c>
      <c r="CR24" t="e">
        <f>AND(#REF!,"AAAAAA3/v18=")</f>
        <v>#REF!</v>
      </c>
      <c r="CS24" t="e">
        <f>IF(#REF!,"AAAAAA3/v2A=",0)</f>
        <v>#REF!</v>
      </c>
      <c r="CT24" t="e">
        <f>AND(#REF!,"AAAAAA3/v2E=")</f>
        <v>#REF!</v>
      </c>
      <c r="CU24" t="e">
        <f>AND(#REF!,"AAAAAA3/v2I=")</f>
        <v>#REF!</v>
      </c>
      <c r="CV24" t="e">
        <f>AND(#REF!,"AAAAAA3/v2M=")</f>
        <v>#REF!</v>
      </c>
      <c r="CW24" t="e">
        <f>AND(#REF!,"AAAAAA3/v2Q=")</f>
        <v>#REF!</v>
      </c>
      <c r="CX24" t="e">
        <f>AND(#REF!,"AAAAAA3/v2U=")</f>
        <v>#REF!</v>
      </c>
      <c r="CY24" t="e">
        <f>AND(#REF!,"AAAAAA3/v2Y=")</f>
        <v>#REF!</v>
      </c>
      <c r="CZ24" t="e">
        <f>AND(#REF!,"AAAAAA3/v2c=")</f>
        <v>#REF!</v>
      </c>
      <c r="DA24" t="e">
        <f>AND(#REF!,"AAAAAA3/v2g=")</f>
        <v>#REF!</v>
      </c>
      <c r="DB24" t="e">
        <f>AND(#REF!,"AAAAAA3/v2k=")</f>
        <v>#REF!</v>
      </c>
      <c r="DC24" t="e">
        <f>AND(#REF!,"AAAAAA3/v2o=")</f>
        <v>#REF!</v>
      </c>
      <c r="DD24" t="e">
        <f>AND(#REF!,"AAAAAA3/v2s=")</f>
        <v>#REF!</v>
      </c>
      <c r="DE24" t="e">
        <f>AND(#REF!,"AAAAAA3/v2w=")</f>
        <v>#REF!</v>
      </c>
      <c r="DF24" t="e">
        <f>AND(#REF!,"AAAAAA3/v20=")</f>
        <v>#REF!</v>
      </c>
      <c r="DG24" t="e">
        <f>AND(#REF!,"AAAAAA3/v24=")</f>
        <v>#REF!</v>
      </c>
      <c r="DH24" t="e">
        <f>AND(#REF!,"AAAAAA3/v28=")</f>
        <v>#REF!</v>
      </c>
      <c r="DI24" t="e">
        <f>AND(#REF!,"AAAAAA3/v3A=")</f>
        <v>#REF!</v>
      </c>
      <c r="DJ24" t="e">
        <f>AND(#REF!,"AAAAAA3/v3E=")</f>
        <v>#REF!</v>
      </c>
      <c r="DK24" t="e">
        <f>AND(#REF!,"AAAAAA3/v3I=")</f>
        <v>#REF!</v>
      </c>
      <c r="DL24" t="e">
        <f>AND(#REF!,"AAAAAA3/v3M=")</f>
        <v>#REF!</v>
      </c>
      <c r="DM24" t="e">
        <f>AND(#REF!,"AAAAAA3/v3Q=")</f>
        <v>#REF!</v>
      </c>
      <c r="DN24" t="e">
        <f>AND(#REF!,"AAAAAA3/v3U=")</f>
        <v>#REF!</v>
      </c>
      <c r="DO24" t="e">
        <f>AND(#REF!,"AAAAAA3/v3Y=")</f>
        <v>#REF!</v>
      </c>
      <c r="DP24" t="e">
        <f>AND(#REF!,"AAAAAA3/v3c=")</f>
        <v>#REF!</v>
      </c>
      <c r="DQ24" t="e">
        <f>AND(#REF!,"AAAAAA3/v3g=")</f>
        <v>#REF!</v>
      </c>
      <c r="DR24" t="e">
        <f>AND(#REF!,"AAAAAA3/v3k=")</f>
        <v>#REF!</v>
      </c>
      <c r="DS24" t="e">
        <f>AND(#REF!,"AAAAAA3/v3o=")</f>
        <v>#REF!</v>
      </c>
      <c r="DT24" t="e">
        <f>AND(#REF!,"AAAAAA3/v3s=")</f>
        <v>#REF!</v>
      </c>
      <c r="DU24" t="e">
        <f>AND(#REF!,"AAAAAA3/v3w=")</f>
        <v>#REF!</v>
      </c>
      <c r="DV24" t="e">
        <f>AND(#REF!,"AAAAAA3/v30=")</f>
        <v>#REF!</v>
      </c>
      <c r="DW24" t="e">
        <f>AND(#REF!,"AAAAAA3/v34=")</f>
        <v>#REF!</v>
      </c>
      <c r="DX24" t="e">
        <f>AND(#REF!,"AAAAAA3/v38=")</f>
        <v>#REF!</v>
      </c>
      <c r="DY24" t="e">
        <f>AND(#REF!,"AAAAAA3/v4A=")</f>
        <v>#REF!</v>
      </c>
      <c r="DZ24" t="e">
        <f>AND(#REF!,"AAAAAA3/v4E=")</f>
        <v>#REF!</v>
      </c>
      <c r="EA24" t="e">
        <f>AND(#REF!,"AAAAAA3/v4I=")</f>
        <v>#REF!</v>
      </c>
      <c r="EB24" t="e">
        <f>AND(#REF!,"AAAAAA3/v4M=")</f>
        <v>#REF!</v>
      </c>
      <c r="EC24" t="e">
        <f>AND(#REF!,"AAAAAA3/v4Q=")</f>
        <v>#REF!</v>
      </c>
      <c r="ED24" t="e">
        <f>AND(#REF!,"AAAAAA3/v4U=")</f>
        <v>#REF!</v>
      </c>
      <c r="EE24" t="e">
        <f>AND(#REF!,"AAAAAA3/v4Y=")</f>
        <v>#REF!</v>
      </c>
      <c r="EF24" t="e">
        <f>AND(#REF!,"AAAAAA3/v4c=")</f>
        <v>#REF!</v>
      </c>
      <c r="EG24" t="e">
        <f>AND(#REF!,"AAAAAA3/v4g=")</f>
        <v>#REF!</v>
      </c>
      <c r="EH24" t="e">
        <f>AND(#REF!,"AAAAAA3/v4k=")</f>
        <v>#REF!</v>
      </c>
      <c r="EI24" t="e">
        <f>AND(#REF!,"AAAAAA3/v4o=")</f>
        <v>#REF!</v>
      </c>
      <c r="EJ24" t="e">
        <f>AND(#REF!,"AAAAAA3/v4s=")</f>
        <v>#REF!</v>
      </c>
      <c r="EK24" t="e">
        <f>IF(#REF!,"AAAAAA3/v4w=",0)</f>
        <v>#REF!</v>
      </c>
      <c r="EL24" t="e">
        <f>AND(#REF!,"AAAAAA3/v40=")</f>
        <v>#REF!</v>
      </c>
      <c r="EM24" t="e">
        <f>AND(#REF!,"AAAAAA3/v44=")</f>
        <v>#REF!</v>
      </c>
      <c r="EN24" t="e">
        <f>AND(#REF!,"AAAAAA3/v48=")</f>
        <v>#REF!</v>
      </c>
      <c r="EO24" t="e">
        <f>AND(#REF!,"AAAAAA3/v5A=")</f>
        <v>#REF!</v>
      </c>
      <c r="EP24" t="e">
        <f>AND(#REF!,"AAAAAA3/v5E=")</f>
        <v>#REF!</v>
      </c>
      <c r="EQ24" t="e">
        <f>AND(#REF!,"AAAAAA3/v5I=")</f>
        <v>#REF!</v>
      </c>
      <c r="ER24" t="e">
        <f>AND(#REF!,"AAAAAA3/v5M=")</f>
        <v>#REF!</v>
      </c>
      <c r="ES24" t="e">
        <f>AND(#REF!,"AAAAAA3/v5Q=")</f>
        <v>#REF!</v>
      </c>
      <c r="ET24" t="e">
        <f>AND(#REF!,"AAAAAA3/v5U=")</f>
        <v>#REF!</v>
      </c>
      <c r="EU24" t="e">
        <f>AND(#REF!,"AAAAAA3/v5Y=")</f>
        <v>#REF!</v>
      </c>
      <c r="EV24" t="e">
        <f>AND(#REF!,"AAAAAA3/v5c=")</f>
        <v>#REF!</v>
      </c>
      <c r="EW24" t="e">
        <f>AND(#REF!,"AAAAAA3/v5g=")</f>
        <v>#REF!</v>
      </c>
      <c r="EX24" t="e">
        <f>AND(#REF!,"AAAAAA3/v5k=")</f>
        <v>#REF!</v>
      </c>
      <c r="EY24" t="e">
        <f>AND(#REF!,"AAAAAA3/v5o=")</f>
        <v>#REF!</v>
      </c>
      <c r="EZ24" t="e">
        <f>AND(#REF!,"AAAAAA3/v5s=")</f>
        <v>#REF!</v>
      </c>
      <c r="FA24" t="e">
        <f>AND(#REF!,"AAAAAA3/v5w=")</f>
        <v>#REF!</v>
      </c>
      <c r="FB24" t="e">
        <f>AND(#REF!,"AAAAAA3/v50=")</f>
        <v>#REF!</v>
      </c>
      <c r="FC24" t="e">
        <f>AND(#REF!,"AAAAAA3/v54=")</f>
        <v>#REF!</v>
      </c>
      <c r="FD24" t="e">
        <f>AND(#REF!,"AAAAAA3/v58=")</f>
        <v>#REF!</v>
      </c>
      <c r="FE24" t="e">
        <f>AND(#REF!,"AAAAAA3/v6A=")</f>
        <v>#REF!</v>
      </c>
      <c r="FF24" t="e">
        <f>AND(#REF!,"AAAAAA3/v6E=")</f>
        <v>#REF!</v>
      </c>
      <c r="FG24" t="e">
        <f>AND(#REF!,"AAAAAA3/v6I=")</f>
        <v>#REF!</v>
      </c>
      <c r="FH24" t="e">
        <f>AND(#REF!,"AAAAAA3/v6M=")</f>
        <v>#REF!</v>
      </c>
      <c r="FI24" t="e">
        <f>AND(#REF!,"AAAAAA3/v6Q=")</f>
        <v>#REF!</v>
      </c>
      <c r="FJ24" t="e">
        <f>AND(#REF!,"AAAAAA3/v6U=")</f>
        <v>#REF!</v>
      </c>
      <c r="FK24" t="e">
        <f>AND(#REF!,"AAAAAA3/v6Y=")</f>
        <v>#REF!</v>
      </c>
      <c r="FL24" t="e">
        <f>AND(#REF!,"AAAAAA3/v6c=")</f>
        <v>#REF!</v>
      </c>
      <c r="FM24" t="e">
        <f>AND(#REF!,"AAAAAA3/v6g=")</f>
        <v>#REF!</v>
      </c>
      <c r="FN24" t="e">
        <f>AND(#REF!,"AAAAAA3/v6k=")</f>
        <v>#REF!</v>
      </c>
      <c r="FO24" t="e">
        <f>AND(#REF!,"AAAAAA3/v6o=")</f>
        <v>#REF!</v>
      </c>
      <c r="FP24" t="e">
        <f>AND(#REF!,"AAAAAA3/v6s=")</f>
        <v>#REF!</v>
      </c>
      <c r="FQ24" t="e">
        <f>AND(#REF!,"AAAAAA3/v6w=")</f>
        <v>#REF!</v>
      </c>
      <c r="FR24" t="e">
        <f>AND(#REF!,"AAAAAA3/v60=")</f>
        <v>#REF!</v>
      </c>
      <c r="FS24" t="e">
        <f>AND(#REF!,"AAAAAA3/v64=")</f>
        <v>#REF!</v>
      </c>
      <c r="FT24" t="e">
        <f>AND(#REF!,"AAAAAA3/v68=")</f>
        <v>#REF!</v>
      </c>
      <c r="FU24" t="e">
        <f>AND(#REF!,"AAAAAA3/v7A=")</f>
        <v>#REF!</v>
      </c>
      <c r="FV24" t="e">
        <f>AND(#REF!,"AAAAAA3/v7E=")</f>
        <v>#REF!</v>
      </c>
      <c r="FW24" t="e">
        <f>AND(#REF!,"AAAAAA3/v7I=")</f>
        <v>#REF!</v>
      </c>
      <c r="FX24" t="e">
        <f>AND(#REF!,"AAAAAA3/v7M=")</f>
        <v>#REF!</v>
      </c>
      <c r="FY24" t="e">
        <f>AND(#REF!,"AAAAAA3/v7Q=")</f>
        <v>#REF!</v>
      </c>
      <c r="FZ24" t="e">
        <f>AND(#REF!,"AAAAAA3/v7U=")</f>
        <v>#REF!</v>
      </c>
      <c r="GA24" t="e">
        <f>AND(#REF!,"AAAAAA3/v7Y=")</f>
        <v>#REF!</v>
      </c>
      <c r="GB24" t="e">
        <f>AND(#REF!,"AAAAAA3/v7c=")</f>
        <v>#REF!</v>
      </c>
      <c r="GC24" t="e">
        <f>IF(#REF!,"AAAAAA3/v7g=",0)</f>
        <v>#REF!</v>
      </c>
      <c r="GD24" t="e">
        <f>AND(#REF!,"AAAAAA3/v7k=")</f>
        <v>#REF!</v>
      </c>
      <c r="GE24" t="e">
        <f>AND(#REF!,"AAAAAA3/v7o=")</f>
        <v>#REF!</v>
      </c>
      <c r="GF24" t="e">
        <f>AND(#REF!,"AAAAAA3/v7s=")</f>
        <v>#REF!</v>
      </c>
      <c r="GG24" t="e">
        <f>AND(#REF!,"AAAAAA3/v7w=")</f>
        <v>#REF!</v>
      </c>
      <c r="GH24" t="e">
        <f>AND(#REF!,"AAAAAA3/v70=")</f>
        <v>#REF!</v>
      </c>
      <c r="GI24" t="e">
        <f>AND(#REF!,"AAAAAA3/v74=")</f>
        <v>#REF!</v>
      </c>
      <c r="GJ24" t="e">
        <f>AND(#REF!,"AAAAAA3/v78=")</f>
        <v>#REF!</v>
      </c>
      <c r="GK24" t="e">
        <f>AND(#REF!,"AAAAAA3/v8A=")</f>
        <v>#REF!</v>
      </c>
      <c r="GL24" t="e">
        <f>AND(#REF!,"AAAAAA3/v8E=")</f>
        <v>#REF!</v>
      </c>
      <c r="GM24" t="e">
        <f>AND(#REF!,"AAAAAA3/v8I=")</f>
        <v>#REF!</v>
      </c>
      <c r="GN24" t="e">
        <f>AND(#REF!,"AAAAAA3/v8M=")</f>
        <v>#REF!</v>
      </c>
      <c r="GO24" t="e">
        <f>AND(#REF!,"AAAAAA3/v8Q=")</f>
        <v>#REF!</v>
      </c>
      <c r="GP24" t="e">
        <f>AND(#REF!,"AAAAAA3/v8U=")</f>
        <v>#REF!</v>
      </c>
      <c r="GQ24" t="e">
        <f>AND(#REF!,"AAAAAA3/v8Y=")</f>
        <v>#REF!</v>
      </c>
      <c r="GR24" t="e">
        <f>AND(#REF!,"AAAAAA3/v8c=")</f>
        <v>#REF!</v>
      </c>
      <c r="GS24" t="e">
        <f>AND(#REF!,"AAAAAA3/v8g=")</f>
        <v>#REF!</v>
      </c>
      <c r="GT24" t="e">
        <f>AND(#REF!,"AAAAAA3/v8k=")</f>
        <v>#REF!</v>
      </c>
      <c r="GU24" t="e">
        <f>AND(#REF!,"AAAAAA3/v8o=")</f>
        <v>#REF!</v>
      </c>
      <c r="GV24" t="e">
        <f>AND(#REF!,"AAAAAA3/v8s=")</f>
        <v>#REF!</v>
      </c>
      <c r="GW24" t="e">
        <f>AND(#REF!,"AAAAAA3/v8w=")</f>
        <v>#REF!</v>
      </c>
      <c r="GX24" t="e">
        <f>AND(#REF!,"AAAAAA3/v80=")</f>
        <v>#REF!</v>
      </c>
      <c r="GY24" t="e">
        <f>AND(#REF!,"AAAAAA3/v84=")</f>
        <v>#REF!</v>
      </c>
      <c r="GZ24" t="e">
        <f>AND(#REF!,"AAAAAA3/v88=")</f>
        <v>#REF!</v>
      </c>
      <c r="HA24" t="e">
        <f>AND(#REF!,"AAAAAA3/v9A=")</f>
        <v>#REF!</v>
      </c>
      <c r="HB24" t="e">
        <f>AND(#REF!,"AAAAAA3/v9E=")</f>
        <v>#REF!</v>
      </c>
      <c r="HC24" t="e">
        <f>AND(#REF!,"AAAAAA3/v9I=")</f>
        <v>#REF!</v>
      </c>
      <c r="HD24" t="e">
        <f>AND(#REF!,"AAAAAA3/v9M=")</f>
        <v>#REF!</v>
      </c>
      <c r="HE24" t="e">
        <f>AND(#REF!,"AAAAAA3/v9Q=")</f>
        <v>#REF!</v>
      </c>
      <c r="HF24" t="e">
        <f>AND(#REF!,"AAAAAA3/v9U=")</f>
        <v>#REF!</v>
      </c>
      <c r="HG24" t="e">
        <f>AND(#REF!,"AAAAAA3/v9Y=")</f>
        <v>#REF!</v>
      </c>
      <c r="HH24" t="e">
        <f>AND(#REF!,"AAAAAA3/v9c=")</f>
        <v>#REF!</v>
      </c>
      <c r="HI24" t="e">
        <f>AND(#REF!,"AAAAAA3/v9g=")</f>
        <v>#REF!</v>
      </c>
      <c r="HJ24" t="e">
        <f>AND(#REF!,"AAAAAA3/v9k=")</f>
        <v>#REF!</v>
      </c>
      <c r="HK24" t="e">
        <f>AND(#REF!,"AAAAAA3/v9o=")</f>
        <v>#REF!</v>
      </c>
      <c r="HL24" t="e">
        <f>AND(#REF!,"AAAAAA3/v9s=")</f>
        <v>#REF!</v>
      </c>
      <c r="HM24" t="e">
        <f>AND(#REF!,"AAAAAA3/v9w=")</f>
        <v>#REF!</v>
      </c>
      <c r="HN24" t="e">
        <f>AND(#REF!,"AAAAAA3/v90=")</f>
        <v>#REF!</v>
      </c>
      <c r="HO24" t="e">
        <f>AND(#REF!,"AAAAAA3/v94=")</f>
        <v>#REF!</v>
      </c>
      <c r="HP24" t="e">
        <f>AND(#REF!,"AAAAAA3/v98=")</f>
        <v>#REF!</v>
      </c>
      <c r="HQ24" t="e">
        <f>AND(#REF!,"AAAAAA3/v+A=")</f>
        <v>#REF!</v>
      </c>
      <c r="HR24" t="e">
        <f>AND(#REF!,"AAAAAA3/v+E=")</f>
        <v>#REF!</v>
      </c>
      <c r="HS24" t="e">
        <f>AND(#REF!,"AAAAAA3/v+I=")</f>
        <v>#REF!</v>
      </c>
      <c r="HT24" t="e">
        <f>AND(#REF!,"AAAAAA3/v+M=")</f>
        <v>#REF!</v>
      </c>
      <c r="HU24" t="e">
        <f>IF(#REF!,"AAAAAA3/v+Q=",0)</f>
        <v>#REF!</v>
      </c>
      <c r="HV24" t="e">
        <f>AND(#REF!,"AAAAAA3/v+U=")</f>
        <v>#REF!</v>
      </c>
      <c r="HW24" t="e">
        <f>AND(#REF!,"AAAAAA3/v+Y=")</f>
        <v>#REF!</v>
      </c>
      <c r="HX24" t="e">
        <f>AND(#REF!,"AAAAAA3/v+c=")</f>
        <v>#REF!</v>
      </c>
      <c r="HY24" t="e">
        <f>AND(#REF!,"AAAAAA3/v+g=")</f>
        <v>#REF!</v>
      </c>
      <c r="HZ24" t="e">
        <f>AND(#REF!,"AAAAAA3/v+k=")</f>
        <v>#REF!</v>
      </c>
      <c r="IA24" t="e">
        <f>AND(#REF!,"AAAAAA3/v+o=")</f>
        <v>#REF!</v>
      </c>
      <c r="IB24" t="e">
        <f>AND(#REF!,"AAAAAA3/v+s=")</f>
        <v>#REF!</v>
      </c>
      <c r="IC24" t="e">
        <f>AND(#REF!,"AAAAAA3/v+w=")</f>
        <v>#REF!</v>
      </c>
      <c r="ID24" t="e">
        <f>AND(#REF!,"AAAAAA3/v+0=")</f>
        <v>#REF!</v>
      </c>
      <c r="IE24" t="e">
        <f>AND(#REF!,"AAAAAA3/v+4=")</f>
        <v>#REF!</v>
      </c>
      <c r="IF24" t="e">
        <f>AND(#REF!,"AAAAAA3/v+8=")</f>
        <v>#REF!</v>
      </c>
      <c r="IG24" t="e">
        <f>AND(#REF!,"AAAAAA3/v/A=")</f>
        <v>#REF!</v>
      </c>
      <c r="IH24" t="e">
        <f>AND(#REF!,"AAAAAA3/v/E=")</f>
        <v>#REF!</v>
      </c>
      <c r="II24" t="e">
        <f>AND(#REF!,"AAAAAA3/v/I=")</f>
        <v>#REF!</v>
      </c>
      <c r="IJ24" t="e">
        <f>AND(#REF!,"AAAAAA3/v/M=")</f>
        <v>#REF!</v>
      </c>
      <c r="IK24" t="e">
        <f>AND(#REF!,"AAAAAA3/v/Q=")</f>
        <v>#REF!</v>
      </c>
      <c r="IL24" t="e">
        <f>AND(#REF!,"AAAAAA3/v/U=")</f>
        <v>#REF!</v>
      </c>
      <c r="IM24" t="e">
        <f>AND(#REF!,"AAAAAA3/v/Y=")</f>
        <v>#REF!</v>
      </c>
      <c r="IN24" t="e">
        <f>AND(#REF!,"AAAAAA3/v/c=")</f>
        <v>#REF!</v>
      </c>
      <c r="IO24" t="e">
        <f>AND(#REF!,"AAAAAA3/v/g=")</f>
        <v>#REF!</v>
      </c>
      <c r="IP24" t="e">
        <f>AND(#REF!,"AAAAAA3/v/k=")</f>
        <v>#REF!</v>
      </c>
      <c r="IQ24" t="e">
        <f>AND(#REF!,"AAAAAA3/v/o=")</f>
        <v>#REF!</v>
      </c>
      <c r="IR24" t="e">
        <f>AND(#REF!,"AAAAAA3/v/s=")</f>
        <v>#REF!</v>
      </c>
      <c r="IS24" t="e">
        <f>AND(#REF!,"AAAAAA3/v/w=")</f>
        <v>#REF!</v>
      </c>
      <c r="IT24" t="e">
        <f>AND(#REF!,"AAAAAA3/v/0=")</f>
        <v>#REF!</v>
      </c>
      <c r="IU24" t="e">
        <f>AND(#REF!,"AAAAAA3/v/4=")</f>
        <v>#REF!</v>
      </c>
      <c r="IV24" t="e">
        <f>AND(#REF!,"AAAAAA3/v/8=")</f>
        <v>#REF!</v>
      </c>
    </row>
    <row r="25" spans="1:256" x14ac:dyDescent="0.25">
      <c r="A25" t="e">
        <f>AND(#REF!,"AAAAAF9eWAA=")</f>
        <v>#REF!</v>
      </c>
      <c r="B25" t="e">
        <f>AND(#REF!,"AAAAAF9eWAE=")</f>
        <v>#REF!</v>
      </c>
      <c r="C25" t="e">
        <f>AND(#REF!,"AAAAAF9eWAI=")</f>
        <v>#REF!</v>
      </c>
      <c r="D25" t="e">
        <f>AND(#REF!,"AAAAAF9eWAM=")</f>
        <v>#REF!</v>
      </c>
      <c r="E25" t="e">
        <f>AND(#REF!,"AAAAAF9eWAQ=")</f>
        <v>#REF!</v>
      </c>
      <c r="F25" t="e">
        <f>AND(#REF!,"AAAAAF9eWAU=")</f>
        <v>#REF!</v>
      </c>
      <c r="G25" t="e">
        <f>AND(#REF!,"AAAAAF9eWAY=")</f>
        <v>#REF!</v>
      </c>
      <c r="H25" t="e">
        <f>AND(#REF!,"AAAAAF9eWAc=")</f>
        <v>#REF!</v>
      </c>
      <c r="I25" t="e">
        <f>AND(#REF!,"AAAAAF9eWAg=")</f>
        <v>#REF!</v>
      </c>
      <c r="J25" t="e">
        <f>AND(#REF!,"AAAAAF9eWAk=")</f>
        <v>#REF!</v>
      </c>
      <c r="K25" t="e">
        <f>AND(#REF!,"AAAAAF9eWAo=")</f>
        <v>#REF!</v>
      </c>
      <c r="L25" t="e">
        <f>AND(#REF!,"AAAAAF9eWAs=")</f>
        <v>#REF!</v>
      </c>
      <c r="M25" t="e">
        <f>AND(#REF!,"AAAAAF9eWAw=")</f>
        <v>#REF!</v>
      </c>
      <c r="N25" t="e">
        <f>AND(#REF!,"AAAAAF9eWA0=")</f>
        <v>#REF!</v>
      </c>
      <c r="O25" t="e">
        <f>AND(#REF!,"AAAAAF9eWA4=")</f>
        <v>#REF!</v>
      </c>
      <c r="P25" t="e">
        <f>AND(#REF!,"AAAAAF9eWA8=")</f>
        <v>#REF!</v>
      </c>
      <c r="Q25" t="e">
        <f>IF(#REF!,"AAAAAF9eWBA=",0)</f>
        <v>#REF!</v>
      </c>
      <c r="R25" t="e">
        <f>AND(#REF!,"AAAAAF9eWBE=")</f>
        <v>#REF!</v>
      </c>
      <c r="S25" t="e">
        <f>AND(#REF!,"AAAAAF9eWBI=")</f>
        <v>#REF!</v>
      </c>
      <c r="T25" t="e">
        <f>AND(#REF!,"AAAAAF9eWBM=")</f>
        <v>#REF!</v>
      </c>
      <c r="U25" t="e">
        <f>AND(#REF!,"AAAAAF9eWBQ=")</f>
        <v>#REF!</v>
      </c>
      <c r="V25" t="e">
        <f>AND(#REF!,"AAAAAF9eWBU=")</f>
        <v>#REF!</v>
      </c>
      <c r="W25" t="e">
        <f>AND(#REF!,"AAAAAF9eWBY=")</f>
        <v>#REF!</v>
      </c>
      <c r="X25" t="e">
        <f>AND(#REF!,"AAAAAF9eWBc=")</f>
        <v>#REF!</v>
      </c>
      <c r="Y25" t="e">
        <f>AND(#REF!,"AAAAAF9eWBg=")</f>
        <v>#REF!</v>
      </c>
      <c r="Z25" t="e">
        <f>AND(#REF!,"AAAAAF9eWBk=")</f>
        <v>#REF!</v>
      </c>
      <c r="AA25" t="e">
        <f>AND(#REF!,"AAAAAF9eWBo=")</f>
        <v>#REF!</v>
      </c>
      <c r="AB25" t="e">
        <f>AND(#REF!,"AAAAAF9eWBs=")</f>
        <v>#REF!</v>
      </c>
      <c r="AC25" t="e">
        <f>AND(#REF!,"AAAAAF9eWBw=")</f>
        <v>#REF!</v>
      </c>
      <c r="AD25" t="e">
        <f>AND(#REF!,"AAAAAF9eWB0=")</f>
        <v>#REF!</v>
      </c>
      <c r="AE25" t="e">
        <f>AND(#REF!,"AAAAAF9eWB4=")</f>
        <v>#REF!</v>
      </c>
      <c r="AF25" t="e">
        <f>AND(#REF!,"AAAAAF9eWB8=")</f>
        <v>#REF!</v>
      </c>
      <c r="AG25" t="e">
        <f>AND(#REF!,"AAAAAF9eWCA=")</f>
        <v>#REF!</v>
      </c>
      <c r="AH25" t="e">
        <f>AND(#REF!,"AAAAAF9eWCE=")</f>
        <v>#REF!</v>
      </c>
      <c r="AI25" t="e">
        <f>AND(#REF!,"AAAAAF9eWCI=")</f>
        <v>#REF!</v>
      </c>
      <c r="AJ25" t="e">
        <f>AND(#REF!,"AAAAAF9eWCM=")</f>
        <v>#REF!</v>
      </c>
      <c r="AK25" t="e">
        <f>AND(#REF!,"AAAAAF9eWCQ=")</f>
        <v>#REF!</v>
      </c>
      <c r="AL25" t="e">
        <f>AND(#REF!,"AAAAAF9eWCU=")</f>
        <v>#REF!</v>
      </c>
      <c r="AM25" t="e">
        <f>AND(#REF!,"AAAAAF9eWCY=")</f>
        <v>#REF!</v>
      </c>
      <c r="AN25" t="e">
        <f>AND(#REF!,"AAAAAF9eWCc=")</f>
        <v>#REF!</v>
      </c>
      <c r="AO25" t="e">
        <f>AND(#REF!,"AAAAAF9eWCg=")</f>
        <v>#REF!</v>
      </c>
      <c r="AP25" t="e">
        <f>AND(#REF!,"AAAAAF9eWCk=")</f>
        <v>#REF!</v>
      </c>
      <c r="AQ25" t="e">
        <f>AND(#REF!,"AAAAAF9eWCo=")</f>
        <v>#REF!</v>
      </c>
      <c r="AR25" t="e">
        <f>AND(#REF!,"AAAAAF9eWCs=")</f>
        <v>#REF!</v>
      </c>
      <c r="AS25" t="e">
        <f>AND(#REF!,"AAAAAF9eWCw=")</f>
        <v>#REF!</v>
      </c>
      <c r="AT25" t="e">
        <f>AND(#REF!,"AAAAAF9eWC0=")</f>
        <v>#REF!</v>
      </c>
      <c r="AU25" t="e">
        <f>AND(#REF!,"AAAAAF9eWC4=")</f>
        <v>#REF!</v>
      </c>
      <c r="AV25" t="e">
        <f>AND(#REF!,"AAAAAF9eWC8=")</f>
        <v>#REF!</v>
      </c>
      <c r="AW25" t="e">
        <f>AND(#REF!,"AAAAAF9eWDA=")</f>
        <v>#REF!</v>
      </c>
      <c r="AX25" t="e">
        <f>AND(#REF!,"AAAAAF9eWDE=")</f>
        <v>#REF!</v>
      </c>
      <c r="AY25" t="e">
        <f>AND(#REF!,"AAAAAF9eWDI=")</f>
        <v>#REF!</v>
      </c>
      <c r="AZ25" t="e">
        <f>AND(#REF!,"AAAAAF9eWDM=")</f>
        <v>#REF!</v>
      </c>
      <c r="BA25" t="e">
        <f>AND(#REF!,"AAAAAF9eWDQ=")</f>
        <v>#REF!</v>
      </c>
      <c r="BB25" t="e">
        <f>AND(#REF!,"AAAAAF9eWDU=")</f>
        <v>#REF!</v>
      </c>
      <c r="BC25" t="e">
        <f>AND(#REF!,"AAAAAF9eWDY=")</f>
        <v>#REF!</v>
      </c>
      <c r="BD25" t="e">
        <f>AND(#REF!,"AAAAAF9eWDc=")</f>
        <v>#REF!</v>
      </c>
      <c r="BE25" t="e">
        <f>AND(#REF!,"AAAAAF9eWDg=")</f>
        <v>#REF!</v>
      </c>
      <c r="BF25" t="e">
        <f>AND(#REF!,"AAAAAF9eWDk=")</f>
        <v>#REF!</v>
      </c>
      <c r="BG25" t="e">
        <f>AND(#REF!,"AAAAAF9eWDo=")</f>
        <v>#REF!</v>
      </c>
      <c r="BH25" t="e">
        <f>AND(#REF!,"AAAAAF9eWDs=")</f>
        <v>#REF!</v>
      </c>
      <c r="BI25" t="e">
        <f>IF(#REF!,"AAAAAF9eWDw=",0)</f>
        <v>#REF!</v>
      </c>
      <c r="BJ25" t="e">
        <f>AND(#REF!,"AAAAAF9eWD0=")</f>
        <v>#REF!</v>
      </c>
      <c r="BK25" t="e">
        <f>AND(#REF!,"AAAAAF9eWD4=")</f>
        <v>#REF!</v>
      </c>
      <c r="BL25" t="e">
        <f>AND(#REF!,"AAAAAF9eWD8=")</f>
        <v>#REF!</v>
      </c>
      <c r="BM25" t="e">
        <f>AND(#REF!,"AAAAAF9eWEA=")</f>
        <v>#REF!</v>
      </c>
      <c r="BN25" t="e">
        <f>AND(#REF!,"AAAAAF9eWEE=")</f>
        <v>#REF!</v>
      </c>
      <c r="BO25" t="e">
        <f>AND(#REF!,"AAAAAF9eWEI=")</f>
        <v>#REF!</v>
      </c>
      <c r="BP25" t="e">
        <f>AND(#REF!,"AAAAAF9eWEM=")</f>
        <v>#REF!</v>
      </c>
      <c r="BQ25" t="e">
        <f>AND(#REF!,"AAAAAF9eWEQ=")</f>
        <v>#REF!</v>
      </c>
      <c r="BR25" t="e">
        <f>AND(#REF!,"AAAAAF9eWEU=")</f>
        <v>#REF!</v>
      </c>
      <c r="BS25" t="e">
        <f>AND(#REF!,"AAAAAF9eWEY=")</f>
        <v>#REF!</v>
      </c>
      <c r="BT25" t="e">
        <f>AND(#REF!,"AAAAAF9eWEc=")</f>
        <v>#REF!</v>
      </c>
      <c r="BU25" t="e">
        <f>AND(#REF!,"AAAAAF9eWEg=")</f>
        <v>#REF!</v>
      </c>
      <c r="BV25" t="e">
        <f>AND(#REF!,"AAAAAF9eWEk=")</f>
        <v>#REF!</v>
      </c>
      <c r="BW25" t="e">
        <f>AND(#REF!,"AAAAAF9eWEo=")</f>
        <v>#REF!</v>
      </c>
      <c r="BX25" t="e">
        <f>AND(#REF!,"AAAAAF9eWEs=")</f>
        <v>#REF!</v>
      </c>
      <c r="BY25" t="e">
        <f>AND(#REF!,"AAAAAF9eWEw=")</f>
        <v>#REF!</v>
      </c>
      <c r="BZ25" t="e">
        <f>AND(#REF!,"AAAAAF9eWE0=")</f>
        <v>#REF!</v>
      </c>
      <c r="CA25" t="e">
        <f>AND(#REF!,"AAAAAF9eWE4=")</f>
        <v>#REF!</v>
      </c>
      <c r="CB25" t="e">
        <f>AND(#REF!,"AAAAAF9eWE8=")</f>
        <v>#REF!</v>
      </c>
      <c r="CC25" t="e">
        <f>AND(#REF!,"AAAAAF9eWFA=")</f>
        <v>#REF!</v>
      </c>
      <c r="CD25" t="e">
        <f>AND(#REF!,"AAAAAF9eWFE=")</f>
        <v>#REF!</v>
      </c>
      <c r="CE25" t="e">
        <f>AND(#REF!,"AAAAAF9eWFI=")</f>
        <v>#REF!</v>
      </c>
      <c r="CF25" t="e">
        <f>AND(#REF!,"AAAAAF9eWFM=")</f>
        <v>#REF!</v>
      </c>
      <c r="CG25" t="e">
        <f>AND(#REF!,"AAAAAF9eWFQ=")</f>
        <v>#REF!</v>
      </c>
      <c r="CH25" t="e">
        <f>AND(#REF!,"AAAAAF9eWFU=")</f>
        <v>#REF!</v>
      </c>
      <c r="CI25" t="e">
        <f>AND(#REF!,"AAAAAF9eWFY=")</f>
        <v>#REF!</v>
      </c>
      <c r="CJ25" t="e">
        <f>AND(#REF!,"AAAAAF9eWFc=")</f>
        <v>#REF!</v>
      </c>
      <c r="CK25" t="e">
        <f>AND(#REF!,"AAAAAF9eWFg=")</f>
        <v>#REF!</v>
      </c>
      <c r="CL25" t="e">
        <f>AND(#REF!,"AAAAAF9eWFk=")</f>
        <v>#REF!</v>
      </c>
      <c r="CM25" t="e">
        <f>AND(#REF!,"AAAAAF9eWFo=")</f>
        <v>#REF!</v>
      </c>
      <c r="CN25" t="e">
        <f>AND(#REF!,"AAAAAF9eWFs=")</f>
        <v>#REF!</v>
      </c>
      <c r="CO25" t="e">
        <f>AND(#REF!,"AAAAAF9eWFw=")</f>
        <v>#REF!</v>
      </c>
      <c r="CP25" t="e">
        <f>AND(#REF!,"AAAAAF9eWF0=")</f>
        <v>#REF!</v>
      </c>
      <c r="CQ25" t="e">
        <f>AND(#REF!,"AAAAAF9eWF4=")</f>
        <v>#REF!</v>
      </c>
      <c r="CR25" t="e">
        <f>AND(#REF!,"AAAAAF9eWF8=")</f>
        <v>#REF!</v>
      </c>
      <c r="CS25" t="e">
        <f>AND(#REF!,"AAAAAF9eWGA=")</f>
        <v>#REF!</v>
      </c>
      <c r="CT25" t="e">
        <f>AND(#REF!,"AAAAAF9eWGE=")</f>
        <v>#REF!</v>
      </c>
      <c r="CU25" t="e">
        <f>AND(#REF!,"AAAAAF9eWGI=")</f>
        <v>#REF!</v>
      </c>
      <c r="CV25" t="e">
        <f>AND(#REF!,"AAAAAF9eWGM=")</f>
        <v>#REF!</v>
      </c>
      <c r="CW25" t="e">
        <f>AND(#REF!,"AAAAAF9eWGQ=")</f>
        <v>#REF!</v>
      </c>
      <c r="CX25" t="e">
        <f>AND(#REF!,"AAAAAF9eWGU=")</f>
        <v>#REF!</v>
      </c>
      <c r="CY25" t="e">
        <f>AND(#REF!,"AAAAAF9eWGY=")</f>
        <v>#REF!</v>
      </c>
      <c r="CZ25" t="e">
        <f>AND(#REF!,"AAAAAF9eWGc=")</f>
        <v>#REF!</v>
      </c>
      <c r="DA25" t="e">
        <f>IF(#REF!,"AAAAAF9eWGg=",0)</f>
        <v>#REF!</v>
      </c>
      <c r="DB25" t="e">
        <f>AND(#REF!,"AAAAAF9eWGk=")</f>
        <v>#REF!</v>
      </c>
      <c r="DC25" t="e">
        <f>AND(#REF!,"AAAAAF9eWGo=")</f>
        <v>#REF!</v>
      </c>
      <c r="DD25" t="e">
        <f>AND(#REF!,"AAAAAF9eWGs=")</f>
        <v>#REF!</v>
      </c>
      <c r="DE25" t="e">
        <f>AND(#REF!,"AAAAAF9eWGw=")</f>
        <v>#REF!</v>
      </c>
      <c r="DF25" t="e">
        <f>AND(#REF!,"AAAAAF9eWG0=")</f>
        <v>#REF!</v>
      </c>
      <c r="DG25" t="e">
        <f>AND(#REF!,"AAAAAF9eWG4=")</f>
        <v>#REF!</v>
      </c>
      <c r="DH25" t="e">
        <f>AND(#REF!,"AAAAAF9eWG8=")</f>
        <v>#REF!</v>
      </c>
      <c r="DI25" t="e">
        <f>AND(#REF!,"AAAAAF9eWHA=")</f>
        <v>#REF!</v>
      </c>
      <c r="DJ25" t="e">
        <f>AND(#REF!,"AAAAAF9eWHE=")</f>
        <v>#REF!</v>
      </c>
      <c r="DK25" t="e">
        <f>AND(#REF!,"AAAAAF9eWHI=")</f>
        <v>#REF!</v>
      </c>
      <c r="DL25" t="e">
        <f>AND(#REF!,"AAAAAF9eWHM=")</f>
        <v>#REF!</v>
      </c>
      <c r="DM25" t="e">
        <f>AND(#REF!,"AAAAAF9eWHQ=")</f>
        <v>#REF!</v>
      </c>
      <c r="DN25" t="e">
        <f>AND(#REF!,"AAAAAF9eWHU=")</f>
        <v>#REF!</v>
      </c>
      <c r="DO25" t="e">
        <f>AND(#REF!,"AAAAAF9eWHY=")</f>
        <v>#REF!</v>
      </c>
      <c r="DP25" t="e">
        <f>AND(#REF!,"AAAAAF9eWHc=")</f>
        <v>#REF!</v>
      </c>
      <c r="DQ25" t="e">
        <f>AND(#REF!,"AAAAAF9eWHg=")</f>
        <v>#REF!</v>
      </c>
      <c r="DR25" t="e">
        <f>AND(#REF!,"AAAAAF9eWHk=")</f>
        <v>#REF!</v>
      </c>
      <c r="DS25" t="e">
        <f>AND(#REF!,"AAAAAF9eWHo=")</f>
        <v>#REF!</v>
      </c>
      <c r="DT25" t="e">
        <f>AND(#REF!,"AAAAAF9eWHs=")</f>
        <v>#REF!</v>
      </c>
      <c r="DU25" t="e">
        <f>AND(#REF!,"AAAAAF9eWHw=")</f>
        <v>#REF!</v>
      </c>
      <c r="DV25" t="e">
        <f>AND(#REF!,"AAAAAF9eWH0=")</f>
        <v>#REF!</v>
      </c>
      <c r="DW25" t="e">
        <f>AND(#REF!,"AAAAAF9eWH4=")</f>
        <v>#REF!</v>
      </c>
      <c r="DX25" t="e">
        <f>AND(#REF!,"AAAAAF9eWH8=")</f>
        <v>#REF!</v>
      </c>
      <c r="DY25" t="e">
        <f>AND(#REF!,"AAAAAF9eWIA=")</f>
        <v>#REF!</v>
      </c>
      <c r="DZ25" t="e">
        <f>AND(#REF!,"AAAAAF9eWIE=")</f>
        <v>#REF!</v>
      </c>
      <c r="EA25" t="e">
        <f>AND(#REF!,"AAAAAF9eWII=")</f>
        <v>#REF!</v>
      </c>
      <c r="EB25" t="e">
        <f>AND(#REF!,"AAAAAF9eWIM=")</f>
        <v>#REF!</v>
      </c>
      <c r="EC25" t="e">
        <f>AND(#REF!,"AAAAAF9eWIQ=")</f>
        <v>#REF!</v>
      </c>
      <c r="ED25" t="e">
        <f>AND(#REF!,"AAAAAF9eWIU=")</f>
        <v>#REF!</v>
      </c>
      <c r="EE25" t="e">
        <f>AND(#REF!,"AAAAAF9eWIY=")</f>
        <v>#REF!</v>
      </c>
      <c r="EF25" t="e">
        <f>AND(#REF!,"AAAAAF9eWIc=")</f>
        <v>#REF!</v>
      </c>
      <c r="EG25" t="e">
        <f>AND(#REF!,"AAAAAF9eWIg=")</f>
        <v>#REF!</v>
      </c>
      <c r="EH25" t="e">
        <f>AND(#REF!,"AAAAAF9eWIk=")</f>
        <v>#REF!</v>
      </c>
      <c r="EI25" t="e">
        <f>AND(#REF!,"AAAAAF9eWIo=")</f>
        <v>#REF!</v>
      </c>
      <c r="EJ25" t="e">
        <f>AND(#REF!,"AAAAAF9eWIs=")</f>
        <v>#REF!</v>
      </c>
      <c r="EK25" t="e">
        <f>AND(#REF!,"AAAAAF9eWIw=")</f>
        <v>#REF!</v>
      </c>
      <c r="EL25" t="e">
        <f>AND(#REF!,"AAAAAF9eWI0=")</f>
        <v>#REF!</v>
      </c>
      <c r="EM25" t="e">
        <f>AND(#REF!,"AAAAAF9eWI4=")</f>
        <v>#REF!</v>
      </c>
      <c r="EN25" t="e">
        <f>AND(#REF!,"AAAAAF9eWI8=")</f>
        <v>#REF!</v>
      </c>
      <c r="EO25" t="e">
        <f>AND(#REF!,"AAAAAF9eWJA=")</f>
        <v>#REF!</v>
      </c>
      <c r="EP25" t="e">
        <f>AND(#REF!,"AAAAAF9eWJE=")</f>
        <v>#REF!</v>
      </c>
      <c r="EQ25" t="e">
        <f>AND(#REF!,"AAAAAF9eWJI=")</f>
        <v>#REF!</v>
      </c>
      <c r="ER25" t="e">
        <f>AND(#REF!,"AAAAAF9eWJM=")</f>
        <v>#REF!</v>
      </c>
      <c r="ES25" t="e">
        <f>IF(#REF!,"AAAAAF9eWJQ=",0)</f>
        <v>#REF!</v>
      </c>
      <c r="ET25" t="e">
        <f>AND(#REF!,"AAAAAF9eWJU=")</f>
        <v>#REF!</v>
      </c>
      <c r="EU25" t="e">
        <f>AND(#REF!,"AAAAAF9eWJY=")</f>
        <v>#REF!</v>
      </c>
      <c r="EV25" t="e">
        <f>AND(#REF!,"AAAAAF9eWJc=")</f>
        <v>#REF!</v>
      </c>
      <c r="EW25" t="e">
        <f>AND(#REF!,"AAAAAF9eWJg=")</f>
        <v>#REF!</v>
      </c>
      <c r="EX25" t="e">
        <f>AND(#REF!,"AAAAAF9eWJk=")</f>
        <v>#REF!</v>
      </c>
      <c r="EY25" t="e">
        <f>AND(#REF!,"AAAAAF9eWJo=")</f>
        <v>#REF!</v>
      </c>
      <c r="EZ25" t="e">
        <f>AND(#REF!,"AAAAAF9eWJs=")</f>
        <v>#REF!</v>
      </c>
      <c r="FA25" t="e">
        <f>AND(#REF!,"AAAAAF9eWJw=")</f>
        <v>#REF!</v>
      </c>
      <c r="FB25" t="e">
        <f>AND(#REF!,"AAAAAF9eWJ0=")</f>
        <v>#REF!</v>
      </c>
      <c r="FC25" t="e">
        <f>AND(#REF!,"AAAAAF9eWJ4=")</f>
        <v>#REF!</v>
      </c>
      <c r="FD25" t="e">
        <f>AND(#REF!,"AAAAAF9eWJ8=")</f>
        <v>#REF!</v>
      </c>
      <c r="FE25" t="e">
        <f>AND(#REF!,"AAAAAF9eWKA=")</f>
        <v>#REF!</v>
      </c>
      <c r="FF25" t="e">
        <f>AND(#REF!,"AAAAAF9eWKE=")</f>
        <v>#REF!</v>
      </c>
      <c r="FG25" t="e">
        <f>AND(#REF!,"AAAAAF9eWKI=")</f>
        <v>#REF!</v>
      </c>
      <c r="FH25" t="e">
        <f>AND(#REF!,"AAAAAF9eWKM=")</f>
        <v>#REF!</v>
      </c>
      <c r="FI25" t="e">
        <f>AND(#REF!,"AAAAAF9eWKQ=")</f>
        <v>#REF!</v>
      </c>
      <c r="FJ25" t="e">
        <f>AND(#REF!,"AAAAAF9eWKU=")</f>
        <v>#REF!</v>
      </c>
      <c r="FK25" t="e">
        <f>AND(#REF!,"AAAAAF9eWKY=")</f>
        <v>#REF!</v>
      </c>
      <c r="FL25" t="e">
        <f>AND(#REF!,"AAAAAF9eWKc=")</f>
        <v>#REF!</v>
      </c>
      <c r="FM25" t="e">
        <f>AND(#REF!,"AAAAAF9eWKg=")</f>
        <v>#REF!</v>
      </c>
      <c r="FN25" t="e">
        <f>AND(#REF!,"AAAAAF9eWKk=")</f>
        <v>#REF!</v>
      </c>
      <c r="FO25" t="e">
        <f>AND(#REF!,"AAAAAF9eWKo=")</f>
        <v>#REF!</v>
      </c>
      <c r="FP25" t="e">
        <f>AND(#REF!,"AAAAAF9eWKs=")</f>
        <v>#REF!</v>
      </c>
      <c r="FQ25" t="e">
        <f>AND(#REF!,"AAAAAF9eWKw=")</f>
        <v>#REF!</v>
      </c>
      <c r="FR25" t="e">
        <f>AND(#REF!,"AAAAAF9eWK0=")</f>
        <v>#REF!</v>
      </c>
      <c r="FS25" t="e">
        <f>AND(#REF!,"AAAAAF9eWK4=")</f>
        <v>#REF!</v>
      </c>
      <c r="FT25" t="e">
        <f>AND(#REF!,"AAAAAF9eWK8=")</f>
        <v>#REF!</v>
      </c>
      <c r="FU25" t="e">
        <f>AND(#REF!,"AAAAAF9eWLA=")</f>
        <v>#REF!</v>
      </c>
      <c r="FV25" t="e">
        <f>AND(#REF!,"AAAAAF9eWLE=")</f>
        <v>#REF!</v>
      </c>
      <c r="FW25" t="e">
        <f>AND(#REF!,"AAAAAF9eWLI=")</f>
        <v>#REF!</v>
      </c>
      <c r="FX25" t="e">
        <f>AND(#REF!,"AAAAAF9eWLM=")</f>
        <v>#REF!</v>
      </c>
      <c r="FY25" t="e">
        <f>AND(#REF!,"AAAAAF9eWLQ=")</f>
        <v>#REF!</v>
      </c>
      <c r="FZ25" t="e">
        <f>AND(#REF!,"AAAAAF9eWLU=")</f>
        <v>#REF!</v>
      </c>
      <c r="GA25" t="e">
        <f>AND(#REF!,"AAAAAF9eWLY=")</f>
        <v>#REF!</v>
      </c>
      <c r="GB25" t="e">
        <f>AND(#REF!,"AAAAAF9eWLc=")</f>
        <v>#REF!</v>
      </c>
      <c r="GC25" t="e">
        <f>AND(#REF!,"AAAAAF9eWLg=")</f>
        <v>#REF!</v>
      </c>
      <c r="GD25" t="e">
        <f>AND(#REF!,"AAAAAF9eWLk=")</f>
        <v>#REF!</v>
      </c>
      <c r="GE25" t="e">
        <f>AND(#REF!,"AAAAAF9eWLo=")</f>
        <v>#REF!</v>
      </c>
      <c r="GF25" t="e">
        <f>AND(#REF!,"AAAAAF9eWLs=")</f>
        <v>#REF!</v>
      </c>
      <c r="GG25" t="e">
        <f>AND(#REF!,"AAAAAF9eWLw=")</f>
        <v>#REF!</v>
      </c>
      <c r="GH25" t="e">
        <f>AND(#REF!,"AAAAAF9eWL0=")</f>
        <v>#REF!</v>
      </c>
      <c r="GI25" t="e">
        <f>AND(#REF!,"AAAAAF9eWL4=")</f>
        <v>#REF!</v>
      </c>
      <c r="GJ25" t="e">
        <f>AND(#REF!,"AAAAAF9eWL8=")</f>
        <v>#REF!</v>
      </c>
      <c r="GK25" t="e">
        <f>IF(#REF!,"AAAAAF9eWMA=",0)</f>
        <v>#REF!</v>
      </c>
      <c r="GL25" t="e">
        <f>AND(#REF!,"AAAAAF9eWME=")</f>
        <v>#REF!</v>
      </c>
      <c r="GM25" t="e">
        <f>AND(#REF!,"AAAAAF9eWMI=")</f>
        <v>#REF!</v>
      </c>
      <c r="GN25" t="e">
        <f>AND(#REF!,"AAAAAF9eWMM=")</f>
        <v>#REF!</v>
      </c>
      <c r="GO25" t="e">
        <f>AND(#REF!,"AAAAAF9eWMQ=")</f>
        <v>#REF!</v>
      </c>
      <c r="GP25" t="e">
        <f>AND(#REF!,"AAAAAF9eWMU=")</f>
        <v>#REF!</v>
      </c>
      <c r="GQ25" t="e">
        <f>AND(#REF!,"AAAAAF9eWMY=")</f>
        <v>#REF!</v>
      </c>
      <c r="GR25" t="e">
        <f>AND(#REF!,"AAAAAF9eWMc=")</f>
        <v>#REF!</v>
      </c>
      <c r="GS25" t="e">
        <f>AND(#REF!,"AAAAAF9eWMg=")</f>
        <v>#REF!</v>
      </c>
      <c r="GT25" t="e">
        <f>AND(#REF!,"AAAAAF9eWMk=")</f>
        <v>#REF!</v>
      </c>
      <c r="GU25" t="e">
        <f>AND(#REF!,"AAAAAF9eWMo=")</f>
        <v>#REF!</v>
      </c>
      <c r="GV25" t="e">
        <f>AND(#REF!,"AAAAAF9eWMs=")</f>
        <v>#REF!</v>
      </c>
      <c r="GW25" t="e">
        <f>AND(#REF!,"AAAAAF9eWMw=")</f>
        <v>#REF!</v>
      </c>
      <c r="GX25" t="e">
        <f>AND(#REF!,"AAAAAF9eWM0=")</f>
        <v>#REF!</v>
      </c>
      <c r="GY25" t="e">
        <f>AND(#REF!,"AAAAAF9eWM4=")</f>
        <v>#REF!</v>
      </c>
      <c r="GZ25" t="e">
        <f>AND(#REF!,"AAAAAF9eWM8=")</f>
        <v>#REF!</v>
      </c>
      <c r="HA25" t="e">
        <f>AND(#REF!,"AAAAAF9eWNA=")</f>
        <v>#REF!</v>
      </c>
      <c r="HB25" t="e">
        <f>AND(#REF!,"AAAAAF9eWNE=")</f>
        <v>#REF!</v>
      </c>
      <c r="HC25" t="e">
        <f>AND(#REF!,"AAAAAF9eWNI=")</f>
        <v>#REF!</v>
      </c>
      <c r="HD25" t="e">
        <f>AND(#REF!,"AAAAAF9eWNM=")</f>
        <v>#REF!</v>
      </c>
      <c r="HE25" t="e">
        <f>AND(#REF!,"AAAAAF9eWNQ=")</f>
        <v>#REF!</v>
      </c>
      <c r="HF25" t="e">
        <f>AND(#REF!,"AAAAAF9eWNU=")</f>
        <v>#REF!</v>
      </c>
      <c r="HG25" t="e">
        <f>AND(#REF!,"AAAAAF9eWNY=")</f>
        <v>#REF!</v>
      </c>
      <c r="HH25" t="e">
        <f>AND(#REF!,"AAAAAF9eWNc=")</f>
        <v>#REF!</v>
      </c>
      <c r="HI25" t="e">
        <f>AND(#REF!,"AAAAAF9eWNg=")</f>
        <v>#REF!</v>
      </c>
      <c r="HJ25" t="e">
        <f>AND(#REF!,"AAAAAF9eWNk=")</f>
        <v>#REF!</v>
      </c>
      <c r="HK25" t="e">
        <f>AND(#REF!,"AAAAAF9eWNo=")</f>
        <v>#REF!</v>
      </c>
      <c r="HL25" t="e">
        <f>AND(#REF!,"AAAAAF9eWNs=")</f>
        <v>#REF!</v>
      </c>
      <c r="HM25" t="e">
        <f>AND(#REF!,"AAAAAF9eWNw=")</f>
        <v>#REF!</v>
      </c>
      <c r="HN25" t="e">
        <f>AND(#REF!,"AAAAAF9eWN0=")</f>
        <v>#REF!</v>
      </c>
      <c r="HO25" t="e">
        <f>AND(#REF!,"AAAAAF9eWN4=")</f>
        <v>#REF!</v>
      </c>
      <c r="HP25" t="e">
        <f>AND(#REF!,"AAAAAF9eWN8=")</f>
        <v>#REF!</v>
      </c>
      <c r="HQ25" t="e">
        <f>AND(#REF!,"AAAAAF9eWOA=")</f>
        <v>#REF!</v>
      </c>
      <c r="HR25" t="e">
        <f>AND(#REF!,"AAAAAF9eWOE=")</f>
        <v>#REF!</v>
      </c>
      <c r="HS25" t="e">
        <f>AND(#REF!,"AAAAAF9eWOI=")</f>
        <v>#REF!</v>
      </c>
      <c r="HT25" t="e">
        <f>AND(#REF!,"AAAAAF9eWOM=")</f>
        <v>#REF!</v>
      </c>
      <c r="HU25" t="e">
        <f>AND(#REF!,"AAAAAF9eWOQ=")</f>
        <v>#REF!</v>
      </c>
      <c r="HV25" t="e">
        <f>AND(#REF!,"AAAAAF9eWOU=")</f>
        <v>#REF!</v>
      </c>
      <c r="HW25" t="e">
        <f>AND(#REF!,"AAAAAF9eWOY=")</f>
        <v>#REF!</v>
      </c>
      <c r="HX25" t="e">
        <f>AND(#REF!,"AAAAAF9eWOc=")</f>
        <v>#REF!</v>
      </c>
      <c r="HY25" t="e">
        <f>AND(#REF!,"AAAAAF9eWOg=")</f>
        <v>#REF!</v>
      </c>
      <c r="HZ25" t="e">
        <f>AND(#REF!,"AAAAAF9eWOk=")</f>
        <v>#REF!</v>
      </c>
      <c r="IA25" t="e">
        <f>AND(#REF!,"AAAAAF9eWOo=")</f>
        <v>#REF!</v>
      </c>
      <c r="IB25" t="e">
        <f>AND(#REF!,"AAAAAF9eWOs=")</f>
        <v>#REF!</v>
      </c>
      <c r="IC25" t="e">
        <f>IF(#REF!,"AAAAAF9eWOw=",0)</f>
        <v>#REF!</v>
      </c>
      <c r="ID25" t="e">
        <f>AND(#REF!,"AAAAAF9eWO0=")</f>
        <v>#REF!</v>
      </c>
      <c r="IE25" t="e">
        <f>AND(#REF!,"AAAAAF9eWO4=")</f>
        <v>#REF!</v>
      </c>
      <c r="IF25" t="e">
        <f>AND(#REF!,"AAAAAF9eWO8=")</f>
        <v>#REF!</v>
      </c>
      <c r="IG25" t="e">
        <f>AND(#REF!,"AAAAAF9eWPA=")</f>
        <v>#REF!</v>
      </c>
      <c r="IH25" t="e">
        <f>AND(#REF!,"AAAAAF9eWPE=")</f>
        <v>#REF!</v>
      </c>
      <c r="II25" t="e">
        <f>AND(#REF!,"AAAAAF9eWPI=")</f>
        <v>#REF!</v>
      </c>
      <c r="IJ25" t="e">
        <f>AND(#REF!,"AAAAAF9eWPM=")</f>
        <v>#REF!</v>
      </c>
      <c r="IK25" t="e">
        <f>AND(#REF!,"AAAAAF9eWPQ=")</f>
        <v>#REF!</v>
      </c>
      <c r="IL25" t="e">
        <f>AND(#REF!,"AAAAAF9eWPU=")</f>
        <v>#REF!</v>
      </c>
      <c r="IM25" t="e">
        <f>AND(#REF!,"AAAAAF9eWPY=")</f>
        <v>#REF!</v>
      </c>
      <c r="IN25" t="e">
        <f>AND(#REF!,"AAAAAF9eWPc=")</f>
        <v>#REF!</v>
      </c>
      <c r="IO25" t="e">
        <f>AND(#REF!,"AAAAAF9eWPg=")</f>
        <v>#REF!</v>
      </c>
      <c r="IP25" t="e">
        <f>AND(#REF!,"AAAAAF9eWPk=")</f>
        <v>#REF!</v>
      </c>
      <c r="IQ25" t="e">
        <f>AND(#REF!,"AAAAAF9eWPo=")</f>
        <v>#REF!</v>
      </c>
      <c r="IR25" t="e">
        <f>AND(#REF!,"AAAAAF9eWPs=")</f>
        <v>#REF!</v>
      </c>
      <c r="IS25" t="e">
        <f>AND(#REF!,"AAAAAF9eWPw=")</f>
        <v>#REF!</v>
      </c>
      <c r="IT25" t="e">
        <f>AND(#REF!,"AAAAAF9eWP0=")</f>
        <v>#REF!</v>
      </c>
      <c r="IU25" t="e">
        <f>AND(#REF!,"AAAAAF9eWP4=")</f>
        <v>#REF!</v>
      </c>
      <c r="IV25" t="e">
        <f>AND(#REF!,"AAAAAF9eWP8=")</f>
        <v>#REF!</v>
      </c>
    </row>
    <row r="26" spans="1:256" x14ac:dyDescent="0.25">
      <c r="A26" t="e">
        <f>AND(#REF!,"AAAAAG1RlwA=")</f>
        <v>#REF!</v>
      </c>
      <c r="B26" t="e">
        <f>AND(#REF!,"AAAAAG1RlwE=")</f>
        <v>#REF!</v>
      </c>
      <c r="C26" t="e">
        <f>AND(#REF!,"AAAAAG1RlwI=")</f>
        <v>#REF!</v>
      </c>
      <c r="D26" t="e">
        <f>AND(#REF!,"AAAAAG1RlwM=")</f>
        <v>#REF!</v>
      </c>
      <c r="E26" t="e">
        <f>AND(#REF!,"AAAAAG1RlwQ=")</f>
        <v>#REF!</v>
      </c>
      <c r="F26" t="e">
        <f>AND(#REF!,"AAAAAG1RlwU=")</f>
        <v>#REF!</v>
      </c>
      <c r="G26" t="e">
        <f>AND(#REF!,"AAAAAG1RlwY=")</f>
        <v>#REF!</v>
      </c>
      <c r="H26" t="e">
        <f>AND(#REF!,"AAAAAG1Rlwc=")</f>
        <v>#REF!</v>
      </c>
      <c r="I26" t="e">
        <f>AND(#REF!,"AAAAAG1Rlwg=")</f>
        <v>#REF!</v>
      </c>
      <c r="J26" t="e">
        <f>AND(#REF!,"AAAAAG1Rlwk=")</f>
        <v>#REF!</v>
      </c>
      <c r="K26" t="e">
        <f>AND(#REF!,"AAAAAG1Rlwo=")</f>
        <v>#REF!</v>
      </c>
      <c r="L26" t="e">
        <f>AND(#REF!,"AAAAAG1Rlws=")</f>
        <v>#REF!</v>
      </c>
      <c r="M26" t="e">
        <f>AND(#REF!,"AAAAAG1Rlww=")</f>
        <v>#REF!</v>
      </c>
      <c r="N26" t="e">
        <f>AND(#REF!,"AAAAAG1Rlw0=")</f>
        <v>#REF!</v>
      </c>
      <c r="O26" t="e">
        <f>AND(#REF!,"AAAAAG1Rlw4=")</f>
        <v>#REF!</v>
      </c>
      <c r="P26" t="e">
        <f>AND(#REF!,"AAAAAG1Rlw8=")</f>
        <v>#REF!</v>
      </c>
      <c r="Q26" t="e">
        <f>AND(#REF!,"AAAAAG1RlxA=")</f>
        <v>#REF!</v>
      </c>
      <c r="R26" t="e">
        <f>AND(#REF!,"AAAAAG1RlxE=")</f>
        <v>#REF!</v>
      </c>
      <c r="S26" t="e">
        <f>AND(#REF!,"AAAAAG1RlxI=")</f>
        <v>#REF!</v>
      </c>
      <c r="T26" t="e">
        <f>AND(#REF!,"AAAAAG1RlxM=")</f>
        <v>#REF!</v>
      </c>
      <c r="U26" t="e">
        <f>AND(#REF!,"AAAAAG1RlxQ=")</f>
        <v>#REF!</v>
      </c>
      <c r="V26" t="e">
        <f>AND(#REF!,"AAAAAG1RlxU=")</f>
        <v>#REF!</v>
      </c>
      <c r="W26" t="e">
        <f>AND(#REF!,"AAAAAG1RlxY=")</f>
        <v>#REF!</v>
      </c>
      <c r="X26" t="e">
        <f>AND(#REF!,"AAAAAG1Rlxc=")</f>
        <v>#REF!</v>
      </c>
      <c r="Y26" t="e">
        <f>IF(#REF!,"AAAAAG1Rlxg=",0)</f>
        <v>#REF!</v>
      </c>
      <c r="Z26" t="e">
        <f>AND(#REF!,"AAAAAG1Rlxk=")</f>
        <v>#REF!</v>
      </c>
      <c r="AA26" t="e">
        <f>AND(#REF!,"AAAAAG1Rlxo=")</f>
        <v>#REF!</v>
      </c>
      <c r="AB26" t="e">
        <f>AND(#REF!,"AAAAAG1Rlxs=")</f>
        <v>#REF!</v>
      </c>
      <c r="AC26" t="e">
        <f>AND(#REF!,"AAAAAG1Rlxw=")</f>
        <v>#REF!</v>
      </c>
      <c r="AD26" t="e">
        <f>AND(#REF!,"AAAAAG1Rlx0=")</f>
        <v>#REF!</v>
      </c>
      <c r="AE26" t="e">
        <f>AND(#REF!,"AAAAAG1Rlx4=")</f>
        <v>#REF!</v>
      </c>
      <c r="AF26" t="e">
        <f>AND(#REF!,"AAAAAG1Rlx8=")</f>
        <v>#REF!</v>
      </c>
      <c r="AG26" t="e">
        <f>AND(#REF!,"AAAAAG1RlyA=")</f>
        <v>#REF!</v>
      </c>
      <c r="AH26" t="e">
        <f>AND(#REF!,"AAAAAG1RlyE=")</f>
        <v>#REF!</v>
      </c>
      <c r="AI26" t="e">
        <f>AND(#REF!,"AAAAAG1RlyI=")</f>
        <v>#REF!</v>
      </c>
      <c r="AJ26" t="e">
        <f>AND(#REF!,"AAAAAG1RlyM=")</f>
        <v>#REF!</v>
      </c>
      <c r="AK26" t="e">
        <f>AND(#REF!,"AAAAAG1RlyQ=")</f>
        <v>#REF!</v>
      </c>
      <c r="AL26" t="e">
        <f>AND(#REF!,"AAAAAG1RlyU=")</f>
        <v>#REF!</v>
      </c>
      <c r="AM26" t="e">
        <f>AND(#REF!,"AAAAAG1RlyY=")</f>
        <v>#REF!</v>
      </c>
      <c r="AN26" t="e">
        <f>AND(#REF!,"AAAAAG1Rlyc=")</f>
        <v>#REF!</v>
      </c>
      <c r="AO26" t="e">
        <f>AND(#REF!,"AAAAAG1Rlyg=")</f>
        <v>#REF!</v>
      </c>
      <c r="AP26" t="e">
        <f>AND(#REF!,"AAAAAG1Rlyk=")</f>
        <v>#REF!</v>
      </c>
      <c r="AQ26" t="e">
        <f>AND(#REF!,"AAAAAG1Rlyo=")</f>
        <v>#REF!</v>
      </c>
      <c r="AR26" t="e">
        <f>AND(#REF!,"AAAAAG1Rlys=")</f>
        <v>#REF!</v>
      </c>
      <c r="AS26" t="e">
        <f>AND(#REF!,"AAAAAG1Rlyw=")</f>
        <v>#REF!</v>
      </c>
      <c r="AT26" t="e">
        <f>AND(#REF!,"AAAAAG1Rly0=")</f>
        <v>#REF!</v>
      </c>
      <c r="AU26" t="e">
        <f>AND(#REF!,"AAAAAG1Rly4=")</f>
        <v>#REF!</v>
      </c>
      <c r="AV26" t="e">
        <f>AND(#REF!,"AAAAAG1Rly8=")</f>
        <v>#REF!</v>
      </c>
      <c r="AW26" t="e">
        <f>AND(#REF!,"AAAAAG1RlzA=")</f>
        <v>#REF!</v>
      </c>
      <c r="AX26" t="e">
        <f>AND(#REF!,"AAAAAG1RlzE=")</f>
        <v>#REF!</v>
      </c>
      <c r="AY26" t="e">
        <f>AND(#REF!,"AAAAAG1RlzI=")</f>
        <v>#REF!</v>
      </c>
      <c r="AZ26" t="e">
        <f>AND(#REF!,"AAAAAG1RlzM=")</f>
        <v>#REF!</v>
      </c>
      <c r="BA26" t="e">
        <f>AND(#REF!,"AAAAAG1RlzQ=")</f>
        <v>#REF!</v>
      </c>
      <c r="BB26" t="e">
        <f>AND(#REF!,"AAAAAG1RlzU=")</f>
        <v>#REF!</v>
      </c>
      <c r="BC26" t="e">
        <f>AND(#REF!,"AAAAAG1RlzY=")</f>
        <v>#REF!</v>
      </c>
      <c r="BD26" t="e">
        <f>AND(#REF!,"AAAAAG1Rlzc=")</f>
        <v>#REF!</v>
      </c>
      <c r="BE26" t="e">
        <f>AND(#REF!,"AAAAAG1Rlzg=")</f>
        <v>#REF!</v>
      </c>
      <c r="BF26" t="e">
        <f>AND(#REF!,"AAAAAG1Rlzk=")</f>
        <v>#REF!</v>
      </c>
      <c r="BG26" t="e">
        <f>AND(#REF!,"AAAAAG1Rlzo=")</f>
        <v>#REF!</v>
      </c>
      <c r="BH26" t="e">
        <f>AND(#REF!,"AAAAAG1Rlzs=")</f>
        <v>#REF!</v>
      </c>
      <c r="BI26" t="e">
        <f>AND(#REF!,"AAAAAG1Rlzw=")</f>
        <v>#REF!</v>
      </c>
      <c r="BJ26" t="e">
        <f>AND(#REF!,"AAAAAG1Rlz0=")</f>
        <v>#REF!</v>
      </c>
      <c r="BK26" t="e">
        <f>AND(#REF!,"AAAAAG1Rlz4=")</f>
        <v>#REF!</v>
      </c>
      <c r="BL26" t="e">
        <f>AND(#REF!,"AAAAAG1Rlz8=")</f>
        <v>#REF!</v>
      </c>
      <c r="BM26" t="e">
        <f>AND(#REF!,"AAAAAG1Rl0A=")</f>
        <v>#REF!</v>
      </c>
      <c r="BN26" t="e">
        <f>AND(#REF!,"AAAAAG1Rl0E=")</f>
        <v>#REF!</v>
      </c>
      <c r="BO26" t="e">
        <f>AND(#REF!,"AAAAAG1Rl0I=")</f>
        <v>#REF!</v>
      </c>
      <c r="BP26" t="e">
        <f>AND(#REF!,"AAAAAG1Rl0M=")</f>
        <v>#REF!</v>
      </c>
      <c r="BQ26" t="e">
        <f>IF(#REF!,"AAAAAG1Rl0Q=",0)</f>
        <v>#REF!</v>
      </c>
      <c r="BR26" t="e">
        <f>AND(#REF!,"AAAAAG1Rl0U=")</f>
        <v>#REF!</v>
      </c>
      <c r="BS26" t="e">
        <f>AND(#REF!,"AAAAAG1Rl0Y=")</f>
        <v>#REF!</v>
      </c>
      <c r="BT26" t="e">
        <f>AND(#REF!,"AAAAAG1Rl0c=")</f>
        <v>#REF!</v>
      </c>
      <c r="BU26" t="e">
        <f>AND(#REF!,"AAAAAG1Rl0g=")</f>
        <v>#REF!</v>
      </c>
      <c r="BV26" t="e">
        <f>AND(#REF!,"AAAAAG1Rl0k=")</f>
        <v>#REF!</v>
      </c>
      <c r="BW26" t="e">
        <f>AND(#REF!,"AAAAAG1Rl0o=")</f>
        <v>#REF!</v>
      </c>
      <c r="BX26" t="e">
        <f>AND(#REF!,"AAAAAG1Rl0s=")</f>
        <v>#REF!</v>
      </c>
      <c r="BY26" t="e">
        <f>AND(#REF!,"AAAAAG1Rl0w=")</f>
        <v>#REF!</v>
      </c>
      <c r="BZ26" t="e">
        <f>AND(#REF!,"AAAAAG1Rl00=")</f>
        <v>#REF!</v>
      </c>
      <c r="CA26" t="e">
        <f>AND(#REF!,"AAAAAG1Rl04=")</f>
        <v>#REF!</v>
      </c>
      <c r="CB26" t="e">
        <f>AND(#REF!,"AAAAAG1Rl08=")</f>
        <v>#REF!</v>
      </c>
      <c r="CC26" t="e">
        <f>AND(#REF!,"AAAAAG1Rl1A=")</f>
        <v>#REF!</v>
      </c>
      <c r="CD26" t="e">
        <f>AND(#REF!,"AAAAAG1Rl1E=")</f>
        <v>#REF!</v>
      </c>
      <c r="CE26" t="e">
        <f>AND(#REF!,"AAAAAG1Rl1I=")</f>
        <v>#REF!</v>
      </c>
      <c r="CF26" t="e">
        <f>AND(#REF!,"AAAAAG1Rl1M=")</f>
        <v>#REF!</v>
      </c>
      <c r="CG26" t="e">
        <f>AND(#REF!,"AAAAAG1Rl1Q=")</f>
        <v>#REF!</v>
      </c>
      <c r="CH26" t="e">
        <f>AND(#REF!,"AAAAAG1Rl1U=")</f>
        <v>#REF!</v>
      </c>
      <c r="CI26" t="e">
        <f>AND(#REF!,"AAAAAG1Rl1Y=")</f>
        <v>#REF!</v>
      </c>
      <c r="CJ26" t="e">
        <f>AND(#REF!,"AAAAAG1Rl1c=")</f>
        <v>#REF!</v>
      </c>
      <c r="CK26" t="e">
        <f>AND(#REF!,"AAAAAG1Rl1g=")</f>
        <v>#REF!</v>
      </c>
      <c r="CL26" t="e">
        <f>AND(#REF!,"AAAAAG1Rl1k=")</f>
        <v>#REF!</v>
      </c>
      <c r="CM26" t="e">
        <f>AND(#REF!,"AAAAAG1Rl1o=")</f>
        <v>#REF!</v>
      </c>
      <c r="CN26" t="e">
        <f>AND(#REF!,"AAAAAG1Rl1s=")</f>
        <v>#REF!</v>
      </c>
      <c r="CO26" t="e">
        <f>AND(#REF!,"AAAAAG1Rl1w=")</f>
        <v>#REF!</v>
      </c>
      <c r="CP26" t="e">
        <f>AND(#REF!,"AAAAAG1Rl10=")</f>
        <v>#REF!</v>
      </c>
      <c r="CQ26" t="e">
        <f>AND(#REF!,"AAAAAG1Rl14=")</f>
        <v>#REF!</v>
      </c>
      <c r="CR26" t="e">
        <f>AND(#REF!,"AAAAAG1Rl18=")</f>
        <v>#REF!</v>
      </c>
      <c r="CS26" t="e">
        <f>AND(#REF!,"AAAAAG1Rl2A=")</f>
        <v>#REF!</v>
      </c>
      <c r="CT26" t="e">
        <f>AND(#REF!,"AAAAAG1Rl2E=")</f>
        <v>#REF!</v>
      </c>
      <c r="CU26" t="e">
        <f>AND(#REF!,"AAAAAG1Rl2I=")</f>
        <v>#REF!</v>
      </c>
      <c r="CV26" t="e">
        <f>AND(#REF!,"AAAAAG1Rl2M=")</f>
        <v>#REF!</v>
      </c>
      <c r="CW26" t="e">
        <f>AND(#REF!,"AAAAAG1Rl2Q=")</f>
        <v>#REF!</v>
      </c>
      <c r="CX26" t="e">
        <f>AND(#REF!,"AAAAAG1Rl2U=")</f>
        <v>#REF!</v>
      </c>
      <c r="CY26" t="e">
        <f>AND(#REF!,"AAAAAG1Rl2Y=")</f>
        <v>#REF!</v>
      </c>
      <c r="CZ26" t="e">
        <f>AND(#REF!,"AAAAAG1Rl2c=")</f>
        <v>#REF!</v>
      </c>
      <c r="DA26" t="e">
        <f>AND(#REF!,"AAAAAG1Rl2g=")</f>
        <v>#REF!</v>
      </c>
      <c r="DB26" t="e">
        <f>AND(#REF!,"AAAAAG1Rl2k=")</f>
        <v>#REF!</v>
      </c>
      <c r="DC26" t="e">
        <f>AND(#REF!,"AAAAAG1Rl2o=")</f>
        <v>#REF!</v>
      </c>
      <c r="DD26" t="e">
        <f>AND(#REF!,"AAAAAG1Rl2s=")</f>
        <v>#REF!</v>
      </c>
      <c r="DE26" t="e">
        <f>AND(#REF!,"AAAAAG1Rl2w=")</f>
        <v>#REF!</v>
      </c>
      <c r="DF26" t="e">
        <f>AND(#REF!,"AAAAAG1Rl20=")</f>
        <v>#REF!</v>
      </c>
      <c r="DG26" t="e">
        <f>AND(#REF!,"AAAAAG1Rl24=")</f>
        <v>#REF!</v>
      </c>
      <c r="DH26" t="e">
        <f>AND(#REF!,"AAAAAG1Rl28=")</f>
        <v>#REF!</v>
      </c>
      <c r="DI26" t="e">
        <f>IF(#REF!,"AAAAAG1Rl3A=",0)</f>
        <v>#REF!</v>
      </c>
      <c r="DJ26" t="e">
        <f>AND(#REF!,"AAAAAG1Rl3E=")</f>
        <v>#REF!</v>
      </c>
      <c r="DK26" t="e">
        <f>AND(#REF!,"AAAAAG1Rl3I=")</f>
        <v>#REF!</v>
      </c>
      <c r="DL26" t="e">
        <f>AND(#REF!,"AAAAAG1Rl3M=")</f>
        <v>#REF!</v>
      </c>
      <c r="DM26" t="e">
        <f>AND(#REF!,"AAAAAG1Rl3Q=")</f>
        <v>#REF!</v>
      </c>
      <c r="DN26" t="e">
        <f>AND(#REF!,"AAAAAG1Rl3U=")</f>
        <v>#REF!</v>
      </c>
      <c r="DO26" t="e">
        <f>AND(#REF!,"AAAAAG1Rl3Y=")</f>
        <v>#REF!</v>
      </c>
      <c r="DP26" t="e">
        <f>AND(#REF!,"AAAAAG1Rl3c=")</f>
        <v>#REF!</v>
      </c>
      <c r="DQ26" t="e">
        <f>AND(#REF!,"AAAAAG1Rl3g=")</f>
        <v>#REF!</v>
      </c>
      <c r="DR26" t="e">
        <f>AND(#REF!,"AAAAAG1Rl3k=")</f>
        <v>#REF!</v>
      </c>
      <c r="DS26" t="e">
        <f>AND(#REF!,"AAAAAG1Rl3o=")</f>
        <v>#REF!</v>
      </c>
      <c r="DT26" t="e">
        <f>AND(#REF!,"AAAAAG1Rl3s=")</f>
        <v>#REF!</v>
      </c>
      <c r="DU26" t="e">
        <f>AND(#REF!,"AAAAAG1Rl3w=")</f>
        <v>#REF!</v>
      </c>
      <c r="DV26" t="e">
        <f>AND(#REF!,"AAAAAG1Rl30=")</f>
        <v>#REF!</v>
      </c>
      <c r="DW26" t="e">
        <f>AND(#REF!,"AAAAAG1Rl34=")</f>
        <v>#REF!</v>
      </c>
      <c r="DX26" t="e">
        <f>AND(#REF!,"AAAAAG1Rl38=")</f>
        <v>#REF!</v>
      </c>
      <c r="DY26" t="e">
        <f>AND(#REF!,"AAAAAG1Rl4A=")</f>
        <v>#REF!</v>
      </c>
      <c r="DZ26" t="e">
        <f>AND(#REF!,"AAAAAG1Rl4E=")</f>
        <v>#REF!</v>
      </c>
      <c r="EA26" t="e">
        <f>AND(#REF!,"AAAAAG1Rl4I=")</f>
        <v>#REF!</v>
      </c>
      <c r="EB26" t="e">
        <f>AND(#REF!,"AAAAAG1Rl4M=")</f>
        <v>#REF!</v>
      </c>
      <c r="EC26" t="e">
        <f>AND(#REF!,"AAAAAG1Rl4Q=")</f>
        <v>#REF!</v>
      </c>
      <c r="ED26" t="e">
        <f>AND(#REF!,"AAAAAG1Rl4U=")</f>
        <v>#REF!</v>
      </c>
      <c r="EE26" t="e">
        <f>AND(#REF!,"AAAAAG1Rl4Y=")</f>
        <v>#REF!</v>
      </c>
      <c r="EF26" t="e">
        <f>AND(#REF!,"AAAAAG1Rl4c=")</f>
        <v>#REF!</v>
      </c>
      <c r="EG26" t="e">
        <f>AND(#REF!,"AAAAAG1Rl4g=")</f>
        <v>#REF!</v>
      </c>
      <c r="EH26" t="e">
        <f>AND(#REF!,"AAAAAG1Rl4k=")</f>
        <v>#REF!</v>
      </c>
      <c r="EI26" t="e">
        <f>AND(#REF!,"AAAAAG1Rl4o=")</f>
        <v>#REF!</v>
      </c>
      <c r="EJ26" t="e">
        <f>AND(#REF!,"AAAAAG1Rl4s=")</f>
        <v>#REF!</v>
      </c>
      <c r="EK26" t="e">
        <f>AND(#REF!,"AAAAAG1Rl4w=")</f>
        <v>#REF!</v>
      </c>
      <c r="EL26" t="e">
        <f>AND(#REF!,"AAAAAG1Rl40=")</f>
        <v>#REF!</v>
      </c>
      <c r="EM26" t="e">
        <f>AND(#REF!,"AAAAAG1Rl44=")</f>
        <v>#REF!</v>
      </c>
      <c r="EN26" t="e">
        <f>AND(#REF!,"AAAAAG1Rl48=")</f>
        <v>#REF!</v>
      </c>
      <c r="EO26" t="e">
        <f>AND(#REF!,"AAAAAG1Rl5A=")</f>
        <v>#REF!</v>
      </c>
      <c r="EP26" t="e">
        <f>AND(#REF!,"AAAAAG1Rl5E=")</f>
        <v>#REF!</v>
      </c>
      <c r="EQ26" t="e">
        <f>AND(#REF!,"AAAAAG1Rl5I=")</f>
        <v>#REF!</v>
      </c>
      <c r="ER26" t="e">
        <f>AND(#REF!,"AAAAAG1Rl5M=")</f>
        <v>#REF!</v>
      </c>
      <c r="ES26" t="e">
        <f>AND(#REF!,"AAAAAG1Rl5Q=")</f>
        <v>#REF!</v>
      </c>
      <c r="ET26" t="e">
        <f>AND(#REF!,"AAAAAG1Rl5U=")</f>
        <v>#REF!</v>
      </c>
      <c r="EU26" t="e">
        <f>AND(#REF!,"AAAAAG1Rl5Y=")</f>
        <v>#REF!</v>
      </c>
      <c r="EV26" t="e">
        <f>AND(#REF!,"AAAAAG1Rl5c=")</f>
        <v>#REF!</v>
      </c>
      <c r="EW26" t="e">
        <f>AND(#REF!,"AAAAAG1Rl5g=")</f>
        <v>#REF!</v>
      </c>
      <c r="EX26" t="e">
        <f>AND(#REF!,"AAAAAG1Rl5k=")</f>
        <v>#REF!</v>
      </c>
      <c r="EY26" t="e">
        <f>AND(#REF!,"AAAAAG1Rl5o=")</f>
        <v>#REF!</v>
      </c>
      <c r="EZ26" t="e">
        <f>AND(#REF!,"AAAAAG1Rl5s=")</f>
        <v>#REF!</v>
      </c>
      <c r="FA26" t="e">
        <f>IF(#REF!,"AAAAAG1Rl5w=",0)</f>
        <v>#REF!</v>
      </c>
      <c r="FB26" t="e">
        <f>AND(#REF!,"AAAAAG1Rl50=")</f>
        <v>#REF!</v>
      </c>
      <c r="FC26" t="e">
        <f>AND(#REF!,"AAAAAG1Rl54=")</f>
        <v>#REF!</v>
      </c>
      <c r="FD26" t="e">
        <f>AND(#REF!,"AAAAAG1Rl58=")</f>
        <v>#REF!</v>
      </c>
      <c r="FE26" t="e">
        <f>AND(#REF!,"AAAAAG1Rl6A=")</f>
        <v>#REF!</v>
      </c>
      <c r="FF26" t="e">
        <f>AND(#REF!,"AAAAAG1Rl6E=")</f>
        <v>#REF!</v>
      </c>
      <c r="FG26" t="e">
        <f>AND(#REF!,"AAAAAG1Rl6I=")</f>
        <v>#REF!</v>
      </c>
      <c r="FH26" t="e">
        <f>AND(#REF!,"AAAAAG1Rl6M=")</f>
        <v>#REF!</v>
      </c>
      <c r="FI26" t="e">
        <f>AND(#REF!,"AAAAAG1Rl6Q=")</f>
        <v>#REF!</v>
      </c>
      <c r="FJ26" t="e">
        <f>AND(#REF!,"AAAAAG1Rl6U=")</f>
        <v>#REF!</v>
      </c>
      <c r="FK26" t="e">
        <f>AND(#REF!,"AAAAAG1Rl6Y=")</f>
        <v>#REF!</v>
      </c>
      <c r="FL26" t="e">
        <f>AND(#REF!,"AAAAAG1Rl6c=")</f>
        <v>#REF!</v>
      </c>
      <c r="FM26" t="e">
        <f>AND(#REF!,"AAAAAG1Rl6g=")</f>
        <v>#REF!</v>
      </c>
      <c r="FN26" t="e">
        <f>AND(#REF!,"AAAAAG1Rl6k=")</f>
        <v>#REF!</v>
      </c>
      <c r="FO26" t="e">
        <f>AND(#REF!,"AAAAAG1Rl6o=")</f>
        <v>#REF!</v>
      </c>
      <c r="FP26" t="e">
        <f>AND(#REF!,"AAAAAG1Rl6s=")</f>
        <v>#REF!</v>
      </c>
      <c r="FQ26" t="e">
        <f>AND(#REF!,"AAAAAG1Rl6w=")</f>
        <v>#REF!</v>
      </c>
      <c r="FR26" t="e">
        <f>AND(#REF!,"AAAAAG1Rl60=")</f>
        <v>#REF!</v>
      </c>
      <c r="FS26" t="e">
        <f>AND(#REF!,"AAAAAG1Rl64=")</f>
        <v>#REF!</v>
      </c>
      <c r="FT26" t="e">
        <f>AND(#REF!,"AAAAAG1Rl68=")</f>
        <v>#REF!</v>
      </c>
      <c r="FU26" t="e">
        <f>AND(#REF!,"AAAAAG1Rl7A=")</f>
        <v>#REF!</v>
      </c>
      <c r="FV26" t="e">
        <f>AND(#REF!,"AAAAAG1Rl7E=")</f>
        <v>#REF!</v>
      </c>
      <c r="FW26" t="e">
        <f>AND(#REF!,"AAAAAG1Rl7I=")</f>
        <v>#REF!</v>
      </c>
      <c r="FX26" t="e">
        <f>AND(#REF!,"AAAAAG1Rl7M=")</f>
        <v>#REF!</v>
      </c>
      <c r="FY26" t="e">
        <f>AND(#REF!,"AAAAAG1Rl7Q=")</f>
        <v>#REF!</v>
      </c>
      <c r="FZ26" t="e">
        <f>AND(#REF!,"AAAAAG1Rl7U=")</f>
        <v>#REF!</v>
      </c>
      <c r="GA26" t="e">
        <f>AND(#REF!,"AAAAAG1Rl7Y=")</f>
        <v>#REF!</v>
      </c>
      <c r="GB26" t="e">
        <f>AND(#REF!,"AAAAAG1Rl7c=")</f>
        <v>#REF!</v>
      </c>
      <c r="GC26" t="e">
        <f>AND(#REF!,"AAAAAG1Rl7g=")</f>
        <v>#REF!</v>
      </c>
      <c r="GD26" t="e">
        <f>AND(#REF!,"AAAAAG1Rl7k=")</f>
        <v>#REF!</v>
      </c>
      <c r="GE26" t="e">
        <f>AND(#REF!,"AAAAAG1Rl7o=")</f>
        <v>#REF!</v>
      </c>
      <c r="GF26" t="e">
        <f>AND(#REF!,"AAAAAG1Rl7s=")</f>
        <v>#REF!</v>
      </c>
      <c r="GG26" t="e">
        <f>AND(#REF!,"AAAAAG1Rl7w=")</f>
        <v>#REF!</v>
      </c>
      <c r="GH26" t="e">
        <f>AND(#REF!,"AAAAAG1Rl70=")</f>
        <v>#REF!</v>
      </c>
      <c r="GI26" t="e">
        <f>AND(#REF!,"AAAAAG1Rl74=")</f>
        <v>#REF!</v>
      </c>
      <c r="GJ26" t="e">
        <f>AND(#REF!,"AAAAAG1Rl78=")</f>
        <v>#REF!</v>
      </c>
      <c r="GK26" t="e">
        <f>AND(#REF!,"AAAAAG1Rl8A=")</f>
        <v>#REF!</v>
      </c>
      <c r="GL26" t="e">
        <f>AND(#REF!,"AAAAAG1Rl8E=")</f>
        <v>#REF!</v>
      </c>
      <c r="GM26" t="e">
        <f>AND(#REF!,"AAAAAG1Rl8I=")</f>
        <v>#REF!</v>
      </c>
      <c r="GN26" t="e">
        <f>AND(#REF!,"AAAAAG1Rl8M=")</f>
        <v>#REF!</v>
      </c>
      <c r="GO26" t="e">
        <f>AND(#REF!,"AAAAAG1Rl8Q=")</f>
        <v>#REF!</v>
      </c>
      <c r="GP26" t="e">
        <f>AND(#REF!,"AAAAAG1Rl8U=")</f>
        <v>#REF!</v>
      </c>
      <c r="GQ26" t="e">
        <f>AND(#REF!,"AAAAAG1Rl8Y=")</f>
        <v>#REF!</v>
      </c>
      <c r="GR26" t="e">
        <f>AND(#REF!,"AAAAAG1Rl8c=")</f>
        <v>#REF!</v>
      </c>
      <c r="GS26" t="e">
        <f>IF(#REF!,"AAAAAG1Rl8g=",0)</f>
        <v>#REF!</v>
      </c>
      <c r="GT26" t="e">
        <f>AND(#REF!,"AAAAAG1Rl8k=")</f>
        <v>#REF!</v>
      </c>
      <c r="GU26" t="e">
        <f>AND(#REF!,"AAAAAG1Rl8o=")</f>
        <v>#REF!</v>
      </c>
      <c r="GV26" t="e">
        <f>AND(#REF!,"AAAAAG1Rl8s=")</f>
        <v>#REF!</v>
      </c>
      <c r="GW26" t="e">
        <f>AND(#REF!,"AAAAAG1Rl8w=")</f>
        <v>#REF!</v>
      </c>
      <c r="GX26" t="e">
        <f>AND(#REF!,"AAAAAG1Rl80=")</f>
        <v>#REF!</v>
      </c>
      <c r="GY26" t="e">
        <f>AND(#REF!,"AAAAAG1Rl84=")</f>
        <v>#REF!</v>
      </c>
      <c r="GZ26" t="e">
        <f>AND(#REF!,"AAAAAG1Rl88=")</f>
        <v>#REF!</v>
      </c>
      <c r="HA26" t="e">
        <f>AND(#REF!,"AAAAAG1Rl9A=")</f>
        <v>#REF!</v>
      </c>
      <c r="HB26" t="e">
        <f>AND(#REF!,"AAAAAG1Rl9E=")</f>
        <v>#REF!</v>
      </c>
      <c r="HC26" t="e">
        <f>AND(#REF!,"AAAAAG1Rl9I=")</f>
        <v>#REF!</v>
      </c>
      <c r="HD26" t="e">
        <f>AND(#REF!,"AAAAAG1Rl9M=")</f>
        <v>#REF!</v>
      </c>
      <c r="HE26" t="e">
        <f>AND(#REF!,"AAAAAG1Rl9Q=")</f>
        <v>#REF!</v>
      </c>
      <c r="HF26" t="e">
        <f>AND(#REF!,"AAAAAG1Rl9U=")</f>
        <v>#REF!</v>
      </c>
      <c r="HG26" t="e">
        <f>AND(#REF!,"AAAAAG1Rl9Y=")</f>
        <v>#REF!</v>
      </c>
      <c r="HH26" t="e">
        <f>AND(#REF!,"AAAAAG1Rl9c=")</f>
        <v>#REF!</v>
      </c>
      <c r="HI26" t="e">
        <f>AND(#REF!,"AAAAAG1Rl9g=")</f>
        <v>#REF!</v>
      </c>
      <c r="HJ26" t="e">
        <f>AND(#REF!,"AAAAAG1Rl9k=")</f>
        <v>#REF!</v>
      </c>
      <c r="HK26" t="e">
        <f>AND(#REF!,"AAAAAG1Rl9o=")</f>
        <v>#REF!</v>
      </c>
      <c r="HL26" t="e">
        <f>AND(#REF!,"AAAAAG1Rl9s=")</f>
        <v>#REF!</v>
      </c>
      <c r="HM26" t="e">
        <f>AND(#REF!,"AAAAAG1Rl9w=")</f>
        <v>#REF!</v>
      </c>
      <c r="HN26" t="e">
        <f>AND(#REF!,"AAAAAG1Rl90=")</f>
        <v>#REF!</v>
      </c>
      <c r="HO26" t="e">
        <f>AND(#REF!,"AAAAAG1Rl94=")</f>
        <v>#REF!</v>
      </c>
      <c r="HP26" t="e">
        <f>AND(#REF!,"AAAAAG1Rl98=")</f>
        <v>#REF!</v>
      </c>
      <c r="HQ26" t="e">
        <f>AND(#REF!,"AAAAAG1Rl+A=")</f>
        <v>#REF!</v>
      </c>
      <c r="HR26" t="e">
        <f>AND(#REF!,"AAAAAG1Rl+E=")</f>
        <v>#REF!</v>
      </c>
      <c r="HS26" t="e">
        <f>AND(#REF!,"AAAAAG1Rl+I=")</f>
        <v>#REF!</v>
      </c>
      <c r="HT26" t="e">
        <f>AND(#REF!,"AAAAAG1Rl+M=")</f>
        <v>#REF!</v>
      </c>
      <c r="HU26" t="e">
        <f>AND(#REF!,"AAAAAG1Rl+Q=")</f>
        <v>#REF!</v>
      </c>
      <c r="HV26" t="e">
        <f>AND(#REF!,"AAAAAG1Rl+U=")</f>
        <v>#REF!</v>
      </c>
      <c r="HW26" t="e">
        <f>AND(#REF!,"AAAAAG1Rl+Y=")</f>
        <v>#REF!</v>
      </c>
      <c r="HX26" t="e">
        <f>AND(#REF!,"AAAAAG1Rl+c=")</f>
        <v>#REF!</v>
      </c>
      <c r="HY26" t="e">
        <f>AND(#REF!,"AAAAAG1Rl+g=")</f>
        <v>#REF!</v>
      </c>
      <c r="HZ26" t="e">
        <f>AND(#REF!,"AAAAAG1Rl+k=")</f>
        <v>#REF!</v>
      </c>
      <c r="IA26" t="e">
        <f>AND(#REF!,"AAAAAG1Rl+o=")</f>
        <v>#REF!</v>
      </c>
      <c r="IB26" t="e">
        <f>AND(#REF!,"AAAAAG1Rl+s=")</f>
        <v>#REF!</v>
      </c>
      <c r="IC26" t="e">
        <f>AND(#REF!,"AAAAAG1Rl+w=")</f>
        <v>#REF!</v>
      </c>
      <c r="ID26" t="e">
        <f>AND(#REF!,"AAAAAG1Rl+0=")</f>
        <v>#REF!</v>
      </c>
      <c r="IE26" t="e">
        <f>AND(#REF!,"AAAAAG1Rl+4=")</f>
        <v>#REF!</v>
      </c>
      <c r="IF26" t="e">
        <f>AND(#REF!,"AAAAAG1Rl+8=")</f>
        <v>#REF!</v>
      </c>
      <c r="IG26" t="e">
        <f>AND(#REF!,"AAAAAG1Rl/A=")</f>
        <v>#REF!</v>
      </c>
      <c r="IH26" t="e">
        <f>AND(#REF!,"AAAAAG1Rl/E=")</f>
        <v>#REF!</v>
      </c>
      <c r="II26" t="e">
        <f>AND(#REF!,"AAAAAG1Rl/I=")</f>
        <v>#REF!</v>
      </c>
      <c r="IJ26" t="e">
        <f>AND(#REF!,"AAAAAG1Rl/M=")</f>
        <v>#REF!</v>
      </c>
      <c r="IK26" t="e">
        <f>IF(#REF!,"AAAAAG1Rl/Q=",0)</f>
        <v>#REF!</v>
      </c>
      <c r="IL26" t="e">
        <f>AND(#REF!,"AAAAAG1Rl/U=")</f>
        <v>#REF!</v>
      </c>
      <c r="IM26" t="e">
        <f>AND(#REF!,"AAAAAG1Rl/Y=")</f>
        <v>#REF!</v>
      </c>
      <c r="IN26" t="e">
        <f>AND(#REF!,"AAAAAG1Rl/c=")</f>
        <v>#REF!</v>
      </c>
      <c r="IO26" t="e">
        <f>AND(#REF!,"AAAAAG1Rl/g=")</f>
        <v>#REF!</v>
      </c>
      <c r="IP26" t="e">
        <f>AND(#REF!,"AAAAAG1Rl/k=")</f>
        <v>#REF!</v>
      </c>
      <c r="IQ26" t="e">
        <f>AND(#REF!,"AAAAAG1Rl/o=")</f>
        <v>#REF!</v>
      </c>
      <c r="IR26" t="e">
        <f>AND(#REF!,"AAAAAG1Rl/s=")</f>
        <v>#REF!</v>
      </c>
      <c r="IS26" t="e">
        <f>AND(#REF!,"AAAAAG1Rl/w=")</f>
        <v>#REF!</v>
      </c>
      <c r="IT26" t="e">
        <f>AND(#REF!,"AAAAAG1Rl/0=")</f>
        <v>#REF!</v>
      </c>
      <c r="IU26" t="e">
        <f>AND(#REF!,"AAAAAG1Rl/4=")</f>
        <v>#REF!</v>
      </c>
      <c r="IV26" t="e">
        <f>AND(#REF!,"AAAAAG1Rl/8=")</f>
        <v>#REF!</v>
      </c>
    </row>
    <row r="27" spans="1:256" x14ac:dyDescent="0.25">
      <c r="A27" t="e">
        <f>AND(#REF!,"AAAAAD991QA=")</f>
        <v>#REF!</v>
      </c>
      <c r="B27" t="e">
        <f>AND(#REF!,"AAAAAD991QE=")</f>
        <v>#REF!</v>
      </c>
      <c r="C27" t="e">
        <f>AND(#REF!,"AAAAAD991QI=")</f>
        <v>#REF!</v>
      </c>
      <c r="D27" t="e">
        <f>AND(#REF!,"AAAAAD991QM=")</f>
        <v>#REF!</v>
      </c>
      <c r="E27" t="e">
        <f>AND(#REF!,"AAAAAD991QQ=")</f>
        <v>#REF!</v>
      </c>
      <c r="F27" t="e">
        <f>AND(#REF!,"AAAAAD991QU=")</f>
        <v>#REF!</v>
      </c>
      <c r="G27" t="e">
        <f>AND(#REF!,"AAAAAD991QY=")</f>
        <v>#REF!</v>
      </c>
      <c r="H27" t="e">
        <f>AND(#REF!,"AAAAAD991Qc=")</f>
        <v>#REF!</v>
      </c>
      <c r="I27" t="e">
        <f>AND(#REF!,"AAAAAD991Qg=")</f>
        <v>#REF!</v>
      </c>
      <c r="J27" t="e">
        <f>AND(#REF!,"AAAAAD991Qk=")</f>
        <v>#REF!</v>
      </c>
      <c r="K27" t="e">
        <f>AND(#REF!,"AAAAAD991Qo=")</f>
        <v>#REF!</v>
      </c>
      <c r="L27" t="e">
        <f>AND(#REF!,"AAAAAD991Qs=")</f>
        <v>#REF!</v>
      </c>
      <c r="M27" t="e">
        <f>AND(#REF!,"AAAAAD991Qw=")</f>
        <v>#REF!</v>
      </c>
      <c r="N27" t="e">
        <f>AND(#REF!,"AAAAAD991Q0=")</f>
        <v>#REF!</v>
      </c>
      <c r="O27" t="e">
        <f>AND(#REF!,"AAAAAD991Q4=")</f>
        <v>#REF!</v>
      </c>
      <c r="P27" t="e">
        <f>AND(#REF!,"AAAAAD991Q8=")</f>
        <v>#REF!</v>
      </c>
      <c r="Q27" t="e">
        <f>AND(#REF!,"AAAAAD991RA=")</f>
        <v>#REF!</v>
      </c>
      <c r="R27" t="e">
        <f>AND(#REF!,"AAAAAD991RE=")</f>
        <v>#REF!</v>
      </c>
      <c r="S27" t="e">
        <f>AND(#REF!,"AAAAAD991RI=")</f>
        <v>#REF!</v>
      </c>
      <c r="T27" t="e">
        <f>AND(#REF!,"AAAAAD991RM=")</f>
        <v>#REF!</v>
      </c>
      <c r="U27" t="e">
        <f>AND(#REF!,"AAAAAD991RQ=")</f>
        <v>#REF!</v>
      </c>
      <c r="V27" t="e">
        <f>AND(#REF!,"AAAAAD991RU=")</f>
        <v>#REF!</v>
      </c>
      <c r="W27" t="e">
        <f>AND(#REF!,"AAAAAD991RY=")</f>
        <v>#REF!</v>
      </c>
      <c r="X27" t="e">
        <f>AND(#REF!,"AAAAAD991Rc=")</f>
        <v>#REF!</v>
      </c>
      <c r="Y27" t="e">
        <f>AND(#REF!,"AAAAAD991Rg=")</f>
        <v>#REF!</v>
      </c>
      <c r="Z27" t="e">
        <f>AND(#REF!,"AAAAAD991Rk=")</f>
        <v>#REF!</v>
      </c>
      <c r="AA27" t="e">
        <f>AND(#REF!,"AAAAAD991Ro=")</f>
        <v>#REF!</v>
      </c>
      <c r="AB27" t="e">
        <f>AND(#REF!,"AAAAAD991Rs=")</f>
        <v>#REF!</v>
      </c>
      <c r="AC27" t="e">
        <f>AND(#REF!,"AAAAAD991Rw=")</f>
        <v>#REF!</v>
      </c>
      <c r="AD27" t="e">
        <f>AND(#REF!,"AAAAAD991R0=")</f>
        <v>#REF!</v>
      </c>
      <c r="AE27" t="e">
        <f>AND(#REF!,"AAAAAD991R4=")</f>
        <v>#REF!</v>
      </c>
      <c r="AF27" t="e">
        <f>AND(#REF!,"AAAAAD991R8=")</f>
        <v>#REF!</v>
      </c>
      <c r="AG27" t="e">
        <f>IF(#REF!,"AAAAAD991SA=",0)</f>
        <v>#REF!</v>
      </c>
      <c r="AH27" t="e">
        <f>AND(#REF!,"AAAAAD991SE=")</f>
        <v>#REF!</v>
      </c>
      <c r="AI27" t="e">
        <f>AND(#REF!,"AAAAAD991SI=")</f>
        <v>#REF!</v>
      </c>
      <c r="AJ27" t="e">
        <f>AND(#REF!,"AAAAAD991SM=")</f>
        <v>#REF!</v>
      </c>
      <c r="AK27" t="e">
        <f>AND(#REF!,"AAAAAD991SQ=")</f>
        <v>#REF!</v>
      </c>
      <c r="AL27" t="e">
        <f>AND(#REF!,"AAAAAD991SU=")</f>
        <v>#REF!</v>
      </c>
      <c r="AM27" t="e">
        <f>AND(#REF!,"AAAAAD991SY=")</f>
        <v>#REF!</v>
      </c>
      <c r="AN27" t="e">
        <f>AND(#REF!,"AAAAAD991Sc=")</f>
        <v>#REF!</v>
      </c>
      <c r="AO27" t="e">
        <f>AND(#REF!,"AAAAAD991Sg=")</f>
        <v>#REF!</v>
      </c>
      <c r="AP27" t="e">
        <f>AND(#REF!,"AAAAAD991Sk=")</f>
        <v>#REF!</v>
      </c>
      <c r="AQ27" t="e">
        <f>AND(#REF!,"AAAAAD991So=")</f>
        <v>#REF!</v>
      </c>
      <c r="AR27" t="e">
        <f>AND(#REF!,"AAAAAD991Ss=")</f>
        <v>#REF!</v>
      </c>
      <c r="AS27" t="e">
        <f>AND(#REF!,"AAAAAD991Sw=")</f>
        <v>#REF!</v>
      </c>
      <c r="AT27" t="e">
        <f>AND(#REF!,"AAAAAD991S0=")</f>
        <v>#REF!</v>
      </c>
      <c r="AU27" t="e">
        <f>AND(#REF!,"AAAAAD991S4=")</f>
        <v>#REF!</v>
      </c>
      <c r="AV27" t="e">
        <f>AND(#REF!,"AAAAAD991S8=")</f>
        <v>#REF!</v>
      </c>
      <c r="AW27" t="e">
        <f>AND(#REF!,"AAAAAD991TA=")</f>
        <v>#REF!</v>
      </c>
      <c r="AX27" t="e">
        <f>AND(#REF!,"AAAAAD991TE=")</f>
        <v>#REF!</v>
      </c>
      <c r="AY27" t="e">
        <f>AND(#REF!,"AAAAAD991TI=")</f>
        <v>#REF!</v>
      </c>
      <c r="AZ27" t="e">
        <f>AND(#REF!,"AAAAAD991TM=")</f>
        <v>#REF!</v>
      </c>
      <c r="BA27" t="e">
        <f>AND(#REF!,"AAAAAD991TQ=")</f>
        <v>#REF!</v>
      </c>
      <c r="BB27" t="e">
        <f>AND(#REF!,"AAAAAD991TU=")</f>
        <v>#REF!</v>
      </c>
      <c r="BC27" t="e">
        <f>AND(#REF!,"AAAAAD991TY=")</f>
        <v>#REF!</v>
      </c>
      <c r="BD27" t="e">
        <f>AND(#REF!,"AAAAAD991Tc=")</f>
        <v>#REF!</v>
      </c>
      <c r="BE27" t="e">
        <f>AND(#REF!,"AAAAAD991Tg=")</f>
        <v>#REF!</v>
      </c>
      <c r="BF27" t="e">
        <f>AND(#REF!,"AAAAAD991Tk=")</f>
        <v>#REF!</v>
      </c>
      <c r="BG27" t="e">
        <f>AND(#REF!,"AAAAAD991To=")</f>
        <v>#REF!</v>
      </c>
      <c r="BH27" t="e">
        <f>AND(#REF!,"AAAAAD991Ts=")</f>
        <v>#REF!</v>
      </c>
      <c r="BI27" t="e">
        <f>AND(#REF!,"AAAAAD991Tw=")</f>
        <v>#REF!</v>
      </c>
      <c r="BJ27" t="e">
        <f>AND(#REF!,"AAAAAD991T0=")</f>
        <v>#REF!</v>
      </c>
      <c r="BK27" t="e">
        <f>AND(#REF!,"AAAAAD991T4=")</f>
        <v>#REF!</v>
      </c>
      <c r="BL27" t="e">
        <f>AND(#REF!,"AAAAAD991T8=")</f>
        <v>#REF!</v>
      </c>
      <c r="BM27" t="e">
        <f>AND(#REF!,"AAAAAD991UA=")</f>
        <v>#REF!</v>
      </c>
      <c r="BN27" t="e">
        <f>AND(#REF!,"AAAAAD991UE=")</f>
        <v>#REF!</v>
      </c>
      <c r="BO27" t="e">
        <f>AND(#REF!,"AAAAAD991UI=")</f>
        <v>#REF!</v>
      </c>
      <c r="BP27" t="e">
        <f>AND(#REF!,"AAAAAD991UM=")</f>
        <v>#REF!</v>
      </c>
      <c r="BQ27" t="e">
        <f>AND(#REF!,"AAAAAD991UQ=")</f>
        <v>#REF!</v>
      </c>
      <c r="BR27" t="e">
        <f>AND(#REF!,"AAAAAD991UU=")</f>
        <v>#REF!</v>
      </c>
      <c r="BS27" t="e">
        <f>AND(#REF!,"AAAAAD991UY=")</f>
        <v>#REF!</v>
      </c>
      <c r="BT27" t="e">
        <f>AND(#REF!,"AAAAAD991Uc=")</f>
        <v>#REF!</v>
      </c>
      <c r="BU27" t="e">
        <f>AND(#REF!,"AAAAAD991Ug=")</f>
        <v>#REF!</v>
      </c>
      <c r="BV27" t="e">
        <f>AND(#REF!,"AAAAAD991Uk=")</f>
        <v>#REF!</v>
      </c>
      <c r="BW27" t="e">
        <f>AND(#REF!,"AAAAAD991Uo=")</f>
        <v>#REF!</v>
      </c>
      <c r="BX27" t="e">
        <f>AND(#REF!,"AAAAAD991Us=")</f>
        <v>#REF!</v>
      </c>
      <c r="BY27" t="e">
        <f>IF(#REF!,"AAAAAD991Uw=",0)</f>
        <v>#REF!</v>
      </c>
      <c r="BZ27" t="e">
        <f>AND(#REF!,"AAAAAD991U0=")</f>
        <v>#REF!</v>
      </c>
      <c r="CA27" t="e">
        <f>AND(#REF!,"AAAAAD991U4=")</f>
        <v>#REF!</v>
      </c>
      <c r="CB27" t="e">
        <f>AND(#REF!,"AAAAAD991U8=")</f>
        <v>#REF!</v>
      </c>
      <c r="CC27" t="e">
        <f>AND(#REF!,"AAAAAD991VA=")</f>
        <v>#REF!</v>
      </c>
      <c r="CD27" t="e">
        <f>AND(#REF!,"AAAAAD991VE=")</f>
        <v>#REF!</v>
      </c>
      <c r="CE27" t="e">
        <f>AND(#REF!,"AAAAAD991VI=")</f>
        <v>#REF!</v>
      </c>
      <c r="CF27" t="e">
        <f>AND(#REF!,"AAAAAD991VM=")</f>
        <v>#REF!</v>
      </c>
      <c r="CG27" t="e">
        <f>AND(#REF!,"AAAAAD991VQ=")</f>
        <v>#REF!</v>
      </c>
      <c r="CH27" t="e">
        <f>AND(#REF!,"AAAAAD991VU=")</f>
        <v>#REF!</v>
      </c>
      <c r="CI27" t="e">
        <f>AND(#REF!,"AAAAAD991VY=")</f>
        <v>#REF!</v>
      </c>
      <c r="CJ27" t="e">
        <f>AND(#REF!,"AAAAAD991Vc=")</f>
        <v>#REF!</v>
      </c>
      <c r="CK27" t="e">
        <f>AND(#REF!,"AAAAAD991Vg=")</f>
        <v>#REF!</v>
      </c>
      <c r="CL27" t="e">
        <f>AND(#REF!,"AAAAAD991Vk=")</f>
        <v>#REF!</v>
      </c>
      <c r="CM27" t="e">
        <f>AND(#REF!,"AAAAAD991Vo=")</f>
        <v>#REF!</v>
      </c>
      <c r="CN27" t="e">
        <f>AND(#REF!,"AAAAAD991Vs=")</f>
        <v>#REF!</v>
      </c>
      <c r="CO27" t="e">
        <f>AND(#REF!,"AAAAAD991Vw=")</f>
        <v>#REF!</v>
      </c>
      <c r="CP27" t="e">
        <f>AND(#REF!,"AAAAAD991V0=")</f>
        <v>#REF!</v>
      </c>
      <c r="CQ27" t="e">
        <f>AND(#REF!,"AAAAAD991V4=")</f>
        <v>#REF!</v>
      </c>
      <c r="CR27" t="e">
        <f>AND(#REF!,"AAAAAD991V8=")</f>
        <v>#REF!</v>
      </c>
      <c r="CS27" t="e">
        <f>AND(#REF!,"AAAAAD991WA=")</f>
        <v>#REF!</v>
      </c>
      <c r="CT27" t="e">
        <f>AND(#REF!,"AAAAAD991WE=")</f>
        <v>#REF!</v>
      </c>
      <c r="CU27" t="e">
        <f>AND(#REF!,"AAAAAD991WI=")</f>
        <v>#REF!</v>
      </c>
      <c r="CV27" t="e">
        <f>AND(#REF!,"AAAAAD991WM=")</f>
        <v>#REF!</v>
      </c>
      <c r="CW27" t="e">
        <f>AND(#REF!,"AAAAAD991WQ=")</f>
        <v>#REF!</v>
      </c>
      <c r="CX27" t="e">
        <f>AND(#REF!,"AAAAAD991WU=")</f>
        <v>#REF!</v>
      </c>
      <c r="CY27" t="e">
        <f>AND(#REF!,"AAAAAD991WY=")</f>
        <v>#REF!</v>
      </c>
      <c r="CZ27" t="e">
        <f>AND(#REF!,"AAAAAD991Wc=")</f>
        <v>#REF!</v>
      </c>
      <c r="DA27" t="e">
        <f>AND(#REF!,"AAAAAD991Wg=")</f>
        <v>#REF!</v>
      </c>
      <c r="DB27" t="e">
        <f>AND(#REF!,"AAAAAD991Wk=")</f>
        <v>#REF!</v>
      </c>
      <c r="DC27" t="e">
        <f>AND(#REF!,"AAAAAD991Wo=")</f>
        <v>#REF!</v>
      </c>
      <c r="DD27" t="e">
        <f>AND(#REF!,"AAAAAD991Ws=")</f>
        <v>#REF!</v>
      </c>
      <c r="DE27" t="e">
        <f>AND(#REF!,"AAAAAD991Ww=")</f>
        <v>#REF!</v>
      </c>
      <c r="DF27" t="e">
        <f>AND(#REF!,"AAAAAD991W0=")</f>
        <v>#REF!</v>
      </c>
      <c r="DG27" t="e">
        <f>AND(#REF!,"AAAAAD991W4=")</f>
        <v>#REF!</v>
      </c>
      <c r="DH27" t="e">
        <f>AND(#REF!,"AAAAAD991W8=")</f>
        <v>#REF!</v>
      </c>
      <c r="DI27" t="e">
        <f>AND(#REF!,"AAAAAD991XA=")</f>
        <v>#REF!</v>
      </c>
      <c r="DJ27" t="e">
        <f>AND(#REF!,"AAAAAD991XE=")</f>
        <v>#REF!</v>
      </c>
      <c r="DK27" t="e">
        <f>AND(#REF!,"AAAAAD991XI=")</f>
        <v>#REF!</v>
      </c>
      <c r="DL27" t="e">
        <f>AND(#REF!,"AAAAAD991XM=")</f>
        <v>#REF!</v>
      </c>
      <c r="DM27" t="e">
        <f>AND(#REF!,"AAAAAD991XQ=")</f>
        <v>#REF!</v>
      </c>
      <c r="DN27" t="e">
        <f>AND(#REF!,"AAAAAD991XU=")</f>
        <v>#REF!</v>
      </c>
      <c r="DO27" t="e">
        <f>AND(#REF!,"AAAAAD991XY=")</f>
        <v>#REF!</v>
      </c>
      <c r="DP27" t="e">
        <f>AND(#REF!,"AAAAAD991Xc=")</f>
        <v>#REF!</v>
      </c>
      <c r="DQ27" t="e">
        <f>IF(#REF!,"AAAAAD991Xg=",0)</f>
        <v>#REF!</v>
      </c>
      <c r="DR27" t="e">
        <f>AND(#REF!,"AAAAAD991Xk=")</f>
        <v>#REF!</v>
      </c>
      <c r="DS27" t="e">
        <f>AND(#REF!,"AAAAAD991Xo=")</f>
        <v>#REF!</v>
      </c>
      <c r="DT27" t="e">
        <f>AND(#REF!,"AAAAAD991Xs=")</f>
        <v>#REF!</v>
      </c>
      <c r="DU27" t="e">
        <f>AND(#REF!,"AAAAAD991Xw=")</f>
        <v>#REF!</v>
      </c>
      <c r="DV27" t="e">
        <f>AND(#REF!,"AAAAAD991X0=")</f>
        <v>#REF!</v>
      </c>
      <c r="DW27" t="e">
        <f>AND(#REF!,"AAAAAD991X4=")</f>
        <v>#REF!</v>
      </c>
      <c r="DX27" t="e">
        <f>AND(#REF!,"AAAAAD991X8=")</f>
        <v>#REF!</v>
      </c>
      <c r="DY27" t="e">
        <f>AND(#REF!,"AAAAAD991YA=")</f>
        <v>#REF!</v>
      </c>
      <c r="DZ27" t="e">
        <f>AND(#REF!,"AAAAAD991YE=")</f>
        <v>#REF!</v>
      </c>
      <c r="EA27" t="e">
        <f>AND(#REF!,"AAAAAD991YI=")</f>
        <v>#REF!</v>
      </c>
      <c r="EB27" t="e">
        <f>AND(#REF!,"AAAAAD991YM=")</f>
        <v>#REF!</v>
      </c>
      <c r="EC27" t="e">
        <f>AND(#REF!,"AAAAAD991YQ=")</f>
        <v>#REF!</v>
      </c>
      <c r="ED27" t="e">
        <f>AND(#REF!,"AAAAAD991YU=")</f>
        <v>#REF!</v>
      </c>
      <c r="EE27" t="e">
        <f>AND(#REF!,"AAAAAD991YY=")</f>
        <v>#REF!</v>
      </c>
      <c r="EF27" t="e">
        <f>AND(#REF!,"AAAAAD991Yc=")</f>
        <v>#REF!</v>
      </c>
      <c r="EG27" t="e">
        <f>AND(#REF!,"AAAAAD991Yg=")</f>
        <v>#REF!</v>
      </c>
      <c r="EH27" t="e">
        <f>AND(#REF!,"AAAAAD991Yk=")</f>
        <v>#REF!</v>
      </c>
      <c r="EI27" t="e">
        <f>AND(#REF!,"AAAAAD991Yo=")</f>
        <v>#REF!</v>
      </c>
      <c r="EJ27" t="e">
        <f>AND(#REF!,"AAAAAD991Ys=")</f>
        <v>#REF!</v>
      </c>
      <c r="EK27" t="e">
        <f>AND(#REF!,"AAAAAD991Yw=")</f>
        <v>#REF!</v>
      </c>
      <c r="EL27" t="e">
        <f>AND(#REF!,"AAAAAD991Y0=")</f>
        <v>#REF!</v>
      </c>
      <c r="EM27" t="e">
        <f>AND(#REF!,"AAAAAD991Y4=")</f>
        <v>#REF!</v>
      </c>
      <c r="EN27" t="e">
        <f>AND(#REF!,"AAAAAD991Y8=")</f>
        <v>#REF!</v>
      </c>
      <c r="EO27" t="e">
        <f>AND(#REF!,"AAAAAD991ZA=")</f>
        <v>#REF!</v>
      </c>
      <c r="EP27" t="e">
        <f>AND(#REF!,"AAAAAD991ZE=")</f>
        <v>#REF!</v>
      </c>
      <c r="EQ27" t="e">
        <f>AND(#REF!,"AAAAAD991ZI=")</f>
        <v>#REF!</v>
      </c>
      <c r="ER27" t="e">
        <f>AND(#REF!,"AAAAAD991ZM=")</f>
        <v>#REF!</v>
      </c>
      <c r="ES27" t="e">
        <f>AND(#REF!,"AAAAAD991ZQ=")</f>
        <v>#REF!</v>
      </c>
      <c r="ET27" t="e">
        <f>AND(#REF!,"AAAAAD991ZU=")</f>
        <v>#REF!</v>
      </c>
      <c r="EU27" t="e">
        <f>AND(#REF!,"AAAAAD991ZY=")</f>
        <v>#REF!</v>
      </c>
      <c r="EV27" t="e">
        <f>AND(#REF!,"AAAAAD991Zc=")</f>
        <v>#REF!</v>
      </c>
      <c r="EW27" t="e">
        <f>AND(#REF!,"AAAAAD991Zg=")</f>
        <v>#REF!</v>
      </c>
      <c r="EX27" t="e">
        <f>AND(#REF!,"AAAAAD991Zk=")</f>
        <v>#REF!</v>
      </c>
      <c r="EY27" t="e">
        <f>AND(#REF!,"AAAAAD991Zo=")</f>
        <v>#REF!</v>
      </c>
      <c r="EZ27" t="e">
        <f>AND(#REF!,"AAAAAD991Zs=")</f>
        <v>#REF!</v>
      </c>
      <c r="FA27" t="e">
        <f>AND(#REF!,"AAAAAD991Zw=")</f>
        <v>#REF!</v>
      </c>
      <c r="FB27" t="e">
        <f>AND(#REF!,"AAAAAD991Z0=")</f>
        <v>#REF!</v>
      </c>
      <c r="FC27" t="e">
        <f>AND(#REF!,"AAAAAD991Z4=")</f>
        <v>#REF!</v>
      </c>
      <c r="FD27" t="e">
        <f>AND(#REF!,"AAAAAD991Z8=")</f>
        <v>#REF!</v>
      </c>
      <c r="FE27" t="e">
        <f>AND(#REF!,"AAAAAD991aA=")</f>
        <v>#REF!</v>
      </c>
      <c r="FF27" t="e">
        <f>AND(#REF!,"AAAAAD991aE=")</f>
        <v>#REF!</v>
      </c>
      <c r="FG27" t="e">
        <f>AND(#REF!,"AAAAAD991aI=")</f>
        <v>#REF!</v>
      </c>
      <c r="FH27" t="e">
        <f>AND(#REF!,"AAAAAD991aM=")</f>
        <v>#REF!</v>
      </c>
      <c r="FI27" t="e">
        <f>IF(#REF!,"AAAAAD991aQ=",0)</f>
        <v>#REF!</v>
      </c>
      <c r="FJ27" t="e">
        <f>AND(#REF!,"AAAAAD991aU=")</f>
        <v>#REF!</v>
      </c>
      <c r="FK27" t="e">
        <f>AND(#REF!,"AAAAAD991aY=")</f>
        <v>#REF!</v>
      </c>
      <c r="FL27" t="e">
        <f>AND(#REF!,"AAAAAD991ac=")</f>
        <v>#REF!</v>
      </c>
      <c r="FM27" t="e">
        <f>AND(#REF!,"AAAAAD991ag=")</f>
        <v>#REF!</v>
      </c>
      <c r="FN27" t="e">
        <f>AND(#REF!,"AAAAAD991ak=")</f>
        <v>#REF!</v>
      </c>
      <c r="FO27" t="e">
        <f>AND(#REF!,"AAAAAD991ao=")</f>
        <v>#REF!</v>
      </c>
      <c r="FP27" t="e">
        <f>AND(#REF!,"AAAAAD991as=")</f>
        <v>#REF!</v>
      </c>
      <c r="FQ27" t="e">
        <f>AND(#REF!,"AAAAAD991aw=")</f>
        <v>#REF!</v>
      </c>
      <c r="FR27" t="e">
        <f>AND(#REF!,"AAAAAD991a0=")</f>
        <v>#REF!</v>
      </c>
      <c r="FS27" t="e">
        <f>AND(#REF!,"AAAAAD991a4=")</f>
        <v>#REF!</v>
      </c>
      <c r="FT27" t="e">
        <f>AND(#REF!,"AAAAAD991a8=")</f>
        <v>#REF!</v>
      </c>
      <c r="FU27" t="e">
        <f>AND(#REF!,"AAAAAD991bA=")</f>
        <v>#REF!</v>
      </c>
      <c r="FV27" t="e">
        <f>AND(#REF!,"AAAAAD991bE=")</f>
        <v>#REF!</v>
      </c>
      <c r="FW27" t="e">
        <f>AND(#REF!,"AAAAAD991bI=")</f>
        <v>#REF!</v>
      </c>
      <c r="FX27" t="e">
        <f>AND(#REF!,"AAAAAD991bM=")</f>
        <v>#REF!</v>
      </c>
      <c r="FY27" t="e">
        <f>AND(#REF!,"AAAAAD991bQ=")</f>
        <v>#REF!</v>
      </c>
      <c r="FZ27" t="e">
        <f>AND(#REF!,"AAAAAD991bU=")</f>
        <v>#REF!</v>
      </c>
      <c r="GA27" t="e">
        <f>AND(#REF!,"AAAAAD991bY=")</f>
        <v>#REF!</v>
      </c>
      <c r="GB27" t="e">
        <f>AND(#REF!,"AAAAAD991bc=")</f>
        <v>#REF!</v>
      </c>
      <c r="GC27" t="e">
        <f>AND(#REF!,"AAAAAD991bg=")</f>
        <v>#REF!</v>
      </c>
      <c r="GD27" t="e">
        <f>AND(#REF!,"AAAAAD991bk=")</f>
        <v>#REF!</v>
      </c>
      <c r="GE27" t="e">
        <f>AND(#REF!,"AAAAAD991bo=")</f>
        <v>#REF!</v>
      </c>
      <c r="GF27" t="e">
        <f>AND(#REF!,"AAAAAD991bs=")</f>
        <v>#REF!</v>
      </c>
      <c r="GG27" t="e">
        <f>AND(#REF!,"AAAAAD991bw=")</f>
        <v>#REF!</v>
      </c>
      <c r="GH27" t="e">
        <f>AND(#REF!,"AAAAAD991b0=")</f>
        <v>#REF!</v>
      </c>
      <c r="GI27" t="e">
        <f>AND(#REF!,"AAAAAD991b4=")</f>
        <v>#REF!</v>
      </c>
      <c r="GJ27" t="e">
        <f>AND(#REF!,"AAAAAD991b8=")</f>
        <v>#REF!</v>
      </c>
      <c r="GK27" t="e">
        <f>AND(#REF!,"AAAAAD991cA=")</f>
        <v>#REF!</v>
      </c>
      <c r="GL27" t="e">
        <f>AND(#REF!,"AAAAAD991cE=")</f>
        <v>#REF!</v>
      </c>
      <c r="GM27" t="e">
        <f>AND(#REF!,"AAAAAD991cI=")</f>
        <v>#REF!</v>
      </c>
      <c r="GN27" t="e">
        <f>AND(#REF!,"AAAAAD991cM=")</f>
        <v>#REF!</v>
      </c>
      <c r="GO27" t="e">
        <f>AND(#REF!,"AAAAAD991cQ=")</f>
        <v>#REF!</v>
      </c>
      <c r="GP27" t="e">
        <f>AND(#REF!,"AAAAAD991cU=")</f>
        <v>#REF!</v>
      </c>
      <c r="GQ27" t="e">
        <f>AND(#REF!,"AAAAAD991cY=")</f>
        <v>#REF!</v>
      </c>
      <c r="GR27" t="e">
        <f>AND(#REF!,"AAAAAD991cc=")</f>
        <v>#REF!</v>
      </c>
      <c r="GS27" t="e">
        <f>AND(#REF!,"AAAAAD991cg=")</f>
        <v>#REF!</v>
      </c>
      <c r="GT27" t="e">
        <f>AND(#REF!,"AAAAAD991ck=")</f>
        <v>#REF!</v>
      </c>
      <c r="GU27" t="e">
        <f>AND(#REF!,"AAAAAD991co=")</f>
        <v>#REF!</v>
      </c>
      <c r="GV27" t="e">
        <f>AND(#REF!,"AAAAAD991cs=")</f>
        <v>#REF!</v>
      </c>
      <c r="GW27" t="e">
        <f>AND(#REF!,"AAAAAD991cw=")</f>
        <v>#REF!</v>
      </c>
      <c r="GX27" t="e">
        <f>AND(#REF!,"AAAAAD991c0=")</f>
        <v>#REF!</v>
      </c>
      <c r="GY27" t="e">
        <f>AND(#REF!,"AAAAAD991c4=")</f>
        <v>#REF!</v>
      </c>
      <c r="GZ27" t="e">
        <f>AND(#REF!,"AAAAAD991c8=")</f>
        <v>#REF!</v>
      </c>
      <c r="HA27" t="e">
        <f>IF(#REF!,"AAAAAD991dA=",0)</f>
        <v>#REF!</v>
      </c>
      <c r="HB27" t="e">
        <f>AND(#REF!,"AAAAAD991dE=")</f>
        <v>#REF!</v>
      </c>
      <c r="HC27" t="e">
        <f>AND(#REF!,"AAAAAD991dI=")</f>
        <v>#REF!</v>
      </c>
      <c r="HD27" t="e">
        <f>AND(#REF!,"AAAAAD991dM=")</f>
        <v>#REF!</v>
      </c>
      <c r="HE27" t="e">
        <f>AND(#REF!,"AAAAAD991dQ=")</f>
        <v>#REF!</v>
      </c>
      <c r="HF27" t="e">
        <f>AND(#REF!,"AAAAAD991dU=")</f>
        <v>#REF!</v>
      </c>
      <c r="HG27" t="e">
        <f>AND(#REF!,"AAAAAD991dY=")</f>
        <v>#REF!</v>
      </c>
      <c r="HH27" t="e">
        <f>AND(#REF!,"AAAAAD991dc=")</f>
        <v>#REF!</v>
      </c>
      <c r="HI27" t="e">
        <f>AND(#REF!,"AAAAAD991dg=")</f>
        <v>#REF!</v>
      </c>
      <c r="HJ27" t="e">
        <f>AND(#REF!,"AAAAAD991dk=")</f>
        <v>#REF!</v>
      </c>
      <c r="HK27" t="e">
        <f>AND(#REF!,"AAAAAD991do=")</f>
        <v>#REF!</v>
      </c>
      <c r="HL27" t="e">
        <f>AND(#REF!,"AAAAAD991ds=")</f>
        <v>#REF!</v>
      </c>
      <c r="HM27" t="e">
        <f>AND(#REF!,"AAAAAD991dw=")</f>
        <v>#REF!</v>
      </c>
      <c r="HN27" t="e">
        <f>AND(#REF!,"AAAAAD991d0=")</f>
        <v>#REF!</v>
      </c>
      <c r="HO27" t="e">
        <f>AND(#REF!,"AAAAAD991d4=")</f>
        <v>#REF!</v>
      </c>
      <c r="HP27" t="e">
        <f>AND(#REF!,"AAAAAD991d8=")</f>
        <v>#REF!</v>
      </c>
      <c r="HQ27" t="e">
        <f>AND(#REF!,"AAAAAD991eA=")</f>
        <v>#REF!</v>
      </c>
      <c r="HR27" t="e">
        <f>AND(#REF!,"AAAAAD991eE=")</f>
        <v>#REF!</v>
      </c>
      <c r="HS27" t="e">
        <f>AND(#REF!,"AAAAAD991eI=")</f>
        <v>#REF!</v>
      </c>
      <c r="HT27" t="e">
        <f>AND(#REF!,"AAAAAD991eM=")</f>
        <v>#REF!</v>
      </c>
      <c r="HU27" t="e">
        <f>AND(#REF!,"AAAAAD991eQ=")</f>
        <v>#REF!</v>
      </c>
      <c r="HV27" t="e">
        <f>AND(#REF!,"AAAAAD991eU=")</f>
        <v>#REF!</v>
      </c>
      <c r="HW27" t="e">
        <f>AND(#REF!,"AAAAAD991eY=")</f>
        <v>#REF!</v>
      </c>
      <c r="HX27" t="e">
        <f>AND(#REF!,"AAAAAD991ec=")</f>
        <v>#REF!</v>
      </c>
      <c r="HY27" t="e">
        <f>AND(#REF!,"AAAAAD991eg=")</f>
        <v>#REF!</v>
      </c>
      <c r="HZ27" t="e">
        <f>AND(#REF!,"AAAAAD991ek=")</f>
        <v>#REF!</v>
      </c>
      <c r="IA27" t="e">
        <f>AND(#REF!,"AAAAAD991eo=")</f>
        <v>#REF!</v>
      </c>
      <c r="IB27" t="e">
        <f>AND(#REF!,"AAAAAD991es=")</f>
        <v>#REF!</v>
      </c>
      <c r="IC27" t="e">
        <f>AND(#REF!,"AAAAAD991ew=")</f>
        <v>#REF!</v>
      </c>
      <c r="ID27" t="e">
        <f>AND(#REF!,"AAAAAD991e0=")</f>
        <v>#REF!</v>
      </c>
      <c r="IE27" t="e">
        <f>AND(#REF!,"AAAAAD991e4=")</f>
        <v>#REF!</v>
      </c>
      <c r="IF27" t="e">
        <f>AND(#REF!,"AAAAAD991e8=")</f>
        <v>#REF!</v>
      </c>
      <c r="IG27" t="e">
        <f>AND(#REF!,"AAAAAD991fA=")</f>
        <v>#REF!</v>
      </c>
      <c r="IH27" t="e">
        <f>AND(#REF!,"AAAAAD991fE=")</f>
        <v>#REF!</v>
      </c>
      <c r="II27" t="e">
        <f>AND(#REF!,"AAAAAD991fI=")</f>
        <v>#REF!</v>
      </c>
      <c r="IJ27" t="e">
        <f>AND(#REF!,"AAAAAD991fM=")</f>
        <v>#REF!</v>
      </c>
      <c r="IK27" t="e">
        <f>AND(#REF!,"AAAAAD991fQ=")</f>
        <v>#REF!</v>
      </c>
      <c r="IL27" t="e">
        <f>AND(#REF!,"AAAAAD991fU=")</f>
        <v>#REF!</v>
      </c>
      <c r="IM27" t="e">
        <f>AND(#REF!,"AAAAAD991fY=")</f>
        <v>#REF!</v>
      </c>
      <c r="IN27" t="e">
        <f>AND(#REF!,"AAAAAD991fc=")</f>
        <v>#REF!</v>
      </c>
      <c r="IO27" t="e">
        <f>AND(#REF!,"AAAAAD991fg=")</f>
        <v>#REF!</v>
      </c>
      <c r="IP27" t="e">
        <f>AND(#REF!,"AAAAAD991fk=")</f>
        <v>#REF!</v>
      </c>
      <c r="IQ27" t="e">
        <f>AND(#REF!,"AAAAAD991fo=")</f>
        <v>#REF!</v>
      </c>
      <c r="IR27" t="e">
        <f>AND(#REF!,"AAAAAD991fs=")</f>
        <v>#REF!</v>
      </c>
      <c r="IS27" t="e">
        <f>IF(#REF!,"AAAAAD991fw=",0)</f>
        <v>#REF!</v>
      </c>
      <c r="IT27" t="e">
        <f>AND(#REF!,"AAAAAD991f0=")</f>
        <v>#REF!</v>
      </c>
      <c r="IU27" t="e">
        <f>AND(#REF!,"AAAAAD991f4=")</f>
        <v>#REF!</v>
      </c>
      <c r="IV27" t="e">
        <f>AND(#REF!,"AAAAAD991f8=")</f>
        <v>#REF!</v>
      </c>
    </row>
    <row r="28" spans="1:256" x14ac:dyDescent="0.25">
      <c r="A28" t="e">
        <f>AND(#REF!,"AAAAAFd/3QA=")</f>
        <v>#REF!</v>
      </c>
      <c r="B28" t="e">
        <f>AND(#REF!,"AAAAAFd/3QE=")</f>
        <v>#REF!</v>
      </c>
      <c r="C28" t="e">
        <f>AND(#REF!,"AAAAAFd/3QI=")</f>
        <v>#REF!</v>
      </c>
      <c r="D28" t="e">
        <f>AND(#REF!,"AAAAAFd/3QM=")</f>
        <v>#REF!</v>
      </c>
      <c r="E28" t="e">
        <f>AND(#REF!,"AAAAAFd/3QQ=")</f>
        <v>#REF!</v>
      </c>
      <c r="F28" t="e">
        <f>AND(#REF!,"AAAAAFd/3QU=")</f>
        <v>#REF!</v>
      </c>
      <c r="G28" t="e">
        <f>AND(#REF!,"AAAAAFd/3QY=")</f>
        <v>#REF!</v>
      </c>
      <c r="H28" t="e">
        <f>AND(#REF!,"AAAAAFd/3Qc=")</f>
        <v>#REF!</v>
      </c>
      <c r="I28" t="e">
        <f>AND(#REF!,"AAAAAFd/3Qg=")</f>
        <v>#REF!</v>
      </c>
      <c r="J28" t="e">
        <f>AND(#REF!,"AAAAAFd/3Qk=")</f>
        <v>#REF!</v>
      </c>
      <c r="K28" t="e">
        <f>AND(#REF!,"AAAAAFd/3Qo=")</f>
        <v>#REF!</v>
      </c>
      <c r="L28" t="e">
        <f>AND(#REF!,"AAAAAFd/3Qs=")</f>
        <v>#REF!</v>
      </c>
      <c r="M28" t="e">
        <f>AND(#REF!,"AAAAAFd/3Qw=")</f>
        <v>#REF!</v>
      </c>
      <c r="N28" t="e">
        <f>AND(#REF!,"AAAAAFd/3Q0=")</f>
        <v>#REF!</v>
      </c>
      <c r="O28" t="e">
        <f>AND(#REF!,"AAAAAFd/3Q4=")</f>
        <v>#REF!</v>
      </c>
      <c r="P28" t="e">
        <f>AND(#REF!,"AAAAAFd/3Q8=")</f>
        <v>#REF!</v>
      </c>
      <c r="Q28" t="e">
        <f>AND(#REF!,"AAAAAFd/3RA=")</f>
        <v>#REF!</v>
      </c>
      <c r="R28" t="e">
        <f>AND(#REF!,"AAAAAFd/3RE=")</f>
        <v>#REF!</v>
      </c>
      <c r="S28" t="e">
        <f>AND(#REF!,"AAAAAFd/3RI=")</f>
        <v>#REF!</v>
      </c>
      <c r="T28" t="e">
        <f>AND(#REF!,"AAAAAFd/3RM=")</f>
        <v>#REF!</v>
      </c>
      <c r="U28" t="e">
        <f>AND(#REF!,"AAAAAFd/3RQ=")</f>
        <v>#REF!</v>
      </c>
      <c r="V28" t="e">
        <f>AND(#REF!,"AAAAAFd/3RU=")</f>
        <v>#REF!</v>
      </c>
      <c r="W28" t="e">
        <f>AND(#REF!,"AAAAAFd/3RY=")</f>
        <v>#REF!</v>
      </c>
      <c r="X28" t="e">
        <f>AND(#REF!,"AAAAAFd/3Rc=")</f>
        <v>#REF!</v>
      </c>
      <c r="Y28" t="e">
        <f>AND(#REF!,"AAAAAFd/3Rg=")</f>
        <v>#REF!</v>
      </c>
      <c r="Z28" t="e">
        <f>AND(#REF!,"AAAAAFd/3Rk=")</f>
        <v>#REF!</v>
      </c>
      <c r="AA28" t="e">
        <f>AND(#REF!,"AAAAAFd/3Ro=")</f>
        <v>#REF!</v>
      </c>
      <c r="AB28" t="e">
        <f>AND(#REF!,"AAAAAFd/3Rs=")</f>
        <v>#REF!</v>
      </c>
      <c r="AC28" t="e">
        <f>AND(#REF!,"AAAAAFd/3Rw=")</f>
        <v>#REF!</v>
      </c>
      <c r="AD28" t="e">
        <f>AND(#REF!,"AAAAAFd/3R0=")</f>
        <v>#REF!</v>
      </c>
      <c r="AE28" t="e">
        <f>AND(#REF!,"AAAAAFd/3R4=")</f>
        <v>#REF!</v>
      </c>
      <c r="AF28" t="e">
        <f>AND(#REF!,"AAAAAFd/3R8=")</f>
        <v>#REF!</v>
      </c>
      <c r="AG28" t="e">
        <f>AND(#REF!,"AAAAAFd/3SA=")</f>
        <v>#REF!</v>
      </c>
      <c r="AH28" t="e">
        <f>AND(#REF!,"AAAAAFd/3SE=")</f>
        <v>#REF!</v>
      </c>
      <c r="AI28" t="e">
        <f>AND(#REF!,"AAAAAFd/3SI=")</f>
        <v>#REF!</v>
      </c>
      <c r="AJ28" t="e">
        <f>AND(#REF!,"AAAAAFd/3SM=")</f>
        <v>#REF!</v>
      </c>
      <c r="AK28" t="e">
        <f>AND(#REF!,"AAAAAFd/3SQ=")</f>
        <v>#REF!</v>
      </c>
      <c r="AL28" t="e">
        <f>AND(#REF!,"AAAAAFd/3SU=")</f>
        <v>#REF!</v>
      </c>
      <c r="AM28" t="e">
        <f>AND(#REF!,"AAAAAFd/3SY=")</f>
        <v>#REF!</v>
      </c>
      <c r="AN28" t="e">
        <f>AND(#REF!,"AAAAAFd/3Sc=")</f>
        <v>#REF!</v>
      </c>
      <c r="AO28" t="e">
        <f>IF(#REF!,"AAAAAFd/3Sg=",0)</f>
        <v>#REF!</v>
      </c>
      <c r="AP28" t="e">
        <f>AND(#REF!,"AAAAAFd/3Sk=")</f>
        <v>#REF!</v>
      </c>
      <c r="AQ28" t="e">
        <f>AND(#REF!,"AAAAAFd/3So=")</f>
        <v>#REF!</v>
      </c>
      <c r="AR28" t="e">
        <f>AND(#REF!,"AAAAAFd/3Ss=")</f>
        <v>#REF!</v>
      </c>
      <c r="AS28" t="e">
        <f>AND(#REF!,"AAAAAFd/3Sw=")</f>
        <v>#REF!</v>
      </c>
      <c r="AT28" t="e">
        <f>AND(#REF!,"AAAAAFd/3S0=")</f>
        <v>#REF!</v>
      </c>
      <c r="AU28" t="e">
        <f>AND(#REF!,"AAAAAFd/3S4=")</f>
        <v>#REF!</v>
      </c>
      <c r="AV28" t="e">
        <f>AND(#REF!,"AAAAAFd/3S8=")</f>
        <v>#REF!</v>
      </c>
      <c r="AW28" t="e">
        <f>AND(#REF!,"AAAAAFd/3TA=")</f>
        <v>#REF!</v>
      </c>
      <c r="AX28" t="e">
        <f>AND(#REF!,"AAAAAFd/3TE=")</f>
        <v>#REF!</v>
      </c>
      <c r="AY28" t="e">
        <f>AND(#REF!,"AAAAAFd/3TI=")</f>
        <v>#REF!</v>
      </c>
      <c r="AZ28" t="e">
        <f>AND(#REF!,"AAAAAFd/3TM=")</f>
        <v>#REF!</v>
      </c>
      <c r="BA28" t="e">
        <f>AND(#REF!,"AAAAAFd/3TQ=")</f>
        <v>#REF!</v>
      </c>
      <c r="BB28" t="e">
        <f>AND(#REF!,"AAAAAFd/3TU=")</f>
        <v>#REF!</v>
      </c>
      <c r="BC28" t="e">
        <f>AND(#REF!,"AAAAAFd/3TY=")</f>
        <v>#REF!</v>
      </c>
      <c r="BD28" t="e">
        <f>AND(#REF!,"AAAAAFd/3Tc=")</f>
        <v>#REF!</v>
      </c>
      <c r="BE28" t="e">
        <f>AND(#REF!,"AAAAAFd/3Tg=")</f>
        <v>#REF!</v>
      </c>
      <c r="BF28" t="e">
        <f>AND(#REF!,"AAAAAFd/3Tk=")</f>
        <v>#REF!</v>
      </c>
      <c r="BG28" t="e">
        <f>AND(#REF!,"AAAAAFd/3To=")</f>
        <v>#REF!</v>
      </c>
      <c r="BH28" t="e">
        <f>AND(#REF!,"AAAAAFd/3Ts=")</f>
        <v>#REF!</v>
      </c>
      <c r="BI28" t="e">
        <f>AND(#REF!,"AAAAAFd/3Tw=")</f>
        <v>#REF!</v>
      </c>
      <c r="BJ28" t="e">
        <f>AND(#REF!,"AAAAAFd/3T0=")</f>
        <v>#REF!</v>
      </c>
      <c r="BK28" t="e">
        <f>AND(#REF!,"AAAAAFd/3T4=")</f>
        <v>#REF!</v>
      </c>
      <c r="BL28" t="e">
        <f>AND(#REF!,"AAAAAFd/3T8=")</f>
        <v>#REF!</v>
      </c>
      <c r="BM28" t="e">
        <f>AND(#REF!,"AAAAAFd/3UA=")</f>
        <v>#REF!</v>
      </c>
      <c r="BN28" t="e">
        <f>AND(#REF!,"AAAAAFd/3UE=")</f>
        <v>#REF!</v>
      </c>
      <c r="BO28" t="e">
        <f>AND(#REF!,"AAAAAFd/3UI=")</f>
        <v>#REF!</v>
      </c>
      <c r="BP28" t="e">
        <f>AND(#REF!,"AAAAAFd/3UM=")</f>
        <v>#REF!</v>
      </c>
      <c r="BQ28" t="e">
        <f>AND(#REF!,"AAAAAFd/3UQ=")</f>
        <v>#REF!</v>
      </c>
      <c r="BR28" t="e">
        <f>AND(#REF!,"AAAAAFd/3UU=")</f>
        <v>#REF!</v>
      </c>
      <c r="BS28" t="e">
        <f>AND(#REF!,"AAAAAFd/3UY=")</f>
        <v>#REF!</v>
      </c>
      <c r="BT28" t="e">
        <f>AND(#REF!,"AAAAAFd/3Uc=")</f>
        <v>#REF!</v>
      </c>
      <c r="BU28" t="e">
        <f>AND(#REF!,"AAAAAFd/3Ug=")</f>
        <v>#REF!</v>
      </c>
      <c r="BV28" t="e">
        <f>AND(#REF!,"AAAAAFd/3Uk=")</f>
        <v>#REF!</v>
      </c>
      <c r="BW28" t="e">
        <f>AND(#REF!,"AAAAAFd/3Uo=")</f>
        <v>#REF!</v>
      </c>
      <c r="BX28" t="e">
        <f>AND(#REF!,"AAAAAFd/3Us=")</f>
        <v>#REF!</v>
      </c>
      <c r="BY28" t="e">
        <f>AND(#REF!,"AAAAAFd/3Uw=")</f>
        <v>#REF!</v>
      </c>
      <c r="BZ28" t="e">
        <f>AND(#REF!,"AAAAAFd/3U0=")</f>
        <v>#REF!</v>
      </c>
      <c r="CA28" t="e">
        <f>AND(#REF!,"AAAAAFd/3U4=")</f>
        <v>#REF!</v>
      </c>
      <c r="CB28" t="e">
        <f>AND(#REF!,"AAAAAFd/3U8=")</f>
        <v>#REF!</v>
      </c>
      <c r="CC28" t="e">
        <f>AND(#REF!,"AAAAAFd/3VA=")</f>
        <v>#REF!</v>
      </c>
      <c r="CD28" t="e">
        <f>AND(#REF!,"AAAAAFd/3VE=")</f>
        <v>#REF!</v>
      </c>
      <c r="CE28" t="e">
        <f>AND(#REF!,"AAAAAFd/3VI=")</f>
        <v>#REF!</v>
      </c>
      <c r="CF28" t="e">
        <f>AND(#REF!,"AAAAAFd/3VM=")</f>
        <v>#REF!</v>
      </c>
      <c r="CG28" t="e">
        <f>IF(#REF!,"AAAAAFd/3VQ=",0)</f>
        <v>#REF!</v>
      </c>
      <c r="CH28" t="e">
        <f>AND(#REF!,"AAAAAFd/3VU=")</f>
        <v>#REF!</v>
      </c>
      <c r="CI28" t="e">
        <f>AND(#REF!,"AAAAAFd/3VY=")</f>
        <v>#REF!</v>
      </c>
      <c r="CJ28" t="e">
        <f>AND(#REF!,"AAAAAFd/3Vc=")</f>
        <v>#REF!</v>
      </c>
      <c r="CK28" t="e">
        <f>AND(#REF!,"AAAAAFd/3Vg=")</f>
        <v>#REF!</v>
      </c>
      <c r="CL28" t="e">
        <f>AND(#REF!,"AAAAAFd/3Vk=")</f>
        <v>#REF!</v>
      </c>
      <c r="CM28" t="e">
        <f>AND(#REF!,"AAAAAFd/3Vo=")</f>
        <v>#REF!</v>
      </c>
      <c r="CN28" t="e">
        <f>AND(#REF!,"AAAAAFd/3Vs=")</f>
        <v>#REF!</v>
      </c>
      <c r="CO28" t="e">
        <f>AND(#REF!,"AAAAAFd/3Vw=")</f>
        <v>#REF!</v>
      </c>
      <c r="CP28" t="e">
        <f>AND(#REF!,"AAAAAFd/3V0=")</f>
        <v>#REF!</v>
      </c>
      <c r="CQ28" t="e">
        <f>AND(#REF!,"AAAAAFd/3V4=")</f>
        <v>#REF!</v>
      </c>
      <c r="CR28" t="e">
        <f>AND(#REF!,"AAAAAFd/3V8=")</f>
        <v>#REF!</v>
      </c>
      <c r="CS28" t="e">
        <f>AND(#REF!,"AAAAAFd/3WA=")</f>
        <v>#REF!</v>
      </c>
      <c r="CT28" t="e">
        <f>AND(#REF!,"AAAAAFd/3WE=")</f>
        <v>#REF!</v>
      </c>
      <c r="CU28" t="e">
        <f>AND(#REF!,"AAAAAFd/3WI=")</f>
        <v>#REF!</v>
      </c>
      <c r="CV28" t="e">
        <f>AND(#REF!,"AAAAAFd/3WM=")</f>
        <v>#REF!</v>
      </c>
      <c r="CW28" t="e">
        <f>AND(#REF!,"AAAAAFd/3WQ=")</f>
        <v>#REF!</v>
      </c>
      <c r="CX28" t="e">
        <f>AND(#REF!,"AAAAAFd/3WU=")</f>
        <v>#REF!</v>
      </c>
      <c r="CY28" t="e">
        <f>AND(#REF!,"AAAAAFd/3WY=")</f>
        <v>#REF!</v>
      </c>
      <c r="CZ28" t="e">
        <f>AND(#REF!,"AAAAAFd/3Wc=")</f>
        <v>#REF!</v>
      </c>
      <c r="DA28" t="e">
        <f>AND(#REF!,"AAAAAFd/3Wg=")</f>
        <v>#REF!</v>
      </c>
      <c r="DB28" t="e">
        <f>AND(#REF!,"AAAAAFd/3Wk=")</f>
        <v>#REF!</v>
      </c>
      <c r="DC28" t="e">
        <f>AND(#REF!,"AAAAAFd/3Wo=")</f>
        <v>#REF!</v>
      </c>
      <c r="DD28" t="e">
        <f>AND(#REF!,"AAAAAFd/3Ws=")</f>
        <v>#REF!</v>
      </c>
      <c r="DE28" t="e">
        <f>AND(#REF!,"AAAAAFd/3Ww=")</f>
        <v>#REF!</v>
      </c>
      <c r="DF28" t="e">
        <f>AND(#REF!,"AAAAAFd/3W0=")</f>
        <v>#REF!</v>
      </c>
      <c r="DG28" t="e">
        <f>AND(#REF!,"AAAAAFd/3W4=")</f>
        <v>#REF!</v>
      </c>
      <c r="DH28" t="e">
        <f>AND(#REF!,"AAAAAFd/3W8=")</f>
        <v>#REF!</v>
      </c>
      <c r="DI28" t="e">
        <f>AND(#REF!,"AAAAAFd/3XA=")</f>
        <v>#REF!</v>
      </c>
      <c r="DJ28" t="e">
        <f>AND(#REF!,"AAAAAFd/3XE=")</f>
        <v>#REF!</v>
      </c>
      <c r="DK28" t="e">
        <f>AND(#REF!,"AAAAAFd/3XI=")</f>
        <v>#REF!</v>
      </c>
      <c r="DL28" t="e">
        <f>AND(#REF!,"AAAAAFd/3XM=")</f>
        <v>#REF!</v>
      </c>
      <c r="DM28" t="e">
        <f>AND(#REF!,"AAAAAFd/3XQ=")</f>
        <v>#REF!</v>
      </c>
      <c r="DN28" t="e">
        <f>AND(#REF!,"AAAAAFd/3XU=")</f>
        <v>#REF!</v>
      </c>
      <c r="DO28" t="e">
        <f>AND(#REF!,"AAAAAFd/3XY=")</f>
        <v>#REF!</v>
      </c>
      <c r="DP28" t="e">
        <f>AND(#REF!,"AAAAAFd/3Xc=")</f>
        <v>#REF!</v>
      </c>
      <c r="DQ28" t="e">
        <f>AND(#REF!,"AAAAAFd/3Xg=")</f>
        <v>#REF!</v>
      </c>
      <c r="DR28" t="e">
        <f>AND(#REF!,"AAAAAFd/3Xk=")</f>
        <v>#REF!</v>
      </c>
      <c r="DS28" t="e">
        <f>AND(#REF!,"AAAAAFd/3Xo=")</f>
        <v>#REF!</v>
      </c>
      <c r="DT28" t="e">
        <f>AND(#REF!,"AAAAAFd/3Xs=")</f>
        <v>#REF!</v>
      </c>
      <c r="DU28" t="e">
        <f>AND(#REF!,"AAAAAFd/3Xw=")</f>
        <v>#REF!</v>
      </c>
      <c r="DV28" t="e">
        <f>AND(#REF!,"AAAAAFd/3X0=")</f>
        <v>#REF!</v>
      </c>
      <c r="DW28" t="e">
        <f>AND(#REF!,"AAAAAFd/3X4=")</f>
        <v>#REF!</v>
      </c>
      <c r="DX28" t="e">
        <f>AND(#REF!,"AAAAAFd/3X8=")</f>
        <v>#REF!</v>
      </c>
      <c r="DY28" t="e">
        <f>IF(#REF!,"AAAAAFd/3YA=",0)</f>
        <v>#REF!</v>
      </c>
      <c r="DZ28" t="e">
        <f>AND(#REF!,"AAAAAFd/3YE=")</f>
        <v>#REF!</v>
      </c>
      <c r="EA28" t="e">
        <f>AND(#REF!,"AAAAAFd/3YI=")</f>
        <v>#REF!</v>
      </c>
      <c r="EB28" t="e">
        <f>AND(#REF!,"AAAAAFd/3YM=")</f>
        <v>#REF!</v>
      </c>
      <c r="EC28" t="e">
        <f>AND(#REF!,"AAAAAFd/3YQ=")</f>
        <v>#REF!</v>
      </c>
      <c r="ED28" t="e">
        <f>AND(#REF!,"AAAAAFd/3YU=")</f>
        <v>#REF!</v>
      </c>
      <c r="EE28" t="e">
        <f>AND(#REF!,"AAAAAFd/3YY=")</f>
        <v>#REF!</v>
      </c>
      <c r="EF28" t="e">
        <f>AND(#REF!,"AAAAAFd/3Yc=")</f>
        <v>#REF!</v>
      </c>
      <c r="EG28" t="e">
        <f>AND(#REF!,"AAAAAFd/3Yg=")</f>
        <v>#REF!</v>
      </c>
      <c r="EH28" t="e">
        <f>AND(#REF!,"AAAAAFd/3Yk=")</f>
        <v>#REF!</v>
      </c>
      <c r="EI28" t="e">
        <f>AND(#REF!,"AAAAAFd/3Yo=")</f>
        <v>#REF!</v>
      </c>
      <c r="EJ28" t="e">
        <f>AND(#REF!,"AAAAAFd/3Ys=")</f>
        <v>#REF!</v>
      </c>
      <c r="EK28" t="e">
        <f>AND(#REF!,"AAAAAFd/3Yw=")</f>
        <v>#REF!</v>
      </c>
      <c r="EL28" t="e">
        <f>AND(#REF!,"AAAAAFd/3Y0=")</f>
        <v>#REF!</v>
      </c>
      <c r="EM28" t="e">
        <f>AND(#REF!,"AAAAAFd/3Y4=")</f>
        <v>#REF!</v>
      </c>
      <c r="EN28" t="e">
        <f>AND(#REF!,"AAAAAFd/3Y8=")</f>
        <v>#REF!</v>
      </c>
      <c r="EO28" t="e">
        <f>AND(#REF!,"AAAAAFd/3ZA=")</f>
        <v>#REF!</v>
      </c>
      <c r="EP28" t="e">
        <f>AND(#REF!,"AAAAAFd/3ZE=")</f>
        <v>#REF!</v>
      </c>
      <c r="EQ28" t="e">
        <f>AND(#REF!,"AAAAAFd/3ZI=")</f>
        <v>#REF!</v>
      </c>
      <c r="ER28" t="e">
        <f>AND(#REF!,"AAAAAFd/3ZM=")</f>
        <v>#REF!</v>
      </c>
      <c r="ES28" t="e">
        <f>AND(#REF!,"AAAAAFd/3ZQ=")</f>
        <v>#REF!</v>
      </c>
      <c r="ET28" t="e">
        <f>AND(#REF!,"AAAAAFd/3ZU=")</f>
        <v>#REF!</v>
      </c>
      <c r="EU28" t="e">
        <f>AND(#REF!,"AAAAAFd/3ZY=")</f>
        <v>#REF!</v>
      </c>
      <c r="EV28" t="e">
        <f>AND(#REF!,"AAAAAFd/3Zc=")</f>
        <v>#REF!</v>
      </c>
      <c r="EW28" t="e">
        <f>AND(#REF!,"AAAAAFd/3Zg=")</f>
        <v>#REF!</v>
      </c>
      <c r="EX28" t="e">
        <f>AND(#REF!,"AAAAAFd/3Zk=")</f>
        <v>#REF!</v>
      </c>
      <c r="EY28" t="e">
        <f>AND(#REF!,"AAAAAFd/3Zo=")</f>
        <v>#REF!</v>
      </c>
      <c r="EZ28" t="e">
        <f>AND(#REF!,"AAAAAFd/3Zs=")</f>
        <v>#REF!</v>
      </c>
      <c r="FA28" t="e">
        <f>AND(#REF!,"AAAAAFd/3Zw=")</f>
        <v>#REF!</v>
      </c>
      <c r="FB28" t="e">
        <f>AND(#REF!,"AAAAAFd/3Z0=")</f>
        <v>#REF!</v>
      </c>
      <c r="FC28" t="e">
        <f>AND(#REF!,"AAAAAFd/3Z4=")</f>
        <v>#REF!</v>
      </c>
      <c r="FD28" t="e">
        <f>AND(#REF!,"AAAAAFd/3Z8=")</f>
        <v>#REF!</v>
      </c>
      <c r="FE28" t="e">
        <f>AND(#REF!,"AAAAAFd/3aA=")</f>
        <v>#REF!</v>
      </c>
      <c r="FF28" t="e">
        <f>AND(#REF!,"AAAAAFd/3aE=")</f>
        <v>#REF!</v>
      </c>
      <c r="FG28" t="e">
        <f>AND(#REF!,"AAAAAFd/3aI=")</f>
        <v>#REF!</v>
      </c>
      <c r="FH28" t="e">
        <f>AND(#REF!,"AAAAAFd/3aM=")</f>
        <v>#REF!</v>
      </c>
      <c r="FI28" t="e">
        <f>AND(#REF!,"AAAAAFd/3aQ=")</f>
        <v>#REF!</v>
      </c>
      <c r="FJ28" t="e">
        <f>AND(#REF!,"AAAAAFd/3aU=")</f>
        <v>#REF!</v>
      </c>
      <c r="FK28" t="e">
        <f>AND(#REF!,"AAAAAFd/3aY=")</f>
        <v>#REF!</v>
      </c>
      <c r="FL28" t="e">
        <f>AND(#REF!,"AAAAAFd/3ac=")</f>
        <v>#REF!</v>
      </c>
      <c r="FM28" t="e">
        <f>AND(#REF!,"AAAAAFd/3ag=")</f>
        <v>#REF!</v>
      </c>
      <c r="FN28" t="e">
        <f>AND(#REF!,"AAAAAFd/3ak=")</f>
        <v>#REF!</v>
      </c>
      <c r="FO28" t="e">
        <f>AND(#REF!,"AAAAAFd/3ao=")</f>
        <v>#REF!</v>
      </c>
      <c r="FP28" t="e">
        <f>AND(#REF!,"AAAAAFd/3as=")</f>
        <v>#REF!</v>
      </c>
      <c r="FQ28" t="e">
        <f>IF(#REF!,"AAAAAFd/3aw=",0)</f>
        <v>#REF!</v>
      </c>
      <c r="FR28" t="e">
        <f>AND(#REF!,"AAAAAFd/3a0=")</f>
        <v>#REF!</v>
      </c>
      <c r="FS28" t="e">
        <f>AND(#REF!,"AAAAAFd/3a4=")</f>
        <v>#REF!</v>
      </c>
      <c r="FT28" t="e">
        <f>AND(#REF!,"AAAAAFd/3a8=")</f>
        <v>#REF!</v>
      </c>
      <c r="FU28" t="e">
        <f>AND(#REF!,"AAAAAFd/3bA=")</f>
        <v>#REF!</v>
      </c>
      <c r="FV28" t="e">
        <f>AND(#REF!,"AAAAAFd/3bE=")</f>
        <v>#REF!</v>
      </c>
      <c r="FW28" t="e">
        <f>AND(#REF!,"AAAAAFd/3bI=")</f>
        <v>#REF!</v>
      </c>
      <c r="FX28" t="e">
        <f>AND(#REF!,"AAAAAFd/3bM=")</f>
        <v>#REF!</v>
      </c>
      <c r="FY28" t="e">
        <f>AND(#REF!,"AAAAAFd/3bQ=")</f>
        <v>#REF!</v>
      </c>
      <c r="FZ28" t="e">
        <f>AND(#REF!,"AAAAAFd/3bU=")</f>
        <v>#REF!</v>
      </c>
      <c r="GA28" t="e">
        <f>AND(#REF!,"AAAAAFd/3bY=")</f>
        <v>#REF!</v>
      </c>
      <c r="GB28" t="e">
        <f>AND(#REF!,"AAAAAFd/3bc=")</f>
        <v>#REF!</v>
      </c>
      <c r="GC28" t="e">
        <f>AND(#REF!,"AAAAAFd/3bg=")</f>
        <v>#REF!</v>
      </c>
      <c r="GD28" t="e">
        <f>AND(#REF!,"AAAAAFd/3bk=")</f>
        <v>#REF!</v>
      </c>
      <c r="GE28" t="e">
        <f>AND(#REF!,"AAAAAFd/3bo=")</f>
        <v>#REF!</v>
      </c>
      <c r="GF28" t="e">
        <f>AND(#REF!,"AAAAAFd/3bs=")</f>
        <v>#REF!</v>
      </c>
      <c r="GG28" t="e">
        <f>AND(#REF!,"AAAAAFd/3bw=")</f>
        <v>#REF!</v>
      </c>
      <c r="GH28" t="e">
        <f>AND(#REF!,"AAAAAFd/3b0=")</f>
        <v>#REF!</v>
      </c>
      <c r="GI28" t="e">
        <f>AND(#REF!,"AAAAAFd/3b4=")</f>
        <v>#REF!</v>
      </c>
      <c r="GJ28" t="e">
        <f>AND(#REF!,"AAAAAFd/3b8=")</f>
        <v>#REF!</v>
      </c>
      <c r="GK28" t="e">
        <f>AND(#REF!,"AAAAAFd/3cA=")</f>
        <v>#REF!</v>
      </c>
      <c r="GL28" t="e">
        <f>AND(#REF!,"AAAAAFd/3cE=")</f>
        <v>#REF!</v>
      </c>
      <c r="GM28" t="e">
        <f>AND(#REF!,"AAAAAFd/3cI=")</f>
        <v>#REF!</v>
      </c>
      <c r="GN28" t="e">
        <f>AND(#REF!,"AAAAAFd/3cM=")</f>
        <v>#REF!</v>
      </c>
      <c r="GO28" t="e">
        <f>AND(#REF!,"AAAAAFd/3cQ=")</f>
        <v>#REF!</v>
      </c>
      <c r="GP28" t="e">
        <f>AND(#REF!,"AAAAAFd/3cU=")</f>
        <v>#REF!</v>
      </c>
      <c r="GQ28" t="e">
        <f>AND(#REF!,"AAAAAFd/3cY=")</f>
        <v>#REF!</v>
      </c>
      <c r="GR28" t="e">
        <f>AND(#REF!,"AAAAAFd/3cc=")</f>
        <v>#REF!</v>
      </c>
      <c r="GS28" t="e">
        <f>AND(#REF!,"AAAAAFd/3cg=")</f>
        <v>#REF!</v>
      </c>
      <c r="GT28" t="e">
        <f>AND(#REF!,"AAAAAFd/3ck=")</f>
        <v>#REF!</v>
      </c>
      <c r="GU28" t="e">
        <f>AND(#REF!,"AAAAAFd/3co=")</f>
        <v>#REF!</v>
      </c>
      <c r="GV28" t="e">
        <f>AND(#REF!,"AAAAAFd/3cs=")</f>
        <v>#REF!</v>
      </c>
      <c r="GW28" t="e">
        <f>AND(#REF!,"AAAAAFd/3cw=")</f>
        <v>#REF!</v>
      </c>
      <c r="GX28" t="e">
        <f>AND(#REF!,"AAAAAFd/3c0=")</f>
        <v>#REF!</v>
      </c>
      <c r="GY28" t="e">
        <f>AND(#REF!,"AAAAAFd/3c4=")</f>
        <v>#REF!</v>
      </c>
      <c r="GZ28" t="e">
        <f>AND(#REF!,"AAAAAFd/3c8=")</f>
        <v>#REF!</v>
      </c>
      <c r="HA28" t="e">
        <f>AND(#REF!,"AAAAAFd/3dA=")</f>
        <v>#REF!</v>
      </c>
      <c r="HB28" t="e">
        <f>AND(#REF!,"AAAAAFd/3dE=")</f>
        <v>#REF!</v>
      </c>
      <c r="HC28" t="e">
        <f>AND(#REF!,"AAAAAFd/3dI=")</f>
        <v>#REF!</v>
      </c>
      <c r="HD28" t="e">
        <f>AND(#REF!,"AAAAAFd/3dM=")</f>
        <v>#REF!</v>
      </c>
      <c r="HE28" t="e">
        <f>AND(#REF!,"AAAAAFd/3dQ=")</f>
        <v>#REF!</v>
      </c>
      <c r="HF28" t="e">
        <f>AND(#REF!,"AAAAAFd/3dU=")</f>
        <v>#REF!</v>
      </c>
      <c r="HG28" t="e">
        <f>AND(#REF!,"AAAAAFd/3dY=")</f>
        <v>#REF!</v>
      </c>
      <c r="HH28" t="e">
        <f>AND(#REF!,"AAAAAFd/3dc=")</f>
        <v>#REF!</v>
      </c>
      <c r="HI28" t="e">
        <f>IF(#REF!,"AAAAAFd/3dg=",0)</f>
        <v>#REF!</v>
      </c>
      <c r="HJ28" t="e">
        <f>AND(#REF!,"AAAAAFd/3dk=")</f>
        <v>#REF!</v>
      </c>
      <c r="HK28" t="e">
        <f>AND(#REF!,"AAAAAFd/3do=")</f>
        <v>#REF!</v>
      </c>
      <c r="HL28" t="e">
        <f>AND(#REF!,"AAAAAFd/3ds=")</f>
        <v>#REF!</v>
      </c>
      <c r="HM28" t="e">
        <f>AND(#REF!,"AAAAAFd/3dw=")</f>
        <v>#REF!</v>
      </c>
      <c r="HN28" t="e">
        <f>AND(#REF!,"AAAAAFd/3d0=")</f>
        <v>#REF!</v>
      </c>
      <c r="HO28" t="e">
        <f>AND(#REF!,"AAAAAFd/3d4=")</f>
        <v>#REF!</v>
      </c>
      <c r="HP28" t="e">
        <f>AND(#REF!,"AAAAAFd/3d8=")</f>
        <v>#REF!</v>
      </c>
      <c r="HQ28" t="e">
        <f>AND(#REF!,"AAAAAFd/3eA=")</f>
        <v>#REF!</v>
      </c>
      <c r="HR28" t="e">
        <f>AND(#REF!,"AAAAAFd/3eE=")</f>
        <v>#REF!</v>
      </c>
      <c r="HS28" t="e">
        <f>AND(#REF!,"AAAAAFd/3eI=")</f>
        <v>#REF!</v>
      </c>
      <c r="HT28" t="e">
        <f>AND(#REF!,"AAAAAFd/3eM=")</f>
        <v>#REF!</v>
      </c>
      <c r="HU28" t="e">
        <f>AND(#REF!,"AAAAAFd/3eQ=")</f>
        <v>#REF!</v>
      </c>
      <c r="HV28" t="e">
        <f>AND(#REF!,"AAAAAFd/3eU=")</f>
        <v>#REF!</v>
      </c>
      <c r="HW28" t="e">
        <f>AND(#REF!,"AAAAAFd/3eY=")</f>
        <v>#REF!</v>
      </c>
      <c r="HX28" t="e">
        <f>AND(#REF!,"AAAAAFd/3ec=")</f>
        <v>#REF!</v>
      </c>
      <c r="HY28" t="e">
        <f>AND(#REF!,"AAAAAFd/3eg=")</f>
        <v>#REF!</v>
      </c>
      <c r="HZ28" t="e">
        <f>AND(#REF!,"AAAAAFd/3ek=")</f>
        <v>#REF!</v>
      </c>
      <c r="IA28" t="e">
        <f>AND(#REF!,"AAAAAFd/3eo=")</f>
        <v>#REF!</v>
      </c>
      <c r="IB28" t="e">
        <f>AND(#REF!,"AAAAAFd/3es=")</f>
        <v>#REF!</v>
      </c>
      <c r="IC28" t="e">
        <f>AND(#REF!,"AAAAAFd/3ew=")</f>
        <v>#REF!</v>
      </c>
      <c r="ID28" t="e">
        <f>AND(#REF!,"AAAAAFd/3e0=")</f>
        <v>#REF!</v>
      </c>
      <c r="IE28" t="e">
        <f>AND(#REF!,"AAAAAFd/3e4=")</f>
        <v>#REF!</v>
      </c>
      <c r="IF28" t="e">
        <f>AND(#REF!,"AAAAAFd/3e8=")</f>
        <v>#REF!</v>
      </c>
      <c r="IG28" t="e">
        <f>AND(#REF!,"AAAAAFd/3fA=")</f>
        <v>#REF!</v>
      </c>
      <c r="IH28" t="e">
        <f>AND(#REF!,"AAAAAFd/3fE=")</f>
        <v>#REF!</v>
      </c>
      <c r="II28" t="e">
        <f>AND(#REF!,"AAAAAFd/3fI=")</f>
        <v>#REF!</v>
      </c>
      <c r="IJ28" t="e">
        <f>AND(#REF!,"AAAAAFd/3fM=")</f>
        <v>#REF!</v>
      </c>
      <c r="IK28" t="e">
        <f>AND(#REF!,"AAAAAFd/3fQ=")</f>
        <v>#REF!</v>
      </c>
      <c r="IL28" t="e">
        <f>AND(#REF!,"AAAAAFd/3fU=")</f>
        <v>#REF!</v>
      </c>
      <c r="IM28" t="e">
        <f>AND(#REF!,"AAAAAFd/3fY=")</f>
        <v>#REF!</v>
      </c>
      <c r="IN28" t="e">
        <f>AND(#REF!,"AAAAAFd/3fc=")</f>
        <v>#REF!</v>
      </c>
      <c r="IO28" t="e">
        <f>AND(#REF!,"AAAAAFd/3fg=")</f>
        <v>#REF!</v>
      </c>
      <c r="IP28" t="e">
        <f>AND(#REF!,"AAAAAFd/3fk=")</f>
        <v>#REF!</v>
      </c>
      <c r="IQ28" t="e">
        <f>AND(#REF!,"AAAAAFd/3fo=")</f>
        <v>#REF!</v>
      </c>
      <c r="IR28" t="e">
        <f>AND(#REF!,"AAAAAFd/3fs=")</f>
        <v>#REF!</v>
      </c>
      <c r="IS28" t="e">
        <f>AND(#REF!,"AAAAAFd/3fw=")</f>
        <v>#REF!</v>
      </c>
      <c r="IT28" t="e">
        <f>AND(#REF!,"AAAAAFd/3f0=")</f>
        <v>#REF!</v>
      </c>
      <c r="IU28" t="e">
        <f>AND(#REF!,"AAAAAFd/3f4=")</f>
        <v>#REF!</v>
      </c>
      <c r="IV28" t="e">
        <f>AND(#REF!,"AAAAAFd/3f8=")</f>
        <v>#REF!</v>
      </c>
    </row>
    <row r="29" spans="1:256" x14ac:dyDescent="0.25">
      <c r="A29" t="e">
        <f>AND(#REF!,"AAAAAF/7fwA=")</f>
        <v>#REF!</v>
      </c>
      <c r="B29" t="e">
        <f>AND(#REF!,"AAAAAF/7fwE=")</f>
        <v>#REF!</v>
      </c>
      <c r="C29" t="e">
        <f>AND(#REF!,"AAAAAF/7fwI=")</f>
        <v>#REF!</v>
      </c>
      <c r="D29" t="e">
        <f>AND(#REF!,"AAAAAF/7fwM=")</f>
        <v>#REF!</v>
      </c>
      <c r="E29" t="e">
        <f>IF(#REF!,"AAAAAF/7fwQ=",0)</f>
        <v>#REF!</v>
      </c>
      <c r="F29" t="e">
        <f>AND(#REF!,"AAAAAF/7fwU=")</f>
        <v>#REF!</v>
      </c>
      <c r="G29" t="e">
        <f>AND(#REF!,"AAAAAF/7fwY=")</f>
        <v>#REF!</v>
      </c>
      <c r="H29" t="e">
        <f>AND(#REF!,"AAAAAF/7fwc=")</f>
        <v>#REF!</v>
      </c>
      <c r="I29" t="e">
        <f>AND(#REF!,"AAAAAF/7fwg=")</f>
        <v>#REF!</v>
      </c>
      <c r="J29" t="e">
        <f>AND(#REF!,"AAAAAF/7fwk=")</f>
        <v>#REF!</v>
      </c>
      <c r="K29" t="e">
        <f>AND(#REF!,"AAAAAF/7fwo=")</f>
        <v>#REF!</v>
      </c>
      <c r="L29" t="e">
        <f>AND(#REF!,"AAAAAF/7fws=")</f>
        <v>#REF!</v>
      </c>
      <c r="M29" t="e">
        <f>AND(#REF!,"AAAAAF/7fww=")</f>
        <v>#REF!</v>
      </c>
      <c r="N29" t="e">
        <f>AND(#REF!,"AAAAAF/7fw0=")</f>
        <v>#REF!</v>
      </c>
      <c r="O29" t="e">
        <f>AND(#REF!,"AAAAAF/7fw4=")</f>
        <v>#REF!</v>
      </c>
      <c r="P29" t="e">
        <f>AND(#REF!,"AAAAAF/7fw8=")</f>
        <v>#REF!</v>
      </c>
      <c r="Q29" t="e">
        <f>AND(#REF!,"AAAAAF/7fxA=")</f>
        <v>#REF!</v>
      </c>
      <c r="R29" t="e">
        <f>AND(#REF!,"AAAAAF/7fxE=")</f>
        <v>#REF!</v>
      </c>
      <c r="S29" t="e">
        <f>AND(#REF!,"AAAAAF/7fxI=")</f>
        <v>#REF!</v>
      </c>
      <c r="T29" t="e">
        <f>AND(#REF!,"AAAAAF/7fxM=")</f>
        <v>#REF!</v>
      </c>
      <c r="U29" t="e">
        <f>AND(#REF!,"AAAAAF/7fxQ=")</f>
        <v>#REF!</v>
      </c>
      <c r="V29" t="e">
        <f>AND(#REF!,"AAAAAF/7fxU=")</f>
        <v>#REF!</v>
      </c>
      <c r="W29" t="e">
        <f>AND(#REF!,"AAAAAF/7fxY=")</f>
        <v>#REF!</v>
      </c>
      <c r="X29" t="e">
        <f>AND(#REF!,"AAAAAF/7fxc=")</f>
        <v>#REF!</v>
      </c>
      <c r="Y29" t="e">
        <f>AND(#REF!,"AAAAAF/7fxg=")</f>
        <v>#REF!</v>
      </c>
      <c r="Z29" t="e">
        <f>AND(#REF!,"AAAAAF/7fxk=")</f>
        <v>#REF!</v>
      </c>
      <c r="AA29" t="e">
        <f>AND(#REF!,"AAAAAF/7fxo=")</f>
        <v>#REF!</v>
      </c>
      <c r="AB29" t="e">
        <f>AND(#REF!,"AAAAAF/7fxs=")</f>
        <v>#REF!</v>
      </c>
      <c r="AC29" t="e">
        <f>AND(#REF!,"AAAAAF/7fxw=")</f>
        <v>#REF!</v>
      </c>
      <c r="AD29" t="e">
        <f>AND(#REF!,"AAAAAF/7fx0=")</f>
        <v>#REF!</v>
      </c>
      <c r="AE29" t="e">
        <f>AND(#REF!,"AAAAAF/7fx4=")</f>
        <v>#REF!</v>
      </c>
      <c r="AF29" t="e">
        <f>AND(#REF!,"AAAAAF/7fx8=")</f>
        <v>#REF!</v>
      </c>
      <c r="AG29" t="e">
        <f>AND(#REF!,"AAAAAF/7fyA=")</f>
        <v>#REF!</v>
      </c>
      <c r="AH29" t="e">
        <f>AND(#REF!,"AAAAAF/7fyE=")</f>
        <v>#REF!</v>
      </c>
      <c r="AI29" t="e">
        <f>AND(#REF!,"AAAAAF/7fyI=")</f>
        <v>#REF!</v>
      </c>
      <c r="AJ29" t="e">
        <f>AND(#REF!,"AAAAAF/7fyM=")</f>
        <v>#REF!</v>
      </c>
      <c r="AK29" t="e">
        <f>AND(#REF!,"AAAAAF/7fyQ=")</f>
        <v>#REF!</v>
      </c>
      <c r="AL29" t="e">
        <f>AND(#REF!,"AAAAAF/7fyU=")</f>
        <v>#REF!</v>
      </c>
      <c r="AM29" t="e">
        <f>AND(#REF!,"AAAAAF/7fyY=")</f>
        <v>#REF!</v>
      </c>
      <c r="AN29" t="e">
        <f>AND(#REF!,"AAAAAF/7fyc=")</f>
        <v>#REF!</v>
      </c>
      <c r="AO29" t="e">
        <f>AND(#REF!,"AAAAAF/7fyg=")</f>
        <v>#REF!</v>
      </c>
      <c r="AP29" t="e">
        <f>AND(#REF!,"AAAAAF/7fyk=")</f>
        <v>#REF!</v>
      </c>
      <c r="AQ29" t="e">
        <f>AND(#REF!,"AAAAAF/7fyo=")</f>
        <v>#REF!</v>
      </c>
      <c r="AR29" t="e">
        <f>AND(#REF!,"AAAAAF/7fys=")</f>
        <v>#REF!</v>
      </c>
      <c r="AS29" t="e">
        <f>AND(#REF!,"AAAAAF/7fyw=")</f>
        <v>#REF!</v>
      </c>
      <c r="AT29" t="e">
        <f>AND(#REF!,"AAAAAF/7fy0=")</f>
        <v>#REF!</v>
      </c>
      <c r="AU29" t="e">
        <f>AND(#REF!,"AAAAAF/7fy4=")</f>
        <v>#REF!</v>
      </c>
      <c r="AV29" t="e">
        <f>AND(#REF!,"AAAAAF/7fy8=")</f>
        <v>#REF!</v>
      </c>
      <c r="AW29" t="e">
        <f>IF(#REF!,"AAAAAF/7fzA=",0)</f>
        <v>#REF!</v>
      </c>
      <c r="AX29" t="e">
        <f>AND(#REF!,"AAAAAF/7fzE=")</f>
        <v>#REF!</v>
      </c>
      <c r="AY29" t="e">
        <f>AND(#REF!,"AAAAAF/7fzI=")</f>
        <v>#REF!</v>
      </c>
      <c r="AZ29" t="e">
        <f>AND(#REF!,"AAAAAF/7fzM=")</f>
        <v>#REF!</v>
      </c>
      <c r="BA29" t="e">
        <f>AND(#REF!,"AAAAAF/7fzQ=")</f>
        <v>#REF!</v>
      </c>
      <c r="BB29" t="e">
        <f>AND(#REF!,"AAAAAF/7fzU=")</f>
        <v>#REF!</v>
      </c>
      <c r="BC29" t="e">
        <f>AND(#REF!,"AAAAAF/7fzY=")</f>
        <v>#REF!</v>
      </c>
      <c r="BD29" t="e">
        <f>AND(#REF!,"AAAAAF/7fzc=")</f>
        <v>#REF!</v>
      </c>
      <c r="BE29" t="e">
        <f>AND(#REF!,"AAAAAF/7fzg=")</f>
        <v>#REF!</v>
      </c>
      <c r="BF29" t="e">
        <f>AND(#REF!,"AAAAAF/7fzk=")</f>
        <v>#REF!</v>
      </c>
      <c r="BG29" t="e">
        <f>AND(#REF!,"AAAAAF/7fzo=")</f>
        <v>#REF!</v>
      </c>
      <c r="BH29" t="e">
        <f>AND(#REF!,"AAAAAF/7fzs=")</f>
        <v>#REF!</v>
      </c>
      <c r="BI29" t="e">
        <f>AND(#REF!,"AAAAAF/7fzw=")</f>
        <v>#REF!</v>
      </c>
      <c r="BJ29" t="e">
        <f>AND(#REF!,"AAAAAF/7fz0=")</f>
        <v>#REF!</v>
      </c>
      <c r="BK29" t="e">
        <f>AND(#REF!,"AAAAAF/7fz4=")</f>
        <v>#REF!</v>
      </c>
      <c r="BL29" t="e">
        <f>AND(#REF!,"AAAAAF/7fz8=")</f>
        <v>#REF!</v>
      </c>
      <c r="BM29" t="e">
        <f>AND(#REF!,"AAAAAF/7f0A=")</f>
        <v>#REF!</v>
      </c>
      <c r="BN29" t="e">
        <f>AND(#REF!,"AAAAAF/7f0E=")</f>
        <v>#REF!</v>
      </c>
      <c r="BO29" t="e">
        <f>AND(#REF!,"AAAAAF/7f0I=")</f>
        <v>#REF!</v>
      </c>
      <c r="BP29" t="e">
        <f>AND(#REF!,"AAAAAF/7f0M=")</f>
        <v>#REF!</v>
      </c>
      <c r="BQ29" t="e">
        <f>AND(#REF!,"AAAAAF/7f0Q=")</f>
        <v>#REF!</v>
      </c>
      <c r="BR29" t="e">
        <f>AND(#REF!,"AAAAAF/7f0U=")</f>
        <v>#REF!</v>
      </c>
      <c r="BS29" t="e">
        <f>AND(#REF!,"AAAAAF/7f0Y=")</f>
        <v>#REF!</v>
      </c>
      <c r="BT29" t="e">
        <f>AND(#REF!,"AAAAAF/7f0c=")</f>
        <v>#REF!</v>
      </c>
      <c r="BU29" t="e">
        <f>AND(#REF!,"AAAAAF/7f0g=")</f>
        <v>#REF!</v>
      </c>
      <c r="BV29" t="e">
        <f>AND(#REF!,"AAAAAF/7f0k=")</f>
        <v>#REF!</v>
      </c>
      <c r="BW29" t="e">
        <f>AND(#REF!,"AAAAAF/7f0o=")</f>
        <v>#REF!</v>
      </c>
      <c r="BX29" t="e">
        <f>AND(#REF!,"AAAAAF/7f0s=")</f>
        <v>#REF!</v>
      </c>
      <c r="BY29" t="e">
        <f>AND(#REF!,"AAAAAF/7f0w=")</f>
        <v>#REF!</v>
      </c>
      <c r="BZ29" t="e">
        <f>AND(#REF!,"AAAAAF/7f00=")</f>
        <v>#REF!</v>
      </c>
      <c r="CA29" t="e">
        <f>AND(#REF!,"AAAAAF/7f04=")</f>
        <v>#REF!</v>
      </c>
      <c r="CB29" t="e">
        <f>AND(#REF!,"AAAAAF/7f08=")</f>
        <v>#REF!</v>
      </c>
      <c r="CC29" t="e">
        <f>AND(#REF!,"AAAAAF/7f1A=")</f>
        <v>#REF!</v>
      </c>
      <c r="CD29" t="e">
        <f>AND(#REF!,"AAAAAF/7f1E=")</f>
        <v>#REF!</v>
      </c>
      <c r="CE29" t="e">
        <f>AND(#REF!,"AAAAAF/7f1I=")</f>
        <v>#REF!</v>
      </c>
      <c r="CF29" t="e">
        <f>AND(#REF!,"AAAAAF/7f1M=")</f>
        <v>#REF!</v>
      </c>
      <c r="CG29" t="e">
        <f>AND(#REF!,"AAAAAF/7f1Q=")</f>
        <v>#REF!</v>
      </c>
      <c r="CH29" t="e">
        <f>AND(#REF!,"AAAAAF/7f1U=")</f>
        <v>#REF!</v>
      </c>
      <c r="CI29" t="e">
        <f>AND(#REF!,"AAAAAF/7f1Y=")</f>
        <v>#REF!</v>
      </c>
      <c r="CJ29" t="e">
        <f>AND(#REF!,"AAAAAF/7f1c=")</f>
        <v>#REF!</v>
      </c>
      <c r="CK29" t="e">
        <f>AND(#REF!,"AAAAAF/7f1g=")</f>
        <v>#REF!</v>
      </c>
      <c r="CL29" t="e">
        <f>AND(#REF!,"AAAAAF/7f1k=")</f>
        <v>#REF!</v>
      </c>
      <c r="CM29" t="e">
        <f>AND(#REF!,"AAAAAF/7f1o=")</f>
        <v>#REF!</v>
      </c>
      <c r="CN29" t="e">
        <f>AND(#REF!,"AAAAAF/7f1s=")</f>
        <v>#REF!</v>
      </c>
      <c r="CO29" t="e">
        <f>IF(#REF!,"AAAAAF/7f1w=",0)</f>
        <v>#REF!</v>
      </c>
      <c r="CP29" t="e">
        <f>AND(#REF!,"AAAAAF/7f10=")</f>
        <v>#REF!</v>
      </c>
      <c r="CQ29" t="e">
        <f>AND(#REF!,"AAAAAF/7f14=")</f>
        <v>#REF!</v>
      </c>
      <c r="CR29" t="e">
        <f>AND(#REF!,"AAAAAF/7f18=")</f>
        <v>#REF!</v>
      </c>
      <c r="CS29" t="e">
        <f>AND(#REF!,"AAAAAF/7f2A=")</f>
        <v>#REF!</v>
      </c>
      <c r="CT29" t="e">
        <f>AND(#REF!,"AAAAAF/7f2E=")</f>
        <v>#REF!</v>
      </c>
      <c r="CU29" t="e">
        <f>AND(#REF!,"AAAAAF/7f2I=")</f>
        <v>#REF!</v>
      </c>
      <c r="CV29" t="e">
        <f>AND(#REF!,"AAAAAF/7f2M=")</f>
        <v>#REF!</v>
      </c>
      <c r="CW29" t="e">
        <f>AND(#REF!,"AAAAAF/7f2Q=")</f>
        <v>#REF!</v>
      </c>
      <c r="CX29" t="e">
        <f>AND(#REF!,"AAAAAF/7f2U=")</f>
        <v>#REF!</v>
      </c>
      <c r="CY29" t="e">
        <f>AND(#REF!,"AAAAAF/7f2Y=")</f>
        <v>#REF!</v>
      </c>
      <c r="CZ29" t="e">
        <f>AND(#REF!,"AAAAAF/7f2c=")</f>
        <v>#REF!</v>
      </c>
      <c r="DA29" t="e">
        <f>AND(#REF!,"AAAAAF/7f2g=")</f>
        <v>#REF!</v>
      </c>
      <c r="DB29" t="e">
        <f>AND(#REF!,"AAAAAF/7f2k=")</f>
        <v>#REF!</v>
      </c>
      <c r="DC29" t="e">
        <f>AND(#REF!,"AAAAAF/7f2o=")</f>
        <v>#REF!</v>
      </c>
      <c r="DD29" t="e">
        <f>AND(#REF!,"AAAAAF/7f2s=")</f>
        <v>#REF!</v>
      </c>
      <c r="DE29" t="e">
        <f>AND(#REF!,"AAAAAF/7f2w=")</f>
        <v>#REF!</v>
      </c>
      <c r="DF29" t="e">
        <f>AND(#REF!,"AAAAAF/7f20=")</f>
        <v>#REF!</v>
      </c>
      <c r="DG29" t="e">
        <f>AND(#REF!,"AAAAAF/7f24=")</f>
        <v>#REF!</v>
      </c>
      <c r="DH29" t="e">
        <f>AND(#REF!,"AAAAAF/7f28=")</f>
        <v>#REF!</v>
      </c>
      <c r="DI29" t="e">
        <f>AND(#REF!,"AAAAAF/7f3A=")</f>
        <v>#REF!</v>
      </c>
      <c r="DJ29" t="e">
        <f>AND(#REF!,"AAAAAF/7f3E=")</f>
        <v>#REF!</v>
      </c>
      <c r="DK29" t="e">
        <f>AND(#REF!,"AAAAAF/7f3I=")</f>
        <v>#REF!</v>
      </c>
      <c r="DL29" t="e">
        <f>AND(#REF!,"AAAAAF/7f3M=")</f>
        <v>#REF!</v>
      </c>
      <c r="DM29" t="e">
        <f>AND(#REF!,"AAAAAF/7f3Q=")</f>
        <v>#REF!</v>
      </c>
      <c r="DN29" t="e">
        <f>AND(#REF!,"AAAAAF/7f3U=")</f>
        <v>#REF!</v>
      </c>
      <c r="DO29" t="e">
        <f>AND(#REF!,"AAAAAF/7f3Y=")</f>
        <v>#REF!</v>
      </c>
      <c r="DP29" t="e">
        <f>AND(#REF!,"AAAAAF/7f3c=")</f>
        <v>#REF!</v>
      </c>
      <c r="DQ29" t="e">
        <f>AND(#REF!,"AAAAAF/7f3g=")</f>
        <v>#REF!</v>
      </c>
      <c r="DR29" t="e">
        <f>AND(#REF!,"AAAAAF/7f3k=")</f>
        <v>#REF!</v>
      </c>
      <c r="DS29" t="e">
        <f>AND(#REF!,"AAAAAF/7f3o=")</f>
        <v>#REF!</v>
      </c>
      <c r="DT29" t="e">
        <f>AND(#REF!,"AAAAAF/7f3s=")</f>
        <v>#REF!</v>
      </c>
      <c r="DU29" t="e">
        <f>AND(#REF!,"AAAAAF/7f3w=")</f>
        <v>#REF!</v>
      </c>
      <c r="DV29" t="e">
        <f>AND(#REF!,"AAAAAF/7f30=")</f>
        <v>#REF!</v>
      </c>
      <c r="DW29" t="e">
        <f>AND(#REF!,"AAAAAF/7f34=")</f>
        <v>#REF!</v>
      </c>
      <c r="DX29" t="e">
        <f>AND(#REF!,"AAAAAF/7f38=")</f>
        <v>#REF!</v>
      </c>
      <c r="DY29" t="e">
        <f>AND(#REF!,"AAAAAF/7f4A=")</f>
        <v>#REF!</v>
      </c>
      <c r="DZ29" t="e">
        <f>AND(#REF!,"AAAAAF/7f4E=")</f>
        <v>#REF!</v>
      </c>
      <c r="EA29" t="e">
        <f>AND(#REF!,"AAAAAF/7f4I=")</f>
        <v>#REF!</v>
      </c>
      <c r="EB29" t="e">
        <f>AND(#REF!,"AAAAAF/7f4M=")</f>
        <v>#REF!</v>
      </c>
      <c r="EC29" t="e">
        <f>AND(#REF!,"AAAAAF/7f4Q=")</f>
        <v>#REF!</v>
      </c>
      <c r="ED29" t="e">
        <f>AND(#REF!,"AAAAAF/7f4U=")</f>
        <v>#REF!</v>
      </c>
      <c r="EE29" t="e">
        <f>AND(#REF!,"AAAAAF/7f4Y=")</f>
        <v>#REF!</v>
      </c>
      <c r="EF29" t="e">
        <f>AND(#REF!,"AAAAAF/7f4c=")</f>
        <v>#REF!</v>
      </c>
      <c r="EG29" t="e">
        <f>IF(#REF!,"AAAAAF/7f4g=",0)</f>
        <v>#REF!</v>
      </c>
      <c r="EH29" t="e">
        <f>AND(#REF!,"AAAAAF/7f4k=")</f>
        <v>#REF!</v>
      </c>
      <c r="EI29" t="e">
        <f>AND(#REF!,"AAAAAF/7f4o=")</f>
        <v>#REF!</v>
      </c>
      <c r="EJ29" t="e">
        <f>AND(#REF!,"AAAAAF/7f4s=")</f>
        <v>#REF!</v>
      </c>
      <c r="EK29" t="e">
        <f>AND(#REF!,"AAAAAF/7f4w=")</f>
        <v>#REF!</v>
      </c>
      <c r="EL29" t="e">
        <f>AND(#REF!,"AAAAAF/7f40=")</f>
        <v>#REF!</v>
      </c>
      <c r="EM29" t="e">
        <f>AND(#REF!,"AAAAAF/7f44=")</f>
        <v>#REF!</v>
      </c>
      <c r="EN29" t="e">
        <f>AND(#REF!,"AAAAAF/7f48=")</f>
        <v>#REF!</v>
      </c>
      <c r="EO29" t="e">
        <f>AND(#REF!,"AAAAAF/7f5A=")</f>
        <v>#REF!</v>
      </c>
      <c r="EP29" t="e">
        <f>AND(#REF!,"AAAAAF/7f5E=")</f>
        <v>#REF!</v>
      </c>
      <c r="EQ29" t="e">
        <f>AND(#REF!,"AAAAAF/7f5I=")</f>
        <v>#REF!</v>
      </c>
      <c r="ER29" t="e">
        <f>AND(#REF!,"AAAAAF/7f5M=")</f>
        <v>#REF!</v>
      </c>
      <c r="ES29" t="e">
        <f>AND(#REF!,"AAAAAF/7f5Q=")</f>
        <v>#REF!</v>
      </c>
      <c r="ET29" t="e">
        <f>AND(#REF!,"AAAAAF/7f5U=")</f>
        <v>#REF!</v>
      </c>
      <c r="EU29" t="e">
        <f>AND(#REF!,"AAAAAF/7f5Y=")</f>
        <v>#REF!</v>
      </c>
      <c r="EV29" t="e">
        <f>AND(#REF!,"AAAAAF/7f5c=")</f>
        <v>#REF!</v>
      </c>
      <c r="EW29" t="e">
        <f>AND(#REF!,"AAAAAF/7f5g=")</f>
        <v>#REF!</v>
      </c>
      <c r="EX29" t="e">
        <f>AND(#REF!,"AAAAAF/7f5k=")</f>
        <v>#REF!</v>
      </c>
      <c r="EY29" t="e">
        <f>AND(#REF!,"AAAAAF/7f5o=")</f>
        <v>#REF!</v>
      </c>
      <c r="EZ29" t="e">
        <f>AND(#REF!,"AAAAAF/7f5s=")</f>
        <v>#REF!</v>
      </c>
      <c r="FA29" t="e">
        <f>AND(#REF!,"AAAAAF/7f5w=")</f>
        <v>#REF!</v>
      </c>
      <c r="FB29" t="e">
        <f>AND(#REF!,"AAAAAF/7f50=")</f>
        <v>#REF!</v>
      </c>
      <c r="FC29" t="e">
        <f>AND(#REF!,"AAAAAF/7f54=")</f>
        <v>#REF!</v>
      </c>
      <c r="FD29" t="e">
        <f>AND(#REF!,"AAAAAF/7f58=")</f>
        <v>#REF!</v>
      </c>
      <c r="FE29" t="e">
        <f>AND(#REF!,"AAAAAF/7f6A=")</f>
        <v>#REF!</v>
      </c>
      <c r="FF29" t="e">
        <f>AND(#REF!,"AAAAAF/7f6E=")</f>
        <v>#REF!</v>
      </c>
      <c r="FG29" t="e">
        <f>AND(#REF!,"AAAAAF/7f6I=")</f>
        <v>#REF!</v>
      </c>
      <c r="FH29" t="e">
        <f>AND(#REF!,"AAAAAF/7f6M=")</f>
        <v>#REF!</v>
      </c>
      <c r="FI29" t="e">
        <f>AND(#REF!,"AAAAAF/7f6Q=")</f>
        <v>#REF!</v>
      </c>
      <c r="FJ29" t="e">
        <f>AND(#REF!,"AAAAAF/7f6U=")</f>
        <v>#REF!</v>
      </c>
      <c r="FK29" t="e">
        <f>AND(#REF!,"AAAAAF/7f6Y=")</f>
        <v>#REF!</v>
      </c>
      <c r="FL29" t="e">
        <f>AND(#REF!,"AAAAAF/7f6c=")</f>
        <v>#REF!</v>
      </c>
      <c r="FM29" t="e">
        <f>AND(#REF!,"AAAAAF/7f6g=")</f>
        <v>#REF!</v>
      </c>
      <c r="FN29" t="e">
        <f>AND(#REF!,"AAAAAF/7f6k=")</f>
        <v>#REF!</v>
      </c>
      <c r="FO29" t="e">
        <f>AND(#REF!,"AAAAAF/7f6o=")</f>
        <v>#REF!</v>
      </c>
      <c r="FP29" t="e">
        <f>AND(#REF!,"AAAAAF/7f6s=")</f>
        <v>#REF!</v>
      </c>
      <c r="FQ29" t="e">
        <f>AND(#REF!,"AAAAAF/7f6w=")</f>
        <v>#REF!</v>
      </c>
      <c r="FR29" t="e">
        <f>AND(#REF!,"AAAAAF/7f60=")</f>
        <v>#REF!</v>
      </c>
      <c r="FS29" t="e">
        <f>AND(#REF!,"AAAAAF/7f64=")</f>
        <v>#REF!</v>
      </c>
      <c r="FT29" t="e">
        <f>AND(#REF!,"AAAAAF/7f68=")</f>
        <v>#REF!</v>
      </c>
      <c r="FU29" t="e">
        <f>AND(#REF!,"AAAAAF/7f7A=")</f>
        <v>#REF!</v>
      </c>
      <c r="FV29" t="e">
        <f>AND(#REF!,"AAAAAF/7f7E=")</f>
        <v>#REF!</v>
      </c>
      <c r="FW29" t="e">
        <f>AND(#REF!,"AAAAAF/7f7I=")</f>
        <v>#REF!</v>
      </c>
      <c r="FX29" t="e">
        <f>AND(#REF!,"AAAAAF/7f7M=")</f>
        <v>#REF!</v>
      </c>
      <c r="FY29" t="e">
        <f>IF(#REF!,"AAAAAF/7f7Q=",0)</f>
        <v>#REF!</v>
      </c>
      <c r="FZ29" t="e">
        <f>AND(#REF!,"AAAAAF/7f7U=")</f>
        <v>#REF!</v>
      </c>
      <c r="GA29" t="e">
        <f>AND(#REF!,"AAAAAF/7f7Y=")</f>
        <v>#REF!</v>
      </c>
      <c r="GB29" t="e">
        <f>AND(#REF!,"AAAAAF/7f7c=")</f>
        <v>#REF!</v>
      </c>
      <c r="GC29" t="e">
        <f>AND(#REF!,"AAAAAF/7f7g=")</f>
        <v>#REF!</v>
      </c>
      <c r="GD29" t="e">
        <f>AND(#REF!,"AAAAAF/7f7k=")</f>
        <v>#REF!</v>
      </c>
      <c r="GE29" t="e">
        <f>AND(#REF!,"AAAAAF/7f7o=")</f>
        <v>#REF!</v>
      </c>
      <c r="GF29" t="e">
        <f>AND(#REF!,"AAAAAF/7f7s=")</f>
        <v>#REF!</v>
      </c>
      <c r="GG29" t="e">
        <f>AND(#REF!,"AAAAAF/7f7w=")</f>
        <v>#REF!</v>
      </c>
      <c r="GH29" t="e">
        <f>AND(#REF!,"AAAAAF/7f70=")</f>
        <v>#REF!</v>
      </c>
      <c r="GI29" t="e">
        <f>AND(#REF!,"AAAAAF/7f74=")</f>
        <v>#REF!</v>
      </c>
      <c r="GJ29" t="e">
        <f>AND(#REF!,"AAAAAF/7f78=")</f>
        <v>#REF!</v>
      </c>
      <c r="GK29" t="e">
        <f>AND(#REF!,"AAAAAF/7f8A=")</f>
        <v>#REF!</v>
      </c>
      <c r="GL29" t="e">
        <f>AND(#REF!,"AAAAAF/7f8E=")</f>
        <v>#REF!</v>
      </c>
      <c r="GM29" t="e">
        <f>AND(#REF!,"AAAAAF/7f8I=")</f>
        <v>#REF!</v>
      </c>
      <c r="GN29" t="e">
        <f>AND(#REF!,"AAAAAF/7f8M=")</f>
        <v>#REF!</v>
      </c>
      <c r="GO29" t="e">
        <f>AND(#REF!,"AAAAAF/7f8Q=")</f>
        <v>#REF!</v>
      </c>
      <c r="GP29" t="e">
        <f>AND(#REF!,"AAAAAF/7f8U=")</f>
        <v>#REF!</v>
      </c>
      <c r="GQ29" t="e">
        <f>AND(#REF!,"AAAAAF/7f8Y=")</f>
        <v>#REF!</v>
      </c>
      <c r="GR29" t="e">
        <f>AND(#REF!,"AAAAAF/7f8c=")</f>
        <v>#REF!</v>
      </c>
      <c r="GS29" t="e">
        <f>AND(#REF!,"AAAAAF/7f8g=")</f>
        <v>#REF!</v>
      </c>
      <c r="GT29" t="e">
        <f>AND(#REF!,"AAAAAF/7f8k=")</f>
        <v>#REF!</v>
      </c>
      <c r="GU29" t="e">
        <f>AND(#REF!,"AAAAAF/7f8o=")</f>
        <v>#REF!</v>
      </c>
      <c r="GV29" t="e">
        <f>AND(#REF!,"AAAAAF/7f8s=")</f>
        <v>#REF!</v>
      </c>
      <c r="GW29" t="e">
        <f>AND(#REF!,"AAAAAF/7f8w=")</f>
        <v>#REF!</v>
      </c>
      <c r="GX29" t="e">
        <f>AND(#REF!,"AAAAAF/7f80=")</f>
        <v>#REF!</v>
      </c>
      <c r="GY29" t="e">
        <f>AND(#REF!,"AAAAAF/7f84=")</f>
        <v>#REF!</v>
      </c>
      <c r="GZ29" t="e">
        <f>AND(#REF!,"AAAAAF/7f88=")</f>
        <v>#REF!</v>
      </c>
      <c r="HA29" t="e">
        <f>AND(#REF!,"AAAAAF/7f9A=")</f>
        <v>#REF!</v>
      </c>
      <c r="HB29" t="e">
        <f>AND(#REF!,"AAAAAF/7f9E=")</f>
        <v>#REF!</v>
      </c>
      <c r="HC29" t="e">
        <f>AND(#REF!,"AAAAAF/7f9I=")</f>
        <v>#REF!</v>
      </c>
      <c r="HD29" t="e">
        <f>AND(#REF!,"AAAAAF/7f9M=")</f>
        <v>#REF!</v>
      </c>
      <c r="HE29" t="e">
        <f>AND(#REF!,"AAAAAF/7f9Q=")</f>
        <v>#REF!</v>
      </c>
      <c r="HF29" t="e">
        <f>AND(#REF!,"AAAAAF/7f9U=")</f>
        <v>#REF!</v>
      </c>
      <c r="HG29" t="e">
        <f>AND(#REF!,"AAAAAF/7f9Y=")</f>
        <v>#REF!</v>
      </c>
      <c r="HH29" t="e">
        <f>AND(#REF!,"AAAAAF/7f9c=")</f>
        <v>#REF!</v>
      </c>
      <c r="HI29" t="e">
        <f>AND(#REF!,"AAAAAF/7f9g=")</f>
        <v>#REF!</v>
      </c>
      <c r="HJ29" t="e">
        <f>AND(#REF!,"AAAAAF/7f9k=")</f>
        <v>#REF!</v>
      </c>
      <c r="HK29" t="e">
        <f>AND(#REF!,"AAAAAF/7f9o=")</f>
        <v>#REF!</v>
      </c>
      <c r="HL29" t="e">
        <f>AND(#REF!,"AAAAAF/7f9s=")</f>
        <v>#REF!</v>
      </c>
      <c r="HM29" t="e">
        <f>AND(#REF!,"AAAAAF/7f9w=")</f>
        <v>#REF!</v>
      </c>
      <c r="HN29" t="e">
        <f>AND(#REF!,"AAAAAF/7f90=")</f>
        <v>#REF!</v>
      </c>
      <c r="HO29" t="e">
        <f>AND(#REF!,"AAAAAF/7f94=")</f>
        <v>#REF!</v>
      </c>
      <c r="HP29" t="e">
        <f>AND(#REF!,"AAAAAF/7f98=")</f>
        <v>#REF!</v>
      </c>
      <c r="HQ29" t="e">
        <f>IF(#REF!,"AAAAAF/7f+A=",0)</f>
        <v>#REF!</v>
      </c>
      <c r="HR29" t="e">
        <f>AND(#REF!,"AAAAAF/7f+E=")</f>
        <v>#REF!</v>
      </c>
      <c r="HS29" t="e">
        <f>AND(#REF!,"AAAAAF/7f+I=")</f>
        <v>#REF!</v>
      </c>
      <c r="HT29" t="e">
        <f>AND(#REF!,"AAAAAF/7f+M=")</f>
        <v>#REF!</v>
      </c>
      <c r="HU29" t="e">
        <f>AND(#REF!,"AAAAAF/7f+Q=")</f>
        <v>#REF!</v>
      </c>
      <c r="HV29" t="e">
        <f>AND(#REF!,"AAAAAF/7f+U=")</f>
        <v>#REF!</v>
      </c>
      <c r="HW29" t="e">
        <f>AND(#REF!,"AAAAAF/7f+Y=")</f>
        <v>#REF!</v>
      </c>
      <c r="HX29" t="e">
        <f>AND(#REF!,"AAAAAF/7f+c=")</f>
        <v>#REF!</v>
      </c>
      <c r="HY29" t="e">
        <f>AND(#REF!,"AAAAAF/7f+g=")</f>
        <v>#REF!</v>
      </c>
      <c r="HZ29" t="e">
        <f>AND(#REF!,"AAAAAF/7f+k=")</f>
        <v>#REF!</v>
      </c>
      <c r="IA29" t="e">
        <f>AND(#REF!,"AAAAAF/7f+o=")</f>
        <v>#REF!</v>
      </c>
      <c r="IB29" t="e">
        <f>AND(#REF!,"AAAAAF/7f+s=")</f>
        <v>#REF!</v>
      </c>
      <c r="IC29" t="e">
        <f>AND(#REF!,"AAAAAF/7f+w=")</f>
        <v>#REF!</v>
      </c>
      <c r="ID29" t="e">
        <f>AND(#REF!,"AAAAAF/7f+0=")</f>
        <v>#REF!</v>
      </c>
      <c r="IE29" t="e">
        <f>AND(#REF!,"AAAAAF/7f+4=")</f>
        <v>#REF!</v>
      </c>
      <c r="IF29" t="e">
        <f>AND(#REF!,"AAAAAF/7f+8=")</f>
        <v>#REF!</v>
      </c>
      <c r="IG29" t="e">
        <f>AND(#REF!,"AAAAAF/7f/A=")</f>
        <v>#REF!</v>
      </c>
      <c r="IH29" t="e">
        <f>AND(#REF!,"AAAAAF/7f/E=")</f>
        <v>#REF!</v>
      </c>
      <c r="II29" t="e">
        <f>AND(#REF!,"AAAAAF/7f/I=")</f>
        <v>#REF!</v>
      </c>
      <c r="IJ29" t="e">
        <f>AND(#REF!,"AAAAAF/7f/M=")</f>
        <v>#REF!</v>
      </c>
      <c r="IK29" t="e">
        <f>AND(#REF!,"AAAAAF/7f/Q=")</f>
        <v>#REF!</v>
      </c>
      <c r="IL29" t="e">
        <f>AND(#REF!,"AAAAAF/7f/U=")</f>
        <v>#REF!</v>
      </c>
      <c r="IM29" t="e">
        <f>AND(#REF!,"AAAAAF/7f/Y=")</f>
        <v>#REF!</v>
      </c>
      <c r="IN29" t="e">
        <f>AND(#REF!,"AAAAAF/7f/c=")</f>
        <v>#REF!</v>
      </c>
      <c r="IO29" t="e">
        <f>AND(#REF!,"AAAAAF/7f/g=")</f>
        <v>#REF!</v>
      </c>
      <c r="IP29" t="e">
        <f>AND(#REF!,"AAAAAF/7f/k=")</f>
        <v>#REF!</v>
      </c>
      <c r="IQ29" t="e">
        <f>AND(#REF!,"AAAAAF/7f/o=")</f>
        <v>#REF!</v>
      </c>
      <c r="IR29" t="e">
        <f>AND(#REF!,"AAAAAF/7f/s=")</f>
        <v>#REF!</v>
      </c>
      <c r="IS29" t="e">
        <f>AND(#REF!,"AAAAAF/7f/w=")</f>
        <v>#REF!</v>
      </c>
      <c r="IT29" t="e">
        <f>AND(#REF!,"AAAAAF/7f/0=")</f>
        <v>#REF!</v>
      </c>
      <c r="IU29" t="e">
        <f>AND(#REF!,"AAAAAF/7f/4=")</f>
        <v>#REF!</v>
      </c>
      <c r="IV29" t="e">
        <f>AND(#REF!,"AAAAAF/7f/8=")</f>
        <v>#REF!</v>
      </c>
    </row>
    <row r="30" spans="1:256" x14ac:dyDescent="0.25">
      <c r="A30" t="e">
        <f>AND(#REF!,"AAAAAH/71AA=")</f>
        <v>#REF!</v>
      </c>
      <c r="B30" t="e">
        <f>AND(#REF!,"AAAAAH/71AE=")</f>
        <v>#REF!</v>
      </c>
      <c r="C30" t="e">
        <f>AND(#REF!,"AAAAAH/71AI=")</f>
        <v>#REF!</v>
      </c>
      <c r="D30" t="e">
        <f>AND(#REF!,"AAAAAH/71AM=")</f>
        <v>#REF!</v>
      </c>
      <c r="E30" t="e">
        <f>AND(#REF!,"AAAAAH/71AQ=")</f>
        <v>#REF!</v>
      </c>
      <c r="F30" t="e">
        <f>AND(#REF!,"AAAAAH/71AU=")</f>
        <v>#REF!</v>
      </c>
      <c r="G30" t="e">
        <f>AND(#REF!,"AAAAAH/71AY=")</f>
        <v>#REF!</v>
      </c>
      <c r="H30" t="e">
        <f>AND(#REF!,"AAAAAH/71Ac=")</f>
        <v>#REF!</v>
      </c>
      <c r="I30" t="e">
        <f>AND(#REF!,"AAAAAH/71Ag=")</f>
        <v>#REF!</v>
      </c>
      <c r="J30" t="e">
        <f>AND(#REF!,"AAAAAH/71Ak=")</f>
        <v>#REF!</v>
      </c>
      <c r="K30" t="e">
        <f>AND(#REF!,"AAAAAH/71Ao=")</f>
        <v>#REF!</v>
      </c>
      <c r="L30" t="e">
        <f>AND(#REF!,"AAAAAH/71As=")</f>
        <v>#REF!</v>
      </c>
      <c r="M30" t="e">
        <f>IF(#REF!,"AAAAAH/71Aw=",0)</f>
        <v>#REF!</v>
      </c>
      <c r="N30" t="e">
        <f>AND(#REF!,"AAAAAH/71A0=")</f>
        <v>#REF!</v>
      </c>
      <c r="O30" t="e">
        <f>AND(#REF!,"AAAAAH/71A4=")</f>
        <v>#REF!</v>
      </c>
      <c r="P30" t="e">
        <f>AND(#REF!,"AAAAAH/71A8=")</f>
        <v>#REF!</v>
      </c>
      <c r="Q30" t="e">
        <f>AND(#REF!,"AAAAAH/71BA=")</f>
        <v>#REF!</v>
      </c>
      <c r="R30" t="e">
        <f>AND(#REF!,"AAAAAH/71BE=")</f>
        <v>#REF!</v>
      </c>
      <c r="S30" t="e">
        <f>AND(#REF!,"AAAAAH/71BI=")</f>
        <v>#REF!</v>
      </c>
      <c r="T30" t="e">
        <f>AND(#REF!,"AAAAAH/71BM=")</f>
        <v>#REF!</v>
      </c>
      <c r="U30" t="e">
        <f>AND(#REF!,"AAAAAH/71BQ=")</f>
        <v>#REF!</v>
      </c>
      <c r="V30" t="e">
        <f>AND(#REF!,"AAAAAH/71BU=")</f>
        <v>#REF!</v>
      </c>
      <c r="W30" t="e">
        <f>AND(#REF!,"AAAAAH/71BY=")</f>
        <v>#REF!</v>
      </c>
      <c r="X30" t="e">
        <f>AND(#REF!,"AAAAAH/71Bc=")</f>
        <v>#REF!</v>
      </c>
      <c r="Y30" t="e">
        <f>AND(#REF!,"AAAAAH/71Bg=")</f>
        <v>#REF!</v>
      </c>
      <c r="Z30" t="e">
        <f>AND(#REF!,"AAAAAH/71Bk=")</f>
        <v>#REF!</v>
      </c>
      <c r="AA30" t="e">
        <f>AND(#REF!,"AAAAAH/71Bo=")</f>
        <v>#REF!</v>
      </c>
      <c r="AB30" t="e">
        <f>AND(#REF!,"AAAAAH/71Bs=")</f>
        <v>#REF!</v>
      </c>
      <c r="AC30" t="e">
        <f>AND(#REF!,"AAAAAH/71Bw=")</f>
        <v>#REF!</v>
      </c>
      <c r="AD30" t="e">
        <f>AND(#REF!,"AAAAAH/71B0=")</f>
        <v>#REF!</v>
      </c>
      <c r="AE30" t="e">
        <f>AND(#REF!,"AAAAAH/71B4=")</f>
        <v>#REF!</v>
      </c>
      <c r="AF30" t="e">
        <f>AND(#REF!,"AAAAAH/71B8=")</f>
        <v>#REF!</v>
      </c>
      <c r="AG30" t="e">
        <f>AND(#REF!,"AAAAAH/71CA=")</f>
        <v>#REF!</v>
      </c>
      <c r="AH30" t="e">
        <f>AND(#REF!,"AAAAAH/71CE=")</f>
        <v>#REF!</v>
      </c>
      <c r="AI30" t="e">
        <f>AND(#REF!,"AAAAAH/71CI=")</f>
        <v>#REF!</v>
      </c>
      <c r="AJ30" t="e">
        <f>AND(#REF!,"AAAAAH/71CM=")</f>
        <v>#REF!</v>
      </c>
      <c r="AK30" t="e">
        <f>AND(#REF!,"AAAAAH/71CQ=")</f>
        <v>#REF!</v>
      </c>
      <c r="AL30" t="e">
        <f>AND(#REF!,"AAAAAH/71CU=")</f>
        <v>#REF!</v>
      </c>
      <c r="AM30" t="e">
        <f>AND(#REF!,"AAAAAH/71CY=")</f>
        <v>#REF!</v>
      </c>
      <c r="AN30" t="e">
        <f>AND(#REF!,"AAAAAH/71Cc=")</f>
        <v>#REF!</v>
      </c>
      <c r="AO30" t="e">
        <f>AND(#REF!,"AAAAAH/71Cg=")</f>
        <v>#REF!</v>
      </c>
      <c r="AP30" t="e">
        <f>AND(#REF!,"AAAAAH/71Ck=")</f>
        <v>#REF!</v>
      </c>
      <c r="AQ30" t="e">
        <f>AND(#REF!,"AAAAAH/71Co=")</f>
        <v>#REF!</v>
      </c>
      <c r="AR30" t="e">
        <f>AND(#REF!,"AAAAAH/71Cs=")</f>
        <v>#REF!</v>
      </c>
      <c r="AS30" t="e">
        <f>AND(#REF!,"AAAAAH/71Cw=")</f>
        <v>#REF!</v>
      </c>
      <c r="AT30" t="e">
        <f>AND(#REF!,"AAAAAH/71C0=")</f>
        <v>#REF!</v>
      </c>
      <c r="AU30" t="e">
        <f>AND(#REF!,"AAAAAH/71C4=")</f>
        <v>#REF!</v>
      </c>
      <c r="AV30" t="e">
        <f>AND(#REF!,"AAAAAH/71C8=")</f>
        <v>#REF!</v>
      </c>
      <c r="AW30" t="e">
        <f>AND(#REF!,"AAAAAH/71DA=")</f>
        <v>#REF!</v>
      </c>
      <c r="AX30" t="e">
        <f>AND(#REF!,"AAAAAH/71DE=")</f>
        <v>#REF!</v>
      </c>
      <c r="AY30" t="e">
        <f>AND(#REF!,"AAAAAH/71DI=")</f>
        <v>#REF!</v>
      </c>
      <c r="AZ30" t="e">
        <f>AND(#REF!,"AAAAAH/71DM=")</f>
        <v>#REF!</v>
      </c>
      <c r="BA30" t="e">
        <f>AND(#REF!,"AAAAAH/71DQ=")</f>
        <v>#REF!</v>
      </c>
      <c r="BB30" t="e">
        <f>AND(#REF!,"AAAAAH/71DU=")</f>
        <v>#REF!</v>
      </c>
      <c r="BC30" t="e">
        <f>AND(#REF!,"AAAAAH/71DY=")</f>
        <v>#REF!</v>
      </c>
      <c r="BD30" t="e">
        <f>AND(#REF!,"AAAAAH/71Dc=")</f>
        <v>#REF!</v>
      </c>
      <c r="BE30" t="e">
        <f>IF(#REF!,"AAAAAH/71Dg=",0)</f>
        <v>#REF!</v>
      </c>
      <c r="BF30" t="e">
        <f>AND(#REF!,"AAAAAH/71Dk=")</f>
        <v>#REF!</v>
      </c>
      <c r="BG30" t="e">
        <f>AND(#REF!,"AAAAAH/71Do=")</f>
        <v>#REF!</v>
      </c>
      <c r="BH30" t="e">
        <f>AND(#REF!,"AAAAAH/71Ds=")</f>
        <v>#REF!</v>
      </c>
      <c r="BI30" t="e">
        <f>AND(#REF!,"AAAAAH/71Dw=")</f>
        <v>#REF!</v>
      </c>
      <c r="BJ30" t="e">
        <f>AND(#REF!,"AAAAAH/71D0=")</f>
        <v>#REF!</v>
      </c>
      <c r="BK30" t="e">
        <f>AND(#REF!,"AAAAAH/71D4=")</f>
        <v>#REF!</v>
      </c>
      <c r="BL30" t="e">
        <f>AND(#REF!,"AAAAAH/71D8=")</f>
        <v>#REF!</v>
      </c>
      <c r="BM30" t="e">
        <f>AND(#REF!,"AAAAAH/71EA=")</f>
        <v>#REF!</v>
      </c>
      <c r="BN30" t="e">
        <f>AND(#REF!,"AAAAAH/71EE=")</f>
        <v>#REF!</v>
      </c>
      <c r="BO30" t="e">
        <f>AND(#REF!,"AAAAAH/71EI=")</f>
        <v>#REF!</v>
      </c>
      <c r="BP30" t="e">
        <f>AND(#REF!,"AAAAAH/71EM=")</f>
        <v>#REF!</v>
      </c>
      <c r="BQ30" t="e">
        <f>AND(#REF!,"AAAAAH/71EQ=")</f>
        <v>#REF!</v>
      </c>
      <c r="BR30" t="e">
        <f>AND(#REF!,"AAAAAH/71EU=")</f>
        <v>#REF!</v>
      </c>
      <c r="BS30" t="e">
        <f>AND(#REF!,"AAAAAH/71EY=")</f>
        <v>#REF!</v>
      </c>
      <c r="BT30" t="e">
        <f>AND(#REF!,"AAAAAH/71Ec=")</f>
        <v>#REF!</v>
      </c>
      <c r="BU30" t="e">
        <f>AND(#REF!,"AAAAAH/71Eg=")</f>
        <v>#REF!</v>
      </c>
      <c r="BV30" t="e">
        <f>AND(#REF!,"AAAAAH/71Ek=")</f>
        <v>#REF!</v>
      </c>
      <c r="BW30" t="e">
        <f>AND(#REF!,"AAAAAH/71Eo=")</f>
        <v>#REF!</v>
      </c>
      <c r="BX30" t="e">
        <f>AND(#REF!,"AAAAAH/71Es=")</f>
        <v>#REF!</v>
      </c>
      <c r="BY30" t="e">
        <f>AND(#REF!,"AAAAAH/71Ew=")</f>
        <v>#REF!</v>
      </c>
      <c r="BZ30" t="e">
        <f>AND(#REF!,"AAAAAH/71E0=")</f>
        <v>#REF!</v>
      </c>
      <c r="CA30" t="e">
        <f>AND(#REF!,"AAAAAH/71E4=")</f>
        <v>#REF!</v>
      </c>
      <c r="CB30" t="e">
        <f>AND(#REF!,"AAAAAH/71E8=")</f>
        <v>#REF!</v>
      </c>
      <c r="CC30" t="e">
        <f>AND(#REF!,"AAAAAH/71FA=")</f>
        <v>#REF!</v>
      </c>
      <c r="CD30" t="e">
        <f>AND(#REF!,"AAAAAH/71FE=")</f>
        <v>#REF!</v>
      </c>
      <c r="CE30" t="e">
        <f>AND(#REF!,"AAAAAH/71FI=")</f>
        <v>#REF!</v>
      </c>
      <c r="CF30" t="e">
        <f>AND(#REF!,"AAAAAH/71FM=")</f>
        <v>#REF!</v>
      </c>
      <c r="CG30" t="e">
        <f>AND(#REF!,"AAAAAH/71FQ=")</f>
        <v>#REF!</v>
      </c>
      <c r="CH30" t="e">
        <f>AND(#REF!,"AAAAAH/71FU=")</f>
        <v>#REF!</v>
      </c>
      <c r="CI30" t="e">
        <f>AND(#REF!,"AAAAAH/71FY=")</f>
        <v>#REF!</v>
      </c>
      <c r="CJ30" t="e">
        <f>AND(#REF!,"AAAAAH/71Fc=")</f>
        <v>#REF!</v>
      </c>
      <c r="CK30" t="e">
        <f>AND(#REF!,"AAAAAH/71Fg=")</f>
        <v>#REF!</v>
      </c>
      <c r="CL30" t="e">
        <f>AND(#REF!,"AAAAAH/71Fk=")</f>
        <v>#REF!</v>
      </c>
      <c r="CM30" t="e">
        <f>AND(#REF!,"AAAAAH/71Fo=")</f>
        <v>#REF!</v>
      </c>
      <c r="CN30" t="e">
        <f>AND(#REF!,"AAAAAH/71Fs=")</f>
        <v>#REF!</v>
      </c>
      <c r="CO30" t="e">
        <f>AND(#REF!,"AAAAAH/71Fw=")</f>
        <v>#REF!</v>
      </c>
      <c r="CP30" t="e">
        <f>AND(#REF!,"AAAAAH/71F0=")</f>
        <v>#REF!</v>
      </c>
      <c r="CQ30" t="e">
        <f>AND(#REF!,"AAAAAH/71F4=")</f>
        <v>#REF!</v>
      </c>
      <c r="CR30" t="e">
        <f>AND(#REF!,"AAAAAH/71F8=")</f>
        <v>#REF!</v>
      </c>
      <c r="CS30" t="e">
        <f>AND(#REF!,"AAAAAH/71GA=")</f>
        <v>#REF!</v>
      </c>
      <c r="CT30" t="e">
        <f>AND(#REF!,"AAAAAH/71GE=")</f>
        <v>#REF!</v>
      </c>
      <c r="CU30" t="e">
        <f>AND(#REF!,"AAAAAH/71GI=")</f>
        <v>#REF!</v>
      </c>
      <c r="CV30" t="e">
        <f>AND(#REF!,"AAAAAH/71GM=")</f>
        <v>#REF!</v>
      </c>
      <c r="CW30" t="e">
        <f>IF(#REF!,"AAAAAH/71GQ=",0)</f>
        <v>#REF!</v>
      </c>
      <c r="CX30" t="e">
        <f>AND(#REF!,"AAAAAH/71GU=")</f>
        <v>#REF!</v>
      </c>
      <c r="CY30" t="e">
        <f>AND(#REF!,"AAAAAH/71GY=")</f>
        <v>#REF!</v>
      </c>
      <c r="CZ30" t="e">
        <f>AND(#REF!,"AAAAAH/71Gc=")</f>
        <v>#REF!</v>
      </c>
      <c r="DA30" t="e">
        <f>AND(#REF!,"AAAAAH/71Gg=")</f>
        <v>#REF!</v>
      </c>
      <c r="DB30" t="e">
        <f>AND(#REF!,"AAAAAH/71Gk=")</f>
        <v>#REF!</v>
      </c>
      <c r="DC30" t="e">
        <f>AND(#REF!,"AAAAAH/71Go=")</f>
        <v>#REF!</v>
      </c>
      <c r="DD30" t="e">
        <f>AND(#REF!,"AAAAAH/71Gs=")</f>
        <v>#REF!</v>
      </c>
      <c r="DE30" t="e">
        <f>AND(#REF!,"AAAAAH/71Gw=")</f>
        <v>#REF!</v>
      </c>
      <c r="DF30" t="e">
        <f>AND(#REF!,"AAAAAH/71G0=")</f>
        <v>#REF!</v>
      </c>
      <c r="DG30" t="e">
        <f>AND(#REF!,"AAAAAH/71G4=")</f>
        <v>#REF!</v>
      </c>
      <c r="DH30" t="e">
        <f>AND(#REF!,"AAAAAH/71G8=")</f>
        <v>#REF!</v>
      </c>
      <c r="DI30" t="e">
        <f>AND(#REF!,"AAAAAH/71HA=")</f>
        <v>#REF!</v>
      </c>
      <c r="DJ30" t="e">
        <f>AND(#REF!,"AAAAAH/71HE=")</f>
        <v>#REF!</v>
      </c>
      <c r="DK30" t="e">
        <f>AND(#REF!,"AAAAAH/71HI=")</f>
        <v>#REF!</v>
      </c>
      <c r="DL30" t="e">
        <f>AND(#REF!,"AAAAAH/71HM=")</f>
        <v>#REF!</v>
      </c>
      <c r="DM30" t="e">
        <f>AND(#REF!,"AAAAAH/71HQ=")</f>
        <v>#REF!</v>
      </c>
      <c r="DN30" t="e">
        <f>AND(#REF!,"AAAAAH/71HU=")</f>
        <v>#REF!</v>
      </c>
      <c r="DO30" t="e">
        <f>AND(#REF!,"AAAAAH/71HY=")</f>
        <v>#REF!</v>
      </c>
      <c r="DP30" t="e">
        <f>AND(#REF!,"AAAAAH/71Hc=")</f>
        <v>#REF!</v>
      </c>
      <c r="DQ30" t="e">
        <f>AND(#REF!,"AAAAAH/71Hg=")</f>
        <v>#REF!</v>
      </c>
      <c r="DR30" t="e">
        <f>AND(#REF!,"AAAAAH/71Hk=")</f>
        <v>#REF!</v>
      </c>
      <c r="DS30" t="e">
        <f>AND(#REF!,"AAAAAH/71Ho=")</f>
        <v>#REF!</v>
      </c>
      <c r="DT30" t="e">
        <f>AND(#REF!,"AAAAAH/71Hs=")</f>
        <v>#REF!</v>
      </c>
      <c r="DU30" t="e">
        <f>AND(#REF!,"AAAAAH/71Hw=")</f>
        <v>#REF!</v>
      </c>
      <c r="DV30" t="e">
        <f>AND(#REF!,"AAAAAH/71H0=")</f>
        <v>#REF!</v>
      </c>
      <c r="DW30" t="e">
        <f>AND(#REF!,"AAAAAH/71H4=")</f>
        <v>#REF!</v>
      </c>
      <c r="DX30" t="e">
        <f>AND(#REF!,"AAAAAH/71H8=")</f>
        <v>#REF!</v>
      </c>
      <c r="DY30" t="e">
        <f>AND(#REF!,"AAAAAH/71IA=")</f>
        <v>#REF!</v>
      </c>
      <c r="DZ30" t="e">
        <f>AND(#REF!,"AAAAAH/71IE=")</f>
        <v>#REF!</v>
      </c>
      <c r="EA30" t="e">
        <f>AND(#REF!,"AAAAAH/71II=")</f>
        <v>#REF!</v>
      </c>
      <c r="EB30" t="e">
        <f>AND(#REF!,"AAAAAH/71IM=")</f>
        <v>#REF!</v>
      </c>
      <c r="EC30" t="e">
        <f>AND(#REF!,"AAAAAH/71IQ=")</f>
        <v>#REF!</v>
      </c>
      <c r="ED30" t="e">
        <f>AND(#REF!,"AAAAAH/71IU=")</f>
        <v>#REF!</v>
      </c>
      <c r="EE30" t="e">
        <f>AND(#REF!,"AAAAAH/71IY=")</f>
        <v>#REF!</v>
      </c>
      <c r="EF30" t="e">
        <f>AND(#REF!,"AAAAAH/71Ic=")</f>
        <v>#REF!</v>
      </c>
      <c r="EG30" t="e">
        <f>AND(#REF!,"AAAAAH/71Ig=")</f>
        <v>#REF!</v>
      </c>
      <c r="EH30" t="e">
        <f>AND(#REF!,"AAAAAH/71Ik=")</f>
        <v>#REF!</v>
      </c>
      <c r="EI30" t="e">
        <f>AND(#REF!,"AAAAAH/71Io=")</f>
        <v>#REF!</v>
      </c>
      <c r="EJ30" t="e">
        <f>AND(#REF!,"AAAAAH/71Is=")</f>
        <v>#REF!</v>
      </c>
      <c r="EK30" t="e">
        <f>AND(#REF!,"AAAAAH/71Iw=")</f>
        <v>#REF!</v>
      </c>
      <c r="EL30" t="e">
        <f>AND(#REF!,"AAAAAH/71I0=")</f>
        <v>#REF!</v>
      </c>
      <c r="EM30" t="e">
        <f>AND(#REF!,"AAAAAH/71I4=")</f>
        <v>#REF!</v>
      </c>
      <c r="EN30" t="e">
        <f>AND(#REF!,"AAAAAH/71I8=")</f>
        <v>#REF!</v>
      </c>
      <c r="EO30" t="e">
        <f>IF(#REF!,"AAAAAH/71JA=",0)</f>
        <v>#REF!</v>
      </c>
      <c r="EP30" t="e">
        <f>AND(#REF!,"AAAAAH/71JE=")</f>
        <v>#REF!</v>
      </c>
      <c r="EQ30" t="e">
        <f>AND(#REF!,"AAAAAH/71JI=")</f>
        <v>#REF!</v>
      </c>
      <c r="ER30" t="e">
        <f>AND(#REF!,"AAAAAH/71JM=")</f>
        <v>#REF!</v>
      </c>
      <c r="ES30" t="e">
        <f>AND(#REF!,"AAAAAH/71JQ=")</f>
        <v>#REF!</v>
      </c>
      <c r="ET30" t="e">
        <f>AND(#REF!,"AAAAAH/71JU=")</f>
        <v>#REF!</v>
      </c>
      <c r="EU30" t="e">
        <f>AND(#REF!,"AAAAAH/71JY=")</f>
        <v>#REF!</v>
      </c>
      <c r="EV30" t="e">
        <f>AND(#REF!,"AAAAAH/71Jc=")</f>
        <v>#REF!</v>
      </c>
      <c r="EW30" t="e">
        <f>AND(#REF!,"AAAAAH/71Jg=")</f>
        <v>#REF!</v>
      </c>
      <c r="EX30" t="e">
        <f>AND(#REF!,"AAAAAH/71Jk=")</f>
        <v>#REF!</v>
      </c>
      <c r="EY30" t="e">
        <f>AND(#REF!,"AAAAAH/71Jo=")</f>
        <v>#REF!</v>
      </c>
      <c r="EZ30" t="e">
        <f>AND(#REF!,"AAAAAH/71Js=")</f>
        <v>#REF!</v>
      </c>
      <c r="FA30" t="e">
        <f>AND(#REF!,"AAAAAH/71Jw=")</f>
        <v>#REF!</v>
      </c>
      <c r="FB30" t="e">
        <f>AND(#REF!,"AAAAAH/71J0=")</f>
        <v>#REF!</v>
      </c>
      <c r="FC30" t="e">
        <f>AND(#REF!,"AAAAAH/71J4=")</f>
        <v>#REF!</v>
      </c>
      <c r="FD30" t="e">
        <f>AND(#REF!,"AAAAAH/71J8=")</f>
        <v>#REF!</v>
      </c>
      <c r="FE30" t="e">
        <f>AND(#REF!,"AAAAAH/71KA=")</f>
        <v>#REF!</v>
      </c>
      <c r="FF30" t="e">
        <f>AND(#REF!,"AAAAAH/71KE=")</f>
        <v>#REF!</v>
      </c>
      <c r="FG30" t="e">
        <f>AND(#REF!,"AAAAAH/71KI=")</f>
        <v>#REF!</v>
      </c>
      <c r="FH30" t="e">
        <f>AND(#REF!,"AAAAAH/71KM=")</f>
        <v>#REF!</v>
      </c>
      <c r="FI30" t="e">
        <f>AND(#REF!,"AAAAAH/71KQ=")</f>
        <v>#REF!</v>
      </c>
      <c r="FJ30" t="e">
        <f>AND(#REF!,"AAAAAH/71KU=")</f>
        <v>#REF!</v>
      </c>
      <c r="FK30" t="e">
        <f>AND(#REF!,"AAAAAH/71KY=")</f>
        <v>#REF!</v>
      </c>
      <c r="FL30" t="e">
        <f>AND(#REF!,"AAAAAH/71Kc=")</f>
        <v>#REF!</v>
      </c>
      <c r="FM30" t="e">
        <f>AND(#REF!,"AAAAAH/71Kg=")</f>
        <v>#REF!</v>
      </c>
      <c r="FN30" t="e">
        <f>AND(#REF!,"AAAAAH/71Kk=")</f>
        <v>#REF!</v>
      </c>
      <c r="FO30" t="e">
        <f>AND(#REF!,"AAAAAH/71Ko=")</f>
        <v>#REF!</v>
      </c>
      <c r="FP30" t="e">
        <f>AND(#REF!,"AAAAAH/71Ks=")</f>
        <v>#REF!</v>
      </c>
      <c r="FQ30" t="e">
        <f>AND(#REF!,"AAAAAH/71Kw=")</f>
        <v>#REF!</v>
      </c>
      <c r="FR30" t="e">
        <f>AND(#REF!,"AAAAAH/71K0=")</f>
        <v>#REF!</v>
      </c>
      <c r="FS30" t="e">
        <f>AND(#REF!,"AAAAAH/71K4=")</f>
        <v>#REF!</v>
      </c>
      <c r="FT30" t="e">
        <f>AND(#REF!,"AAAAAH/71K8=")</f>
        <v>#REF!</v>
      </c>
      <c r="FU30" t="e">
        <f>AND(#REF!,"AAAAAH/71LA=")</f>
        <v>#REF!</v>
      </c>
      <c r="FV30" t="e">
        <f>AND(#REF!,"AAAAAH/71LE=")</f>
        <v>#REF!</v>
      </c>
      <c r="FW30" t="e">
        <f>AND(#REF!,"AAAAAH/71LI=")</f>
        <v>#REF!</v>
      </c>
      <c r="FX30" t="e">
        <f>AND(#REF!,"AAAAAH/71LM=")</f>
        <v>#REF!</v>
      </c>
      <c r="FY30" t="e">
        <f>AND(#REF!,"AAAAAH/71LQ=")</f>
        <v>#REF!</v>
      </c>
      <c r="FZ30" t="e">
        <f>AND(#REF!,"AAAAAH/71LU=")</f>
        <v>#REF!</v>
      </c>
      <c r="GA30" t="e">
        <f>AND(#REF!,"AAAAAH/71LY=")</f>
        <v>#REF!</v>
      </c>
      <c r="GB30" t="e">
        <f>AND(#REF!,"AAAAAH/71Lc=")</f>
        <v>#REF!</v>
      </c>
      <c r="GC30" t="e">
        <f>AND(#REF!,"AAAAAH/71Lg=")</f>
        <v>#REF!</v>
      </c>
      <c r="GD30" t="e">
        <f>AND(#REF!,"AAAAAH/71Lk=")</f>
        <v>#REF!</v>
      </c>
      <c r="GE30" t="e">
        <f>AND(#REF!,"AAAAAH/71Lo=")</f>
        <v>#REF!</v>
      </c>
      <c r="GF30" t="e">
        <f>AND(#REF!,"AAAAAH/71Ls=")</f>
        <v>#REF!</v>
      </c>
      <c r="GG30" t="e">
        <f>IF(#REF!,"AAAAAH/71Lw=",0)</f>
        <v>#REF!</v>
      </c>
      <c r="GH30" t="e">
        <f>AND(#REF!,"AAAAAH/71L0=")</f>
        <v>#REF!</v>
      </c>
      <c r="GI30" t="e">
        <f>AND(#REF!,"AAAAAH/71L4=")</f>
        <v>#REF!</v>
      </c>
      <c r="GJ30" t="e">
        <f>AND(#REF!,"AAAAAH/71L8=")</f>
        <v>#REF!</v>
      </c>
      <c r="GK30" t="e">
        <f>AND(#REF!,"AAAAAH/71MA=")</f>
        <v>#REF!</v>
      </c>
      <c r="GL30" t="e">
        <f>AND(#REF!,"AAAAAH/71ME=")</f>
        <v>#REF!</v>
      </c>
      <c r="GM30" t="e">
        <f>AND(#REF!,"AAAAAH/71MI=")</f>
        <v>#REF!</v>
      </c>
      <c r="GN30" t="e">
        <f>AND(#REF!,"AAAAAH/71MM=")</f>
        <v>#REF!</v>
      </c>
      <c r="GO30" t="e">
        <f>AND(#REF!,"AAAAAH/71MQ=")</f>
        <v>#REF!</v>
      </c>
      <c r="GP30" t="e">
        <f>AND(#REF!,"AAAAAH/71MU=")</f>
        <v>#REF!</v>
      </c>
      <c r="GQ30" t="e">
        <f>AND(#REF!,"AAAAAH/71MY=")</f>
        <v>#REF!</v>
      </c>
      <c r="GR30" t="e">
        <f>AND(#REF!,"AAAAAH/71Mc=")</f>
        <v>#REF!</v>
      </c>
      <c r="GS30" t="e">
        <f>AND(#REF!,"AAAAAH/71Mg=")</f>
        <v>#REF!</v>
      </c>
      <c r="GT30" t="e">
        <f>AND(#REF!,"AAAAAH/71Mk=")</f>
        <v>#REF!</v>
      </c>
      <c r="GU30" t="e">
        <f>AND(#REF!,"AAAAAH/71Mo=")</f>
        <v>#REF!</v>
      </c>
      <c r="GV30" t="e">
        <f>AND(#REF!,"AAAAAH/71Ms=")</f>
        <v>#REF!</v>
      </c>
      <c r="GW30" t="e">
        <f>AND(#REF!,"AAAAAH/71Mw=")</f>
        <v>#REF!</v>
      </c>
      <c r="GX30" t="e">
        <f>AND(#REF!,"AAAAAH/71M0=")</f>
        <v>#REF!</v>
      </c>
      <c r="GY30" t="e">
        <f>AND(#REF!,"AAAAAH/71M4=")</f>
        <v>#REF!</v>
      </c>
      <c r="GZ30" t="e">
        <f>AND(#REF!,"AAAAAH/71M8=")</f>
        <v>#REF!</v>
      </c>
      <c r="HA30" t="e">
        <f>AND(#REF!,"AAAAAH/71NA=")</f>
        <v>#REF!</v>
      </c>
      <c r="HB30" t="e">
        <f>AND(#REF!,"AAAAAH/71NE=")</f>
        <v>#REF!</v>
      </c>
      <c r="HC30" t="e">
        <f>AND(#REF!,"AAAAAH/71NI=")</f>
        <v>#REF!</v>
      </c>
      <c r="HD30" t="e">
        <f>AND(#REF!,"AAAAAH/71NM=")</f>
        <v>#REF!</v>
      </c>
      <c r="HE30" t="e">
        <f>AND(#REF!,"AAAAAH/71NQ=")</f>
        <v>#REF!</v>
      </c>
      <c r="HF30" t="e">
        <f>AND(#REF!,"AAAAAH/71NU=")</f>
        <v>#REF!</v>
      </c>
      <c r="HG30" t="e">
        <f>AND(#REF!,"AAAAAH/71NY=")</f>
        <v>#REF!</v>
      </c>
      <c r="HH30" t="e">
        <f>AND(#REF!,"AAAAAH/71Nc=")</f>
        <v>#REF!</v>
      </c>
      <c r="HI30" t="e">
        <f>AND(#REF!,"AAAAAH/71Ng=")</f>
        <v>#REF!</v>
      </c>
      <c r="HJ30" t="e">
        <f>AND(#REF!,"AAAAAH/71Nk=")</f>
        <v>#REF!</v>
      </c>
      <c r="HK30" t="e">
        <f>AND(#REF!,"AAAAAH/71No=")</f>
        <v>#REF!</v>
      </c>
      <c r="HL30" t="e">
        <f>AND(#REF!,"AAAAAH/71Ns=")</f>
        <v>#REF!</v>
      </c>
      <c r="HM30" t="e">
        <f>AND(#REF!,"AAAAAH/71Nw=")</f>
        <v>#REF!</v>
      </c>
      <c r="HN30" t="e">
        <f>AND(#REF!,"AAAAAH/71N0=")</f>
        <v>#REF!</v>
      </c>
      <c r="HO30" t="e">
        <f>AND(#REF!,"AAAAAH/71N4=")</f>
        <v>#REF!</v>
      </c>
      <c r="HP30" t="e">
        <f>AND(#REF!,"AAAAAH/71N8=")</f>
        <v>#REF!</v>
      </c>
      <c r="HQ30" t="e">
        <f>AND(#REF!,"AAAAAH/71OA=")</f>
        <v>#REF!</v>
      </c>
      <c r="HR30" t="e">
        <f>AND(#REF!,"AAAAAH/71OE=")</f>
        <v>#REF!</v>
      </c>
      <c r="HS30" t="e">
        <f>AND(#REF!,"AAAAAH/71OI=")</f>
        <v>#REF!</v>
      </c>
      <c r="HT30" t="e">
        <f>AND(#REF!,"AAAAAH/71OM=")</f>
        <v>#REF!</v>
      </c>
      <c r="HU30" t="e">
        <f>AND(#REF!,"AAAAAH/71OQ=")</f>
        <v>#REF!</v>
      </c>
      <c r="HV30" t="e">
        <f>AND(#REF!,"AAAAAH/71OU=")</f>
        <v>#REF!</v>
      </c>
      <c r="HW30" t="e">
        <f>AND(#REF!,"AAAAAH/71OY=")</f>
        <v>#REF!</v>
      </c>
      <c r="HX30" t="e">
        <f>AND(#REF!,"AAAAAH/71Oc=")</f>
        <v>#REF!</v>
      </c>
      <c r="HY30" t="e">
        <f>IF(#REF!,"AAAAAH/71Og=",0)</f>
        <v>#REF!</v>
      </c>
      <c r="HZ30" t="e">
        <f>AND(#REF!,"AAAAAH/71Ok=")</f>
        <v>#REF!</v>
      </c>
      <c r="IA30" t="e">
        <f>AND(#REF!,"AAAAAH/71Oo=")</f>
        <v>#REF!</v>
      </c>
      <c r="IB30" t="e">
        <f>AND(#REF!,"AAAAAH/71Os=")</f>
        <v>#REF!</v>
      </c>
      <c r="IC30" t="e">
        <f>AND(#REF!,"AAAAAH/71Ow=")</f>
        <v>#REF!</v>
      </c>
      <c r="ID30" t="e">
        <f>AND(#REF!,"AAAAAH/71O0=")</f>
        <v>#REF!</v>
      </c>
      <c r="IE30" t="e">
        <f>AND(#REF!,"AAAAAH/71O4=")</f>
        <v>#REF!</v>
      </c>
      <c r="IF30" t="e">
        <f>AND(#REF!,"AAAAAH/71O8=")</f>
        <v>#REF!</v>
      </c>
      <c r="IG30" t="e">
        <f>AND(#REF!,"AAAAAH/71PA=")</f>
        <v>#REF!</v>
      </c>
      <c r="IH30" t="e">
        <f>AND(#REF!,"AAAAAH/71PE=")</f>
        <v>#REF!</v>
      </c>
      <c r="II30" t="e">
        <f>AND(#REF!,"AAAAAH/71PI=")</f>
        <v>#REF!</v>
      </c>
      <c r="IJ30" t="e">
        <f>AND(#REF!,"AAAAAH/71PM=")</f>
        <v>#REF!</v>
      </c>
      <c r="IK30" t="e">
        <f>AND(#REF!,"AAAAAH/71PQ=")</f>
        <v>#REF!</v>
      </c>
      <c r="IL30" t="e">
        <f>AND(#REF!,"AAAAAH/71PU=")</f>
        <v>#REF!</v>
      </c>
      <c r="IM30" t="e">
        <f>AND(#REF!,"AAAAAH/71PY=")</f>
        <v>#REF!</v>
      </c>
      <c r="IN30" t="e">
        <f>AND(#REF!,"AAAAAH/71Pc=")</f>
        <v>#REF!</v>
      </c>
      <c r="IO30" t="e">
        <f>AND(#REF!,"AAAAAH/71Pg=")</f>
        <v>#REF!</v>
      </c>
      <c r="IP30" t="e">
        <f>AND(#REF!,"AAAAAH/71Pk=")</f>
        <v>#REF!</v>
      </c>
      <c r="IQ30" t="e">
        <f>AND(#REF!,"AAAAAH/71Po=")</f>
        <v>#REF!</v>
      </c>
      <c r="IR30" t="e">
        <f>AND(#REF!,"AAAAAH/71Ps=")</f>
        <v>#REF!</v>
      </c>
      <c r="IS30" t="e">
        <f>AND(#REF!,"AAAAAH/71Pw=")</f>
        <v>#REF!</v>
      </c>
      <c r="IT30" t="e">
        <f>AND(#REF!,"AAAAAH/71P0=")</f>
        <v>#REF!</v>
      </c>
      <c r="IU30" t="e">
        <f>AND(#REF!,"AAAAAH/71P4=")</f>
        <v>#REF!</v>
      </c>
      <c r="IV30" t="e">
        <f>AND(#REF!,"AAAAAH/71P8=")</f>
        <v>#REF!</v>
      </c>
    </row>
    <row r="31" spans="1:256" x14ac:dyDescent="0.25">
      <c r="A31" t="e">
        <f>AND(#REF!,"AAAAAH5dLwA=")</f>
        <v>#REF!</v>
      </c>
      <c r="B31" t="e">
        <f>AND(#REF!,"AAAAAH5dLwE=")</f>
        <v>#REF!</v>
      </c>
      <c r="C31" t="e">
        <f>AND(#REF!,"AAAAAH5dLwI=")</f>
        <v>#REF!</v>
      </c>
      <c r="D31" t="e">
        <f>AND(#REF!,"AAAAAH5dLwM=")</f>
        <v>#REF!</v>
      </c>
      <c r="E31" t="e">
        <f>AND(#REF!,"AAAAAH5dLwQ=")</f>
        <v>#REF!</v>
      </c>
      <c r="F31" t="e">
        <f>AND(#REF!,"AAAAAH5dLwU=")</f>
        <v>#REF!</v>
      </c>
      <c r="G31" t="e">
        <f>AND(#REF!,"AAAAAH5dLwY=")</f>
        <v>#REF!</v>
      </c>
      <c r="H31" t="e">
        <f>AND(#REF!,"AAAAAH5dLwc=")</f>
        <v>#REF!</v>
      </c>
      <c r="I31" t="e">
        <f>AND(#REF!,"AAAAAH5dLwg=")</f>
        <v>#REF!</v>
      </c>
      <c r="J31" t="e">
        <f>AND(#REF!,"AAAAAH5dLwk=")</f>
        <v>#REF!</v>
      </c>
      <c r="K31" t="e">
        <f>AND(#REF!,"AAAAAH5dLwo=")</f>
        <v>#REF!</v>
      </c>
      <c r="L31" t="e">
        <f>AND(#REF!,"AAAAAH5dLws=")</f>
        <v>#REF!</v>
      </c>
      <c r="M31" t="e">
        <f>AND(#REF!,"AAAAAH5dLww=")</f>
        <v>#REF!</v>
      </c>
      <c r="N31" t="e">
        <f>AND(#REF!,"AAAAAH5dLw0=")</f>
        <v>#REF!</v>
      </c>
      <c r="O31" t="e">
        <f>AND(#REF!,"AAAAAH5dLw4=")</f>
        <v>#REF!</v>
      </c>
      <c r="P31" t="e">
        <f>AND(#REF!,"AAAAAH5dLw8=")</f>
        <v>#REF!</v>
      </c>
      <c r="Q31" t="e">
        <f>AND(#REF!,"AAAAAH5dLxA=")</f>
        <v>#REF!</v>
      </c>
      <c r="R31" t="e">
        <f>AND(#REF!,"AAAAAH5dLxE=")</f>
        <v>#REF!</v>
      </c>
      <c r="S31" t="e">
        <f>AND(#REF!,"AAAAAH5dLxI=")</f>
        <v>#REF!</v>
      </c>
      <c r="T31" t="e">
        <f>AND(#REF!,"AAAAAH5dLxM=")</f>
        <v>#REF!</v>
      </c>
      <c r="U31" t="e">
        <f>IF(#REF!,"AAAAAH5dLxQ=",0)</f>
        <v>#REF!</v>
      </c>
      <c r="V31" t="e">
        <f>AND(#REF!,"AAAAAH5dLxU=")</f>
        <v>#REF!</v>
      </c>
      <c r="W31" t="e">
        <f>AND(#REF!,"AAAAAH5dLxY=")</f>
        <v>#REF!</v>
      </c>
      <c r="X31" t="e">
        <f>AND(#REF!,"AAAAAH5dLxc=")</f>
        <v>#REF!</v>
      </c>
      <c r="Y31" t="e">
        <f>AND(#REF!,"AAAAAH5dLxg=")</f>
        <v>#REF!</v>
      </c>
      <c r="Z31" t="e">
        <f>AND(#REF!,"AAAAAH5dLxk=")</f>
        <v>#REF!</v>
      </c>
      <c r="AA31" t="e">
        <f>AND(#REF!,"AAAAAH5dLxo=")</f>
        <v>#REF!</v>
      </c>
      <c r="AB31" t="e">
        <f>AND(#REF!,"AAAAAH5dLxs=")</f>
        <v>#REF!</v>
      </c>
      <c r="AC31" t="e">
        <f>AND(#REF!,"AAAAAH5dLxw=")</f>
        <v>#REF!</v>
      </c>
      <c r="AD31" t="e">
        <f>AND(#REF!,"AAAAAH5dLx0=")</f>
        <v>#REF!</v>
      </c>
      <c r="AE31" t="e">
        <f>AND(#REF!,"AAAAAH5dLx4=")</f>
        <v>#REF!</v>
      </c>
      <c r="AF31" t="e">
        <f>AND(#REF!,"AAAAAH5dLx8=")</f>
        <v>#REF!</v>
      </c>
      <c r="AG31" t="e">
        <f>AND(#REF!,"AAAAAH5dLyA=")</f>
        <v>#REF!</v>
      </c>
      <c r="AH31" t="e">
        <f>AND(#REF!,"AAAAAH5dLyE=")</f>
        <v>#REF!</v>
      </c>
      <c r="AI31" t="e">
        <f>AND(#REF!,"AAAAAH5dLyI=")</f>
        <v>#REF!</v>
      </c>
      <c r="AJ31" t="e">
        <f>AND(#REF!,"AAAAAH5dLyM=")</f>
        <v>#REF!</v>
      </c>
      <c r="AK31" t="e">
        <f>AND(#REF!,"AAAAAH5dLyQ=")</f>
        <v>#REF!</v>
      </c>
      <c r="AL31" t="e">
        <f>AND(#REF!,"AAAAAH5dLyU=")</f>
        <v>#REF!</v>
      </c>
      <c r="AM31" t="e">
        <f>AND(#REF!,"AAAAAH5dLyY=")</f>
        <v>#REF!</v>
      </c>
      <c r="AN31" t="e">
        <f>AND(#REF!,"AAAAAH5dLyc=")</f>
        <v>#REF!</v>
      </c>
      <c r="AO31" t="e">
        <f>AND(#REF!,"AAAAAH5dLyg=")</f>
        <v>#REF!</v>
      </c>
      <c r="AP31" t="e">
        <f>AND(#REF!,"AAAAAH5dLyk=")</f>
        <v>#REF!</v>
      </c>
      <c r="AQ31" t="e">
        <f>AND(#REF!,"AAAAAH5dLyo=")</f>
        <v>#REF!</v>
      </c>
      <c r="AR31" t="e">
        <f>AND(#REF!,"AAAAAH5dLys=")</f>
        <v>#REF!</v>
      </c>
      <c r="AS31" t="e">
        <f>AND(#REF!,"AAAAAH5dLyw=")</f>
        <v>#REF!</v>
      </c>
      <c r="AT31" t="e">
        <f>AND(#REF!,"AAAAAH5dLy0=")</f>
        <v>#REF!</v>
      </c>
      <c r="AU31" t="e">
        <f>AND(#REF!,"AAAAAH5dLy4=")</f>
        <v>#REF!</v>
      </c>
      <c r="AV31" t="e">
        <f>AND(#REF!,"AAAAAH5dLy8=")</f>
        <v>#REF!</v>
      </c>
      <c r="AW31" t="e">
        <f>AND(#REF!,"AAAAAH5dLzA=")</f>
        <v>#REF!</v>
      </c>
      <c r="AX31" t="e">
        <f>AND(#REF!,"AAAAAH5dLzE=")</f>
        <v>#REF!</v>
      </c>
      <c r="AY31" t="e">
        <f>AND(#REF!,"AAAAAH5dLzI=")</f>
        <v>#REF!</v>
      </c>
      <c r="AZ31" t="e">
        <f>AND(#REF!,"AAAAAH5dLzM=")</f>
        <v>#REF!</v>
      </c>
      <c r="BA31" t="e">
        <f>AND(#REF!,"AAAAAH5dLzQ=")</f>
        <v>#REF!</v>
      </c>
      <c r="BB31" t="e">
        <f>AND(#REF!,"AAAAAH5dLzU=")</f>
        <v>#REF!</v>
      </c>
      <c r="BC31" t="e">
        <f>AND(#REF!,"AAAAAH5dLzY=")</f>
        <v>#REF!</v>
      </c>
      <c r="BD31" t="e">
        <f>AND(#REF!,"AAAAAH5dLzc=")</f>
        <v>#REF!</v>
      </c>
      <c r="BE31" t="e">
        <f>AND(#REF!,"AAAAAH5dLzg=")</f>
        <v>#REF!</v>
      </c>
      <c r="BF31" t="e">
        <f>AND(#REF!,"AAAAAH5dLzk=")</f>
        <v>#REF!</v>
      </c>
      <c r="BG31" t="e">
        <f>AND(#REF!,"AAAAAH5dLzo=")</f>
        <v>#REF!</v>
      </c>
      <c r="BH31" t="e">
        <f>AND(#REF!,"AAAAAH5dLzs=")</f>
        <v>#REF!</v>
      </c>
      <c r="BI31" t="e">
        <f>AND(#REF!,"AAAAAH5dLzw=")</f>
        <v>#REF!</v>
      </c>
      <c r="BJ31" t="e">
        <f>AND(#REF!,"AAAAAH5dLz0=")</f>
        <v>#REF!</v>
      </c>
      <c r="BK31" t="e">
        <f>AND(#REF!,"AAAAAH5dLz4=")</f>
        <v>#REF!</v>
      </c>
      <c r="BL31" t="e">
        <f>AND(#REF!,"AAAAAH5dLz8=")</f>
        <v>#REF!</v>
      </c>
      <c r="BM31" t="e">
        <f>IF(#REF!,"AAAAAH5dL0A=",0)</f>
        <v>#REF!</v>
      </c>
      <c r="BN31" t="e">
        <f>AND(#REF!,"AAAAAH5dL0E=")</f>
        <v>#REF!</v>
      </c>
      <c r="BO31" t="e">
        <f>AND(#REF!,"AAAAAH5dL0I=")</f>
        <v>#REF!</v>
      </c>
      <c r="BP31" t="e">
        <f>AND(#REF!,"AAAAAH5dL0M=")</f>
        <v>#REF!</v>
      </c>
      <c r="BQ31" t="e">
        <f>AND(#REF!,"AAAAAH5dL0Q=")</f>
        <v>#REF!</v>
      </c>
      <c r="BR31" t="e">
        <f>AND(#REF!,"AAAAAH5dL0U=")</f>
        <v>#REF!</v>
      </c>
      <c r="BS31" t="e">
        <f>AND(#REF!,"AAAAAH5dL0Y=")</f>
        <v>#REF!</v>
      </c>
      <c r="BT31" t="e">
        <f>AND(#REF!,"AAAAAH5dL0c=")</f>
        <v>#REF!</v>
      </c>
      <c r="BU31" t="e">
        <f>AND(#REF!,"AAAAAH5dL0g=")</f>
        <v>#REF!</v>
      </c>
      <c r="BV31" t="e">
        <f>AND(#REF!,"AAAAAH5dL0k=")</f>
        <v>#REF!</v>
      </c>
      <c r="BW31" t="e">
        <f>AND(#REF!,"AAAAAH5dL0o=")</f>
        <v>#REF!</v>
      </c>
      <c r="BX31" t="e">
        <f>AND(#REF!,"AAAAAH5dL0s=")</f>
        <v>#REF!</v>
      </c>
      <c r="BY31" t="e">
        <f>AND(#REF!,"AAAAAH5dL0w=")</f>
        <v>#REF!</v>
      </c>
      <c r="BZ31" t="e">
        <f>AND(#REF!,"AAAAAH5dL00=")</f>
        <v>#REF!</v>
      </c>
      <c r="CA31" t="e">
        <f>AND(#REF!,"AAAAAH5dL04=")</f>
        <v>#REF!</v>
      </c>
      <c r="CB31" t="e">
        <f>AND(#REF!,"AAAAAH5dL08=")</f>
        <v>#REF!</v>
      </c>
      <c r="CC31" t="e">
        <f>AND(#REF!,"AAAAAH5dL1A=")</f>
        <v>#REF!</v>
      </c>
      <c r="CD31" t="e">
        <f>AND(#REF!,"AAAAAH5dL1E=")</f>
        <v>#REF!</v>
      </c>
      <c r="CE31" t="e">
        <f>AND(#REF!,"AAAAAH5dL1I=")</f>
        <v>#REF!</v>
      </c>
      <c r="CF31" t="e">
        <f>AND(#REF!,"AAAAAH5dL1M=")</f>
        <v>#REF!</v>
      </c>
      <c r="CG31" t="e">
        <f>AND(#REF!,"AAAAAH5dL1Q=")</f>
        <v>#REF!</v>
      </c>
      <c r="CH31" t="e">
        <f>AND(#REF!,"AAAAAH5dL1U=")</f>
        <v>#REF!</v>
      </c>
      <c r="CI31" t="e">
        <f>AND(#REF!,"AAAAAH5dL1Y=")</f>
        <v>#REF!</v>
      </c>
      <c r="CJ31" t="e">
        <f>AND(#REF!,"AAAAAH5dL1c=")</f>
        <v>#REF!</v>
      </c>
      <c r="CK31" t="e">
        <f>AND(#REF!,"AAAAAH5dL1g=")</f>
        <v>#REF!</v>
      </c>
      <c r="CL31" t="e">
        <f>AND(#REF!,"AAAAAH5dL1k=")</f>
        <v>#REF!</v>
      </c>
      <c r="CM31" t="e">
        <f>AND(#REF!,"AAAAAH5dL1o=")</f>
        <v>#REF!</v>
      </c>
      <c r="CN31" t="e">
        <f>AND(#REF!,"AAAAAH5dL1s=")</f>
        <v>#REF!</v>
      </c>
      <c r="CO31" t="e">
        <f>AND(#REF!,"AAAAAH5dL1w=")</f>
        <v>#REF!</v>
      </c>
      <c r="CP31" t="e">
        <f>AND(#REF!,"AAAAAH5dL10=")</f>
        <v>#REF!</v>
      </c>
      <c r="CQ31" t="e">
        <f>AND(#REF!,"AAAAAH5dL14=")</f>
        <v>#REF!</v>
      </c>
      <c r="CR31" t="e">
        <f>AND(#REF!,"AAAAAH5dL18=")</f>
        <v>#REF!</v>
      </c>
      <c r="CS31" t="e">
        <f>AND(#REF!,"AAAAAH5dL2A=")</f>
        <v>#REF!</v>
      </c>
      <c r="CT31" t="e">
        <f>AND(#REF!,"AAAAAH5dL2E=")</f>
        <v>#REF!</v>
      </c>
      <c r="CU31" t="e">
        <f>AND(#REF!,"AAAAAH5dL2I=")</f>
        <v>#REF!</v>
      </c>
      <c r="CV31" t="e">
        <f>AND(#REF!,"AAAAAH5dL2M=")</f>
        <v>#REF!</v>
      </c>
      <c r="CW31" t="e">
        <f>AND(#REF!,"AAAAAH5dL2Q=")</f>
        <v>#REF!</v>
      </c>
      <c r="CX31" t="e">
        <f>AND(#REF!,"AAAAAH5dL2U=")</f>
        <v>#REF!</v>
      </c>
      <c r="CY31" t="e">
        <f>AND(#REF!,"AAAAAH5dL2Y=")</f>
        <v>#REF!</v>
      </c>
      <c r="CZ31" t="e">
        <f>AND(#REF!,"AAAAAH5dL2c=")</f>
        <v>#REF!</v>
      </c>
      <c r="DA31" t="e">
        <f>AND(#REF!,"AAAAAH5dL2g=")</f>
        <v>#REF!</v>
      </c>
      <c r="DB31" t="e">
        <f>AND(#REF!,"AAAAAH5dL2k=")</f>
        <v>#REF!</v>
      </c>
      <c r="DC31" t="e">
        <f>AND(#REF!,"AAAAAH5dL2o=")</f>
        <v>#REF!</v>
      </c>
      <c r="DD31" t="e">
        <f>AND(#REF!,"AAAAAH5dL2s=")</f>
        <v>#REF!</v>
      </c>
      <c r="DE31" t="e">
        <f>IF(#REF!,"AAAAAH5dL2w=",0)</f>
        <v>#REF!</v>
      </c>
      <c r="DF31" t="e">
        <f>AND(#REF!,"AAAAAH5dL20=")</f>
        <v>#REF!</v>
      </c>
      <c r="DG31" t="e">
        <f>AND(#REF!,"AAAAAH5dL24=")</f>
        <v>#REF!</v>
      </c>
      <c r="DH31" t="e">
        <f>AND(#REF!,"AAAAAH5dL28=")</f>
        <v>#REF!</v>
      </c>
      <c r="DI31" t="e">
        <f>AND(#REF!,"AAAAAH5dL3A=")</f>
        <v>#REF!</v>
      </c>
      <c r="DJ31" t="e">
        <f>AND(#REF!,"AAAAAH5dL3E=")</f>
        <v>#REF!</v>
      </c>
      <c r="DK31" t="e">
        <f>AND(#REF!,"AAAAAH5dL3I=")</f>
        <v>#REF!</v>
      </c>
      <c r="DL31" t="e">
        <f>AND(#REF!,"AAAAAH5dL3M=")</f>
        <v>#REF!</v>
      </c>
      <c r="DM31" t="e">
        <f>AND(#REF!,"AAAAAH5dL3Q=")</f>
        <v>#REF!</v>
      </c>
      <c r="DN31" t="e">
        <f>AND(#REF!,"AAAAAH5dL3U=")</f>
        <v>#REF!</v>
      </c>
      <c r="DO31" t="e">
        <f>AND(#REF!,"AAAAAH5dL3Y=")</f>
        <v>#REF!</v>
      </c>
      <c r="DP31" t="e">
        <f>AND(#REF!,"AAAAAH5dL3c=")</f>
        <v>#REF!</v>
      </c>
      <c r="DQ31" t="e">
        <f>AND(#REF!,"AAAAAH5dL3g=")</f>
        <v>#REF!</v>
      </c>
      <c r="DR31" t="e">
        <f>AND(#REF!,"AAAAAH5dL3k=")</f>
        <v>#REF!</v>
      </c>
      <c r="DS31" t="e">
        <f>AND(#REF!,"AAAAAH5dL3o=")</f>
        <v>#REF!</v>
      </c>
      <c r="DT31" t="e">
        <f>AND(#REF!,"AAAAAH5dL3s=")</f>
        <v>#REF!</v>
      </c>
      <c r="DU31" t="e">
        <f>AND(#REF!,"AAAAAH5dL3w=")</f>
        <v>#REF!</v>
      </c>
      <c r="DV31" t="e">
        <f>AND(#REF!,"AAAAAH5dL30=")</f>
        <v>#REF!</v>
      </c>
      <c r="DW31" t="e">
        <f>AND(#REF!,"AAAAAH5dL34=")</f>
        <v>#REF!</v>
      </c>
      <c r="DX31" t="e">
        <f>AND(#REF!,"AAAAAH5dL38=")</f>
        <v>#REF!</v>
      </c>
      <c r="DY31" t="e">
        <f>AND(#REF!,"AAAAAH5dL4A=")</f>
        <v>#REF!</v>
      </c>
      <c r="DZ31" t="e">
        <f>AND(#REF!,"AAAAAH5dL4E=")</f>
        <v>#REF!</v>
      </c>
      <c r="EA31" t="e">
        <f>AND(#REF!,"AAAAAH5dL4I=")</f>
        <v>#REF!</v>
      </c>
      <c r="EB31" t="e">
        <f>AND(#REF!,"AAAAAH5dL4M=")</f>
        <v>#REF!</v>
      </c>
      <c r="EC31" t="e">
        <f>AND(#REF!,"AAAAAH5dL4Q=")</f>
        <v>#REF!</v>
      </c>
      <c r="ED31" t="e">
        <f>AND(#REF!,"AAAAAH5dL4U=")</f>
        <v>#REF!</v>
      </c>
      <c r="EE31" t="e">
        <f>AND(#REF!,"AAAAAH5dL4Y=")</f>
        <v>#REF!</v>
      </c>
      <c r="EF31" t="e">
        <f>AND(#REF!,"AAAAAH5dL4c=")</f>
        <v>#REF!</v>
      </c>
      <c r="EG31" t="e">
        <f>AND(#REF!,"AAAAAH5dL4g=")</f>
        <v>#REF!</v>
      </c>
      <c r="EH31" t="e">
        <f>AND(#REF!,"AAAAAH5dL4k=")</f>
        <v>#REF!</v>
      </c>
      <c r="EI31" t="e">
        <f>AND(#REF!,"AAAAAH5dL4o=")</f>
        <v>#REF!</v>
      </c>
      <c r="EJ31" t="e">
        <f>AND(#REF!,"AAAAAH5dL4s=")</f>
        <v>#REF!</v>
      </c>
      <c r="EK31" t="e">
        <f>AND(#REF!,"AAAAAH5dL4w=")</f>
        <v>#REF!</v>
      </c>
      <c r="EL31" t="e">
        <f>AND(#REF!,"AAAAAH5dL40=")</f>
        <v>#REF!</v>
      </c>
      <c r="EM31" t="e">
        <f>AND(#REF!,"AAAAAH5dL44=")</f>
        <v>#REF!</v>
      </c>
      <c r="EN31" t="e">
        <f>AND(#REF!,"AAAAAH5dL48=")</f>
        <v>#REF!</v>
      </c>
      <c r="EO31" t="e">
        <f>AND(#REF!,"AAAAAH5dL5A=")</f>
        <v>#REF!</v>
      </c>
      <c r="EP31" t="e">
        <f>AND(#REF!,"AAAAAH5dL5E=")</f>
        <v>#REF!</v>
      </c>
      <c r="EQ31" t="e">
        <f>AND(#REF!,"AAAAAH5dL5I=")</f>
        <v>#REF!</v>
      </c>
      <c r="ER31" t="e">
        <f>AND(#REF!,"AAAAAH5dL5M=")</f>
        <v>#REF!</v>
      </c>
      <c r="ES31" t="e">
        <f>AND(#REF!,"AAAAAH5dL5Q=")</f>
        <v>#REF!</v>
      </c>
      <c r="ET31" t="e">
        <f>AND(#REF!,"AAAAAH5dL5U=")</f>
        <v>#REF!</v>
      </c>
      <c r="EU31" t="e">
        <f>AND(#REF!,"AAAAAH5dL5Y=")</f>
        <v>#REF!</v>
      </c>
      <c r="EV31" t="e">
        <f>AND(#REF!,"AAAAAH5dL5c=")</f>
        <v>#REF!</v>
      </c>
      <c r="EW31" t="e">
        <f>IF(#REF!,"AAAAAH5dL5g=",0)</f>
        <v>#REF!</v>
      </c>
      <c r="EX31" t="e">
        <f>AND(#REF!,"AAAAAH5dL5k=")</f>
        <v>#REF!</v>
      </c>
      <c r="EY31" t="e">
        <f>AND(#REF!,"AAAAAH5dL5o=")</f>
        <v>#REF!</v>
      </c>
      <c r="EZ31" t="e">
        <f>AND(#REF!,"AAAAAH5dL5s=")</f>
        <v>#REF!</v>
      </c>
      <c r="FA31" t="e">
        <f>AND(#REF!,"AAAAAH5dL5w=")</f>
        <v>#REF!</v>
      </c>
      <c r="FB31" t="e">
        <f>AND(#REF!,"AAAAAH5dL50=")</f>
        <v>#REF!</v>
      </c>
      <c r="FC31" t="e">
        <f>AND(#REF!,"AAAAAH5dL54=")</f>
        <v>#REF!</v>
      </c>
      <c r="FD31" t="e">
        <f>AND(#REF!,"AAAAAH5dL58=")</f>
        <v>#REF!</v>
      </c>
      <c r="FE31" t="e">
        <f>AND(#REF!,"AAAAAH5dL6A=")</f>
        <v>#REF!</v>
      </c>
      <c r="FF31" t="e">
        <f>AND(#REF!,"AAAAAH5dL6E=")</f>
        <v>#REF!</v>
      </c>
      <c r="FG31" t="e">
        <f>AND(#REF!,"AAAAAH5dL6I=")</f>
        <v>#REF!</v>
      </c>
      <c r="FH31" t="e">
        <f>AND(#REF!,"AAAAAH5dL6M=")</f>
        <v>#REF!</v>
      </c>
      <c r="FI31" t="e">
        <f>AND(#REF!,"AAAAAH5dL6Q=")</f>
        <v>#REF!</v>
      </c>
      <c r="FJ31" t="e">
        <f>AND(#REF!,"AAAAAH5dL6U=")</f>
        <v>#REF!</v>
      </c>
      <c r="FK31" t="e">
        <f>AND(#REF!,"AAAAAH5dL6Y=")</f>
        <v>#REF!</v>
      </c>
      <c r="FL31" t="e">
        <f>AND(#REF!,"AAAAAH5dL6c=")</f>
        <v>#REF!</v>
      </c>
      <c r="FM31" t="e">
        <f>AND(#REF!,"AAAAAH5dL6g=")</f>
        <v>#REF!</v>
      </c>
      <c r="FN31" t="e">
        <f>AND(#REF!,"AAAAAH5dL6k=")</f>
        <v>#REF!</v>
      </c>
      <c r="FO31" t="e">
        <f>AND(#REF!,"AAAAAH5dL6o=")</f>
        <v>#REF!</v>
      </c>
      <c r="FP31" t="e">
        <f>AND(#REF!,"AAAAAH5dL6s=")</f>
        <v>#REF!</v>
      </c>
      <c r="FQ31" t="e">
        <f>AND(#REF!,"AAAAAH5dL6w=")</f>
        <v>#REF!</v>
      </c>
      <c r="FR31" t="e">
        <f>AND(#REF!,"AAAAAH5dL60=")</f>
        <v>#REF!</v>
      </c>
      <c r="FS31" t="e">
        <f>AND(#REF!,"AAAAAH5dL64=")</f>
        <v>#REF!</v>
      </c>
      <c r="FT31" t="e">
        <f>AND(#REF!,"AAAAAH5dL68=")</f>
        <v>#REF!</v>
      </c>
      <c r="FU31" t="e">
        <f>AND(#REF!,"AAAAAH5dL7A=")</f>
        <v>#REF!</v>
      </c>
      <c r="FV31" t="e">
        <f>AND(#REF!,"AAAAAH5dL7E=")</f>
        <v>#REF!</v>
      </c>
      <c r="FW31" t="e">
        <f>AND(#REF!,"AAAAAH5dL7I=")</f>
        <v>#REF!</v>
      </c>
      <c r="FX31" t="e">
        <f>AND(#REF!,"AAAAAH5dL7M=")</f>
        <v>#REF!</v>
      </c>
      <c r="FY31" t="e">
        <f>AND(#REF!,"AAAAAH5dL7Q=")</f>
        <v>#REF!</v>
      </c>
      <c r="FZ31" t="e">
        <f>AND(#REF!,"AAAAAH5dL7U=")</f>
        <v>#REF!</v>
      </c>
      <c r="GA31" t="e">
        <f>AND(#REF!,"AAAAAH5dL7Y=")</f>
        <v>#REF!</v>
      </c>
      <c r="GB31" t="e">
        <f>AND(#REF!,"AAAAAH5dL7c=")</f>
        <v>#REF!</v>
      </c>
      <c r="GC31" t="e">
        <f>AND(#REF!,"AAAAAH5dL7g=")</f>
        <v>#REF!</v>
      </c>
      <c r="GD31" t="e">
        <f>AND(#REF!,"AAAAAH5dL7k=")</f>
        <v>#REF!</v>
      </c>
      <c r="GE31" t="e">
        <f>AND(#REF!,"AAAAAH5dL7o=")</f>
        <v>#REF!</v>
      </c>
      <c r="GF31" t="e">
        <f>AND(#REF!,"AAAAAH5dL7s=")</f>
        <v>#REF!</v>
      </c>
      <c r="GG31" t="e">
        <f>AND(#REF!,"AAAAAH5dL7w=")</f>
        <v>#REF!</v>
      </c>
      <c r="GH31" t="e">
        <f>AND(#REF!,"AAAAAH5dL70=")</f>
        <v>#REF!</v>
      </c>
      <c r="GI31" t="e">
        <f>AND(#REF!,"AAAAAH5dL74=")</f>
        <v>#REF!</v>
      </c>
      <c r="GJ31" t="e">
        <f>AND(#REF!,"AAAAAH5dL78=")</f>
        <v>#REF!</v>
      </c>
      <c r="GK31" t="e">
        <f>AND(#REF!,"AAAAAH5dL8A=")</f>
        <v>#REF!</v>
      </c>
      <c r="GL31" t="e">
        <f>AND(#REF!,"AAAAAH5dL8E=")</f>
        <v>#REF!</v>
      </c>
      <c r="GM31" t="e">
        <f>AND(#REF!,"AAAAAH5dL8I=")</f>
        <v>#REF!</v>
      </c>
      <c r="GN31" t="e">
        <f>AND(#REF!,"AAAAAH5dL8M=")</f>
        <v>#REF!</v>
      </c>
      <c r="GO31" t="e">
        <f>IF(#REF!,"AAAAAH5dL8Q=",0)</f>
        <v>#REF!</v>
      </c>
      <c r="GP31" t="e">
        <f>AND(#REF!,"AAAAAH5dL8U=")</f>
        <v>#REF!</v>
      </c>
      <c r="GQ31" t="e">
        <f>AND(#REF!,"AAAAAH5dL8Y=")</f>
        <v>#REF!</v>
      </c>
      <c r="GR31" t="e">
        <f>AND(#REF!,"AAAAAH5dL8c=")</f>
        <v>#REF!</v>
      </c>
      <c r="GS31" t="e">
        <f>AND(#REF!,"AAAAAH5dL8g=")</f>
        <v>#REF!</v>
      </c>
      <c r="GT31" t="e">
        <f>AND(#REF!,"AAAAAH5dL8k=")</f>
        <v>#REF!</v>
      </c>
      <c r="GU31" t="e">
        <f>AND(#REF!,"AAAAAH5dL8o=")</f>
        <v>#REF!</v>
      </c>
      <c r="GV31" t="e">
        <f>AND(#REF!,"AAAAAH5dL8s=")</f>
        <v>#REF!</v>
      </c>
      <c r="GW31" t="e">
        <f>AND(#REF!,"AAAAAH5dL8w=")</f>
        <v>#REF!</v>
      </c>
      <c r="GX31" t="e">
        <f>AND(#REF!,"AAAAAH5dL80=")</f>
        <v>#REF!</v>
      </c>
      <c r="GY31" t="e">
        <f>AND(#REF!,"AAAAAH5dL84=")</f>
        <v>#REF!</v>
      </c>
      <c r="GZ31" t="e">
        <f>AND(#REF!,"AAAAAH5dL88=")</f>
        <v>#REF!</v>
      </c>
      <c r="HA31" t="e">
        <f>AND(#REF!,"AAAAAH5dL9A=")</f>
        <v>#REF!</v>
      </c>
      <c r="HB31" t="e">
        <f>AND(#REF!,"AAAAAH5dL9E=")</f>
        <v>#REF!</v>
      </c>
      <c r="HC31" t="e">
        <f>AND(#REF!,"AAAAAH5dL9I=")</f>
        <v>#REF!</v>
      </c>
      <c r="HD31" t="e">
        <f>AND(#REF!,"AAAAAH5dL9M=")</f>
        <v>#REF!</v>
      </c>
      <c r="HE31" t="e">
        <f>AND(#REF!,"AAAAAH5dL9Q=")</f>
        <v>#REF!</v>
      </c>
      <c r="HF31" t="e">
        <f>AND(#REF!,"AAAAAH5dL9U=")</f>
        <v>#REF!</v>
      </c>
      <c r="HG31" t="e">
        <f>AND(#REF!,"AAAAAH5dL9Y=")</f>
        <v>#REF!</v>
      </c>
      <c r="HH31" t="e">
        <f>AND(#REF!,"AAAAAH5dL9c=")</f>
        <v>#REF!</v>
      </c>
      <c r="HI31" t="e">
        <f>AND(#REF!,"AAAAAH5dL9g=")</f>
        <v>#REF!</v>
      </c>
      <c r="HJ31" t="e">
        <f>AND(#REF!,"AAAAAH5dL9k=")</f>
        <v>#REF!</v>
      </c>
      <c r="HK31" t="e">
        <f>AND(#REF!,"AAAAAH5dL9o=")</f>
        <v>#REF!</v>
      </c>
      <c r="HL31" t="e">
        <f>AND(#REF!,"AAAAAH5dL9s=")</f>
        <v>#REF!</v>
      </c>
      <c r="HM31" t="e">
        <f>AND(#REF!,"AAAAAH5dL9w=")</f>
        <v>#REF!</v>
      </c>
      <c r="HN31" t="e">
        <f>AND(#REF!,"AAAAAH5dL90=")</f>
        <v>#REF!</v>
      </c>
      <c r="HO31" t="e">
        <f>AND(#REF!,"AAAAAH5dL94=")</f>
        <v>#REF!</v>
      </c>
      <c r="HP31" t="e">
        <f>AND(#REF!,"AAAAAH5dL98=")</f>
        <v>#REF!</v>
      </c>
      <c r="HQ31" t="e">
        <f>AND(#REF!,"AAAAAH5dL+A=")</f>
        <v>#REF!</v>
      </c>
      <c r="HR31" t="e">
        <f>AND(#REF!,"AAAAAH5dL+E=")</f>
        <v>#REF!</v>
      </c>
      <c r="HS31" t="e">
        <f>AND(#REF!,"AAAAAH5dL+I=")</f>
        <v>#REF!</v>
      </c>
      <c r="HT31" t="e">
        <f>AND(#REF!,"AAAAAH5dL+M=")</f>
        <v>#REF!</v>
      </c>
      <c r="HU31" t="e">
        <f>AND(#REF!,"AAAAAH5dL+Q=")</f>
        <v>#REF!</v>
      </c>
      <c r="HV31" t="e">
        <f>AND(#REF!,"AAAAAH5dL+U=")</f>
        <v>#REF!</v>
      </c>
      <c r="HW31" t="e">
        <f>AND(#REF!,"AAAAAH5dL+Y=")</f>
        <v>#REF!</v>
      </c>
      <c r="HX31" t="e">
        <f>AND(#REF!,"AAAAAH5dL+c=")</f>
        <v>#REF!</v>
      </c>
      <c r="HY31" t="e">
        <f>AND(#REF!,"AAAAAH5dL+g=")</f>
        <v>#REF!</v>
      </c>
      <c r="HZ31" t="e">
        <f>AND(#REF!,"AAAAAH5dL+k=")</f>
        <v>#REF!</v>
      </c>
      <c r="IA31" t="e">
        <f>AND(#REF!,"AAAAAH5dL+o=")</f>
        <v>#REF!</v>
      </c>
      <c r="IB31" t="e">
        <f>AND(#REF!,"AAAAAH5dL+s=")</f>
        <v>#REF!</v>
      </c>
      <c r="IC31" t="e">
        <f>AND(#REF!,"AAAAAH5dL+w=")</f>
        <v>#REF!</v>
      </c>
      <c r="ID31" t="e">
        <f>AND(#REF!,"AAAAAH5dL+0=")</f>
        <v>#REF!</v>
      </c>
      <c r="IE31" t="e">
        <f>AND(#REF!,"AAAAAH5dL+4=")</f>
        <v>#REF!</v>
      </c>
      <c r="IF31" t="e">
        <f>AND(#REF!,"AAAAAH5dL+8=")</f>
        <v>#REF!</v>
      </c>
      <c r="IG31" t="e">
        <f>IF(#REF!,"AAAAAH5dL/A=",0)</f>
        <v>#REF!</v>
      </c>
      <c r="IH31" t="e">
        <f>AND(#REF!,"AAAAAH5dL/E=")</f>
        <v>#REF!</v>
      </c>
      <c r="II31" t="e">
        <f>AND(#REF!,"AAAAAH5dL/I=")</f>
        <v>#REF!</v>
      </c>
      <c r="IJ31" t="e">
        <f>AND(#REF!,"AAAAAH5dL/M=")</f>
        <v>#REF!</v>
      </c>
      <c r="IK31" t="e">
        <f>AND(#REF!,"AAAAAH5dL/Q=")</f>
        <v>#REF!</v>
      </c>
      <c r="IL31" t="e">
        <f>AND(#REF!,"AAAAAH5dL/U=")</f>
        <v>#REF!</v>
      </c>
      <c r="IM31" t="e">
        <f>AND(#REF!,"AAAAAH5dL/Y=")</f>
        <v>#REF!</v>
      </c>
      <c r="IN31" t="e">
        <f>AND(#REF!,"AAAAAH5dL/c=")</f>
        <v>#REF!</v>
      </c>
      <c r="IO31" t="e">
        <f>AND(#REF!,"AAAAAH5dL/g=")</f>
        <v>#REF!</v>
      </c>
      <c r="IP31" t="e">
        <f>AND(#REF!,"AAAAAH5dL/k=")</f>
        <v>#REF!</v>
      </c>
      <c r="IQ31" t="e">
        <f>AND(#REF!,"AAAAAH5dL/o=")</f>
        <v>#REF!</v>
      </c>
      <c r="IR31" t="e">
        <f>AND(#REF!,"AAAAAH5dL/s=")</f>
        <v>#REF!</v>
      </c>
      <c r="IS31" t="e">
        <f>AND(#REF!,"AAAAAH5dL/w=")</f>
        <v>#REF!</v>
      </c>
      <c r="IT31" t="e">
        <f>AND(#REF!,"AAAAAH5dL/0=")</f>
        <v>#REF!</v>
      </c>
      <c r="IU31" t="e">
        <f>AND(#REF!,"AAAAAH5dL/4=")</f>
        <v>#REF!</v>
      </c>
      <c r="IV31" t="e">
        <f>AND(#REF!,"AAAAAH5dL/8=")</f>
        <v>#REF!</v>
      </c>
    </row>
    <row r="32" spans="1:256" x14ac:dyDescent="0.25">
      <c r="A32" t="e">
        <f>AND(#REF!,"AAAAABetvwA=")</f>
        <v>#REF!</v>
      </c>
      <c r="B32" t="e">
        <f>AND(#REF!,"AAAAABetvwE=")</f>
        <v>#REF!</v>
      </c>
      <c r="C32" t="e">
        <f>AND(#REF!,"AAAAABetvwI=")</f>
        <v>#REF!</v>
      </c>
      <c r="D32" t="e">
        <f>AND(#REF!,"AAAAABetvwM=")</f>
        <v>#REF!</v>
      </c>
      <c r="E32" t="e">
        <f>AND(#REF!,"AAAAABetvwQ=")</f>
        <v>#REF!</v>
      </c>
      <c r="F32" t="e">
        <f>AND(#REF!,"AAAAABetvwU=")</f>
        <v>#REF!</v>
      </c>
      <c r="G32" t="e">
        <f>AND(#REF!,"AAAAABetvwY=")</f>
        <v>#REF!</v>
      </c>
      <c r="H32" t="e">
        <f>AND(#REF!,"AAAAABetvwc=")</f>
        <v>#REF!</v>
      </c>
      <c r="I32" t="e">
        <f>AND(#REF!,"AAAAABetvwg=")</f>
        <v>#REF!</v>
      </c>
      <c r="J32" t="e">
        <f>AND(#REF!,"AAAAABetvwk=")</f>
        <v>#REF!</v>
      </c>
      <c r="K32" t="e">
        <f>AND(#REF!,"AAAAABetvwo=")</f>
        <v>#REF!</v>
      </c>
      <c r="L32" t="e">
        <f>AND(#REF!,"AAAAABetvws=")</f>
        <v>#REF!</v>
      </c>
      <c r="M32" t="e">
        <f>AND(#REF!,"AAAAABetvww=")</f>
        <v>#REF!</v>
      </c>
      <c r="N32" t="e">
        <f>AND(#REF!,"AAAAABetvw0=")</f>
        <v>#REF!</v>
      </c>
      <c r="O32" t="e">
        <f>AND(#REF!,"AAAAABetvw4=")</f>
        <v>#REF!</v>
      </c>
      <c r="P32" t="e">
        <f>AND(#REF!,"AAAAABetvw8=")</f>
        <v>#REF!</v>
      </c>
      <c r="Q32" t="e">
        <f>AND(#REF!,"AAAAABetvxA=")</f>
        <v>#REF!</v>
      </c>
      <c r="R32" t="e">
        <f>AND(#REF!,"AAAAABetvxE=")</f>
        <v>#REF!</v>
      </c>
      <c r="S32" t="e">
        <f>AND(#REF!,"AAAAABetvxI=")</f>
        <v>#REF!</v>
      </c>
      <c r="T32" t="e">
        <f>AND(#REF!,"AAAAABetvxM=")</f>
        <v>#REF!</v>
      </c>
      <c r="U32" t="e">
        <f>AND(#REF!,"AAAAABetvxQ=")</f>
        <v>#REF!</v>
      </c>
      <c r="V32" t="e">
        <f>AND(#REF!,"AAAAABetvxU=")</f>
        <v>#REF!</v>
      </c>
      <c r="W32" t="e">
        <f>AND(#REF!,"AAAAABetvxY=")</f>
        <v>#REF!</v>
      </c>
      <c r="X32" t="e">
        <f>AND(#REF!,"AAAAABetvxc=")</f>
        <v>#REF!</v>
      </c>
      <c r="Y32" t="e">
        <f>AND(#REF!,"AAAAABetvxg=")</f>
        <v>#REF!</v>
      </c>
      <c r="Z32" t="e">
        <f>AND(#REF!,"AAAAABetvxk=")</f>
        <v>#REF!</v>
      </c>
      <c r="AA32" t="e">
        <f>AND(#REF!,"AAAAABetvxo=")</f>
        <v>#REF!</v>
      </c>
      <c r="AB32" t="e">
        <f>AND(#REF!,"AAAAABetvxs=")</f>
        <v>#REF!</v>
      </c>
      <c r="AC32" t="e">
        <f>IF(#REF!,"AAAAABetvxw=",0)</f>
        <v>#REF!</v>
      </c>
      <c r="AD32" t="e">
        <f>AND(#REF!,"AAAAABetvx0=")</f>
        <v>#REF!</v>
      </c>
      <c r="AE32" t="e">
        <f>AND(#REF!,"AAAAABetvx4=")</f>
        <v>#REF!</v>
      </c>
      <c r="AF32" t="e">
        <f>AND(#REF!,"AAAAABetvx8=")</f>
        <v>#REF!</v>
      </c>
      <c r="AG32" t="e">
        <f>AND(#REF!,"AAAAABetvyA=")</f>
        <v>#REF!</v>
      </c>
      <c r="AH32" t="e">
        <f>AND(#REF!,"AAAAABetvyE=")</f>
        <v>#REF!</v>
      </c>
      <c r="AI32" t="e">
        <f>AND(#REF!,"AAAAABetvyI=")</f>
        <v>#REF!</v>
      </c>
      <c r="AJ32" t="e">
        <f>AND(#REF!,"AAAAABetvyM=")</f>
        <v>#REF!</v>
      </c>
      <c r="AK32" t="e">
        <f>AND(#REF!,"AAAAABetvyQ=")</f>
        <v>#REF!</v>
      </c>
      <c r="AL32" t="e">
        <f>AND(#REF!,"AAAAABetvyU=")</f>
        <v>#REF!</v>
      </c>
      <c r="AM32" t="e">
        <f>AND(#REF!,"AAAAABetvyY=")</f>
        <v>#REF!</v>
      </c>
      <c r="AN32" t="e">
        <f>AND(#REF!,"AAAAABetvyc=")</f>
        <v>#REF!</v>
      </c>
      <c r="AO32" t="e">
        <f>AND(#REF!,"AAAAABetvyg=")</f>
        <v>#REF!</v>
      </c>
      <c r="AP32" t="e">
        <f>AND(#REF!,"AAAAABetvyk=")</f>
        <v>#REF!</v>
      </c>
      <c r="AQ32" t="e">
        <f>AND(#REF!,"AAAAABetvyo=")</f>
        <v>#REF!</v>
      </c>
      <c r="AR32" t="e">
        <f>AND(#REF!,"AAAAABetvys=")</f>
        <v>#REF!</v>
      </c>
      <c r="AS32" t="e">
        <f>AND(#REF!,"AAAAABetvyw=")</f>
        <v>#REF!</v>
      </c>
      <c r="AT32" t="e">
        <f>AND(#REF!,"AAAAABetvy0=")</f>
        <v>#REF!</v>
      </c>
      <c r="AU32" t="e">
        <f>AND(#REF!,"AAAAABetvy4=")</f>
        <v>#REF!</v>
      </c>
      <c r="AV32" t="e">
        <f>AND(#REF!,"AAAAABetvy8=")</f>
        <v>#REF!</v>
      </c>
      <c r="AW32" t="e">
        <f>AND(#REF!,"AAAAABetvzA=")</f>
        <v>#REF!</v>
      </c>
      <c r="AX32" t="e">
        <f>AND(#REF!,"AAAAABetvzE=")</f>
        <v>#REF!</v>
      </c>
      <c r="AY32" t="e">
        <f>AND(#REF!,"AAAAABetvzI=")</f>
        <v>#REF!</v>
      </c>
      <c r="AZ32" t="e">
        <f>AND(#REF!,"AAAAABetvzM=")</f>
        <v>#REF!</v>
      </c>
      <c r="BA32" t="e">
        <f>AND(#REF!,"AAAAABetvzQ=")</f>
        <v>#REF!</v>
      </c>
      <c r="BB32" t="e">
        <f>AND(#REF!,"AAAAABetvzU=")</f>
        <v>#REF!</v>
      </c>
      <c r="BC32" t="e">
        <f>AND(#REF!,"AAAAABetvzY=")</f>
        <v>#REF!</v>
      </c>
      <c r="BD32" t="e">
        <f>AND(#REF!,"AAAAABetvzc=")</f>
        <v>#REF!</v>
      </c>
      <c r="BE32" t="e">
        <f>AND(#REF!,"AAAAABetvzg=")</f>
        <v>#REF!</v>
      </c>
      <c r="BF32" t="e">
        <f>AND(#REF!,"AAAAABetvzk=")</f>
        <v>#REF!</v>
      </c>
      <c r="BG32" t="e">
        <f>AND(#REF!,"AAAAABetvzo=")</f>
        <v>#REF!</v>
      </c>
      <c r="BH32" t="e">
        <f>AND(#REF!,"AAAAABetvzs=")</f>
        <v>#REF!</v>
      </c>
      <c r="BI32" t="e">
        <f>AND(#REF!,"AAAAABetvzw=")</f>
        <v>#REF!</v>
      </c>
      <c r="BJ32" t="e">
        <f>AND(#REF!,"AAAAABetvz0=")</f>
        <v>#REF!</v>
      </c>
      <c r="BK32" t="e">
        <f>AND(#REF!,"AAAAABetvz4=")</f>
        <v>#REF!</v>
      </c>
      <c r="BL32" t="e">
        <f>AND(#REF!,"AAAAABetvz8=")</f>
        <v>#REF!</v>
      </c>
      <c r="BM32" t="e">
        <f>AND(#REF!,"AAAAABetv0A=")</f>
        <v>#REF!</v>
      </c>
      <c r="BN32" t="e">
        <f>AND(#REF!,"AAAAABetv0E=")</f>
        <v>#REF!</v>
      </c>
      <c r="BO32" t="e">
        <f>AND(#REF!,"AAAAABetv0I=")</f>
        <v>#REF!</v>
      </c>
      <c r="BP32" t="e">
        <f>AND(#REF!,"AAAAABetv0M=")</f>
        <v>#REF!</v>
      </c>
      <c r="BQ32" t="e">
        <f>AND(#REF!,"AAAAABetv0Q=")</f>
        <v>#REF!</v>
      </c>
      <c r="BR32" t="e">
        <f>AND(#REF!,"AAAAABetv0U=")</f>
        <v>#REF!</v>
      </c>
      <c r="BS32" t="e">
        <f>AND(#REF!,"AAAAABetv0Y=")</f>
        <v>#REF!</v>
      </c>
      <c r="BT32" t="e">
        <f>AND(#REF!,"AAAAABetv0c=")</f>
        <v>#REF!</v>
      </c>
      <c r="BU32" t="e">
        <f>IF(#REF!,"AAAAABetv0g=",0)</f>
        <v>#REF!</v>
      </c>
      <c r="BV32" t="e">
        <f>AND(#REF!,"AAAAABetv0k=")</f>
        <v>#REF!</v>
      </c>
      <c r="BW32" t="e">
        <f>AND(#REF!,"AAAAABetv0o=")</f>
        <v>#REF!</v>
      </c>
      <c r="BX32" t="e">
        <f>AND(#REF!,"AAAAABetv0s=")</f>
        <v>#REF!</v>
      </c>
      <c r="BY32" t="e">
        <f>AND(#REF!,"AAAAABetv0w=")</f>
        <v>#REF!</v>
      </c>
      <c r="BZ32" t="e">
        <f>AND(#REF!,"AAAAABetv00=")</f>
        <v>#REF!</v>
      </c>
      <c r="CA32" t="e">
        <f>AND(#REF!,"AAAAABetv04=")</f>
        <v>#REF!</v>
      </c>
      <c r="CB32" t="e">
        <f>AND(#REF!,"AAAAABetv08=")</f>
        <v>#REF!</v>
      </c>
      <c r="CC32" t="e">
        <f>AND(#REF!,"AAAAABetv1A=")</f>
        <v>#REF!</v>
      </c>
      <c r="CD32" t="e">
        <f>AND(#REF!,"AAAAABetv1E=")</f>
        <v>#REF!</v>
      </c>
      <c r="CE32" t="e">
        <f>AND(#REF!,"AAAAABetv1I=")</f>
        <v>#REF!</v>
      </c>
      <c r="CF32" t="e">
        <f>AND(#REF!,"AAAAABetv1M=")</f>
        <v>#REF!</v>
      </c>
      <c r="CG32" t="e">
        <f>AND(#REF!,"AAAAABetv1Q=")</f>
        <v>#REF!</v>
      </c>
      <c r="CH32" t="e">
        <f>AND(#REF!,"AAAAABetv1U=")</f>
        <v>#REF!</v>
      </c>
      <c r="CI32" t="e">
        <f>AND(#REF!,"AAAAABetv1Y=")</f>
        <v>#REF!</v>
      </c>
      <c r="CJ32" t="e">
        <f>AND(#REF!,"AAAAABetv1c=")</f>
        <v>#REF!</v>
      </c>
      <c r="CK32" t="e">
        <f>AND(#REF!,"AAAAABetv1g=")</f>
        <v>#REF!</v>
      </c>
      <c r="CL32" t="e">
        <f>AND(#REF!,"AAAAABetv1k=")</f>
        <v>#REF!</v>
      </c>
      <c r="CM32" t="e">
        <f>AND(#REF!,"AAAAABetv1o=")</f>
        <v>#REF!</v>
      </c>
      <c r="CN32" t="e">
        <f>AND(#REF!,"AAAAABetv1s=")</f>
        <v>#REF!</v>
      </c>
      <c r="CO32" t="e">
        <f>AND(#REF!,"AAAAABetv1w=")</f>
        <v>#REF!</v>
      </c>
      <c r="CP32" t="e">
        <f>AND(#REF!,"AAAAABetv10=")</f>
        <v>#REF!</v>
      </c>
      <c r="CQ32" t="e">
        <f>AND(#REF!,"AAAAABetv14=")</f>
        <v>#REF!</v>
      </c>
      <c r="CR32" t="e">
        <f>AND(#REF!,"AAAAABetv18=")</f>
        <v>#REF!</v>
      </c>
      <c r="CS32" t="e">
        <f>AND(#REF!,"AAAAABetv2A=")</f>
        <v>#REF!</v>
      </c>
      <c r="CT32" t="e">
        <f>AND(#REF!,"AAAAABetv2E=")</f>
        <v>#REF!</v>
      </c>
      <c r="CU32" t="e">
        <f>AND(#REF!,"AAAAABetv2I=")</f>
        <v>#REF!</v>
      </c>
      <c r="CV32" t="e">
        <f>AND(#REF!,"AAAAABetv2M=")</f>
        <v>#REF!</v>
      </c>
      <c r="CW32" t="e">
        <f>AND(#REF!,"AAAAABetv2Q=")</f>
        <v>#REF!</v>
      </c>
      <c r="CX32" t="e">
        <f>AND(#REF!,"AAAAABetv2U=")</f>
        <v>#REF!</v>
      </c>
      <c r="CY32" t="e">
        <f>AND(#REF!,"AAAAABetv2Y=")</f>
        <v>#REF!</v>
      </c>
      <c r="CZ32" t="e">
        <f>AND(#REF!,"AAAAABetv2c=")</f>
        <v>#REF!</v>
      </c>
      <c r="DA32" t="e">
        <f>AND(#REF!,"AAAAABetv2g=")</f>
        <v>#REF!</v>
      </c>
      <c r="DB32" t="e">
        <f>AND(#REF!,"AAAAABetv2k=")</f>
        <v>#REF!</v>
      </c>
      <c r="DC32" t="e">
        <f>AND(#REF!,"AAAAABetv2o=")</f>
        <v>#REF!</v>
      </c>
      <c r="DD32" t="e">
        <f>AND(#REF!,"AAAAABetv2s=")</f>
        <v>#REF!</v>
      </c>
      <c r="DE32" t="e">
        <f>AND(#REF!,"AAAAABetv2w=")</f>
        <v>#REF!</v>
      </c>
      <c r="DF32" t="e">
        <f>AND(#REF!,"AAAAABetv20=")</f>
        <v>#REF!</v>
      </c>
      <c r="DG32" t="e">
        <f>AND(#REF!,"AAAAABetv24=")</f>
        <v>#REF!</v>
      </c>
      <c r="DH32" t="e">
        <f>AND(#REF!,"AAAAABetv28=")</f>
        <v>#REF!</v>
      </c>
      <c r="DI32" t="e">
        <f>AND(#REF!,"AAAAABetv3A=")</f>
        <v>#REF!</v>
      </c>
      <c r="DJ32" t="e">
        <f>AND(#REF!,"AAAAABetv3E=")</f>
        <v>#REF!</v>
      </c>
      <c r="DK32" t="e">
        <f>AND(#REF!,"AAAAABetv3I=")</f>
        <v>#REF!</v>
      </c>
      <c r="DL32" t="e">
        <f>AND(#REF!,"AAAAABetv3M=")</f>
        <v>#REF!</v>
      </c>
      <c r="DM32" t="e">
        <f>IF(#REF!,"AAAAABetv3Q=",0)</f>
        <v>#REF!</v>
      </c>
      <c r="DN32" t="e">
        <f>AND(#REF!,"AAAAABetv3U=")</f>
        <v>#REF!</v>
      </c>
      <c r="DO32" t="e">
        <f>AND(#REF!,"AAAAABetv3Y=")</f>
        <v>#REF!</v>
      </c>
      <c r="DP32" t="e">
        <f>AND(#REF!,"AAAAABetv3c=")</f>
        <v>#REF!</v>
      </c>
      <c r="DQ32" t="e">
        <f>AND(#REF!,"AAAAABetv3g=")</f>
        <v>#REF!</v>
      </c>
      <c r="DR32" t="e">
        <f>AND(#REF!,"AAAAABetv3k=")</f>
        <v>#REF!</v>
      </c>
      <c r="DS32" t="e">
        <f>AND(#REF!,"AAAAABetv3o=")</f>
        <v>#REF!</v>
      </c>
      <c r="DT32" t="e">
        <f>AND(#REF!,"AAAAABetv3s=")</f>
        <v>#REF!</v>
      </c>
      <c r="DU32" t="e">
        <f>AND(#REF!,"AAAAABetv3w=")</f>
        <v>#REF!</v>
      </c>
      <c r="DV32" t="e">
        <f>AND(#REF!,"AAAAABetv30=")</f>
        <v>#REF!</v>
      </c>
      <c r="DW32" t="e">
        <f>AND(#REF!,"AAAAABetv34=")</f>
        <v>#REF!</v>
      </c>
      <c r="DX32" t="e">
        <f>AND(#REF!,"AAAAABetv38=")</f>
        <v>#REF!</v>
      </c>
      <c r="DY32" t="e">
        <f>AND(#REF!,"AAAAABetv4A=")</f>
        <v>#REF!</v>
      </c>
      <c r="DZ32" t="e">
        <f>AND(#REF!,"AAAAABetv4E=")</f>
        <v>#REF!</v>
      </c>
      <c r="EA32" t="e">
        <f>AND(#REF!,"AAAAABetv4I=")</f>
        <v>#REF!</v>
      </c>
      <c r="EB32" t="e">
        <f>AND(#REF!,"AAAAABetv4M=")</f>
        <v>#REF!</v>
      </c>
      <c r="EC32" t="e">
        <f>AND(#REF!,"AAAAABetv4Q=")</f>
        <v>#REF!</v>
      </c>
      <c r="ED32" t="e">
        <f>AND(#REF!,"AAAAABetv4U=")</f>
        <v>#REF!</v>
      </c>
      <c r="EE32" t="e">
        <f>AND(#REF!,"AAAAABetv4Y=")</f>
        <v>#REF!</v>
      </c>
      <c r="EF32" t="e">
        <f>AND(#REF!,"AAAAABetv4c=")</f>
        <v>#REF!</v>
      </c>
      <c r="EG32" t="e">
        <f>AND(#REF!,"AAAAABetv4g=")</f>
        <v>#REF!</v>
      </c>
      <c r="EH32" t="e">
        <f>AND(#REF!,"AAAAABetv4k=")</f>
        <v>#REF!</v>
      </c>
      <c r="EI32" t="e">
        <f>AND(#REF!,"AAAAABetv4o=")</f>
        <v>#REF!</v>
      </c>
      <c r="EJ32" t="e">
        <f>AND(#REF!,"AAAAABetv4s=")</f>
        <v>#REF!</v>
      </c>
      <c r="EK32" t="e">
        <f>AND(#REF!,"AAAAABetv4w=")</f>
        <v>#REF!</v>
      </c>
      <c r="EL32" t="e">
        <f>AND(#REF!,"AAAAABetv40=")</f>
        <v>#REF!</v>
      </c>
      <c r="EM32" t="e">
        <f>AND(#REF!,"AAAAABetv44=")</f>
        <v>#REF!</v>
      </c>
      <c r="EN32" t="e">
        <f>AND(#REF!,"AAAAABetv48=")</f>
        <v>#REF!</v>
      </c>
      <c r="EO32" t="e">
        <f>AND(#REF!,"AAAAABetv5A=")</f>
        <v>#REF!</v>
      </c>
      <c r="EP32" t="e">
        <f>AND(#REF!,"AAAAABetv5E=")</f>
        <v>#REF!</v>
      </c>
      <c r="EQ32" t="e">
        <f>AND(#REF!,"AAAAABetv5I=")</f>
        <v>#REF!</v>
      </c>
      <c r="ER32" t="e">
        <f>AND(#REF!,"AAAAABetv5M=")</f>
        <v>#REF!</v>
      </c>
      <c r="ES32" t="e">
        <f>AND(#REF!,"AAAAABetv5Q=")</f>
        <v>#REF!</v>
      </c>
      <c r="ET32" t="e">
        <f>AND(#REF!,"AAAAABetv5U=")</f>
        <v>#REF!</v>
      </c>
      <c r="EU32" t="e">
        <f>AND(#REF!,"AAAAABetv5Y=")</f>
        <v>#REF!</v>
      </c>
      <c r="EV32" t="e">
        <f>AND(#REF!,"AAAAABetv5c=")</f>
        <v>#REF!</v>
      </c>
      <c r="EW32" t="e">
        <f>AND(#REF!,"AAAAABetv5g=")</f>
        <v>#REF!</v>
      </c>
      <c r="EX32" t="e">
        <f>AND(#REF!,"AAAAABetv5k=")</f>
        <v>#REF!</v>
      </c>
      <c r="EY32" t="e">
        <f>AND(#REF!,"AAAAABetv5o=")</f>
        <v>#REF!</v>
      </c>
      <c r="EZ32" t="e">
        <f>AND(#REF!,"AAAAABetv5s=")</f>
        <v>#REF!</v>
      </c>
      <c r="FA32" t="e">
        <f>AND(#REF!,"AAAAABetv5w=")</f>
        <v>#REF!</v>
      </c>
      <c r="FB32" t="e">
        <f>AND(#REF!,"AAAAABetv50=")</f>
        <v>#REF!</v>
      </c>
      <c r="FC32" t="e">
        <f>AND(#REF!,"AAAAABetv54=")</f>
        <v>#REF!</v>
      </c>
      <c r="FD32" t="e">
        <f>AND(#REF!,"AAAAABetv58=")</f>
        <v>#REF!</v>
      </c>
      <c r="FE32" t="e">
        <f>IF(#REF!,"AAAAABetv6A=",0)</f>
        <v>#REF!</v>
      </c>
      <c r="FF32" t="e">
        <f>AND(#REF!,"AAAAABetv6E=")</f>
        <v>#REF!</v>
      </c>
      <c r="FG32" t="e">
        <f>AND(#REF!,"AAAAABetv6I=")</f>
        <v>#REF!</v>
      </c>
      <c r="FH32" t="e">
        <f>AND(#REF!,"AAAAABetv6M=")</f>
        <v>#REF!</v>
      </c>
      <c r="FI32" t="e">
        <f>AND(#REF!,"AAAAABetv6Q=")</f>
        <v>#REF!</v>
      </c>
      <c r="FJ32" t="e">
        <f>AND(#REF!,"AAAAABetv6U=")</f>
        <v>#REF!</v>
      </c>
      <c r="FK32" t="e">
        <f>AND(#REF!,"AAAAABetv6Y=")</f>
        <v>#REF!</v>
      </c>
      <c r="FL32" t="e">
        <f>AND(#REF!,"AAAAABetv6c=")</f>
        <v>#REF!</v>
      </c>
      <c r="FM32" t="e">
        <f>AND(#REF!,"AAAAABetv6g=")</f>
        <v>#REF!</v>
      </c>
      <c r="FN32" t="e">
        <f>AND(#REF!,"AAAAABetv6k=")</f>
        <v>#REF!</v>
      </c>
      <c r="FO32" t="e">
        <f>AND(#REF!,"AAAAABetv6o=")</f>
        <v>#REF!</v>
      </c>
      <c r="FP32" t="e">
        <f>AND(#REF!,"AAAAABetv6s=")</f>
        <v>#REF!</v>
      </c>
      <c r="FQ32" t="e">
        <f>AND(#REF!,"AAAAABetv6w=")</f>
        <v>#REF!</v>
      </c>
      <c r="FR32" t="e">
        <f>AND(#REF!,"AAAAABetv60=")</f>
        <v>#REF!</v>
      </c>
      <c r="FS32" t="e">
        <f>AND(#REF!,"AAAAABetv64=")</f>
        <v>#REF!</v>
      </c>
      <c r="FT32" t="e">
        <f>AND(#REF!,"AAAAABetv68=")</f>
        <v>#REF!</v>
      </c>
      <c r="FU32" t="e">
        <f>AND(#REF!,"AAAAABetv7A=")</f>
        <v>#REF!</v>
      </c>
      <c r="FV32" t="e">
        <f>AND(#REF!,"AAAAABetv7E=")</f>
        <v>#REF!</v>
      </c>
      <c r="FW32" t="e">
        <f>AND(#REF!,"AAAAABetv7I=")</f>
        <v>#REF!</v>
      </c>
      <c r="FX32" t="e">
        <f>AND(#REF!,"AAAAABetv7M=")</f>
        <v>#REF!</v>
      </c>
      <c r="FY32" t="e">
        <f>AND(#REF!,"AAAAABetv7Q=")</f>
        <v>#REF!</v>
      </c>
      <c r="FZ32" t="e">
        <f>AND(#REF!,"AAAAABetv7U=")</f>
        <v>#REF!</v>
      </c>
      <c r="GA32" t="e">
        <f>AND(#REF!,"AAAAABetv7Y=")</f>
        <v>#REF!</v>
      </c>
      <c r="GB32" t="e">
        <f>AND(#REF!,"AAAAABetv7c=")</f>
        <v>#REF!</v>
      </c>
      <c r="GC32" t="e">
        <f>AND(#REF!,"AAAAABetv7g=")</f>
        <v>#REF!</v>
      </c>
      <c r="GD32" t="e">
        <f>AND(#REF!,"AAAAABetv7k=")</f>
        <v>#REF!</v>
      </c>
      <c r="GE32" t="e">
        <f>AND(#REF!,"AAAAABetv7o=")</f>
        <v>#REF!</v>
      </c>
      <c r="GF32" t="e">
        <f>AND(#REF!,"AAAAABetv7s=")</f>
        <v>#REF!</v>
      </c>
      <c r="GG32" t="e">
        <f>AND(#REF!,"AAAAABetv7w=")</f>
        <v>#REF!</v>
      </c>
      <c r="GH32" t="e">
        <f>AND(#REF!,"AAAAABetv70=")</f>
        <v>#REF!</v>
      </c>
      <c r="GI32" t="e">
        <f>AND(#REF!,"AAAAABetv74=")</f>
        <v>#REF!</v>
      </c>
      <c r="GJ32" t="e">
        <f>AND(#REF!,"AAAAABetv78=")</f>
        <v>#REF!</v>
      </c>
      <c r="GK32" t="e">
        <f>AND(#REF!,"AAAAABetv8A=")</f>
        <v>#REF!</v>
      </c>
      <c r="GL32" t="e">
        <f>AND(#REF!,"AAAAABetv8E=")</f>
        <v>#REF!</v>
      </c>
      <c r="GM32" t="e">
        <f>AND(#REF!,"AAAAABetv8I=")</f>
        <v>#REF!</v>
      </c>
      <c r="GN32" t="e">
        <f>AND(#REF!,"AAAAABetv8M=")</f>
        <v>#REF!</v>
      </c>
      <c r="GO32" t="e">
        <f>AND(#REF!,"AAAAABetv8Q=")</f>
        <v>#REF!</v>
      </c>
      <c r="GP32" t="e">
        <f>AND(#REF!,"AAAAABetv8U=")</f>
        <v>#REF!</v>
      </c>
      <c r="GQ32" t="e">
        <f>AND(#REF!,"AAAAABetv8Y=")</f>
        <v>#REF!</v>
      </c>
      <c r="GR32" t="e">
        <f>AND(#REF!,"AAAAABetv8c=")</f>
        <v>#REF!</v>
      </c>
      <c r="GS32" t="e">
        <f>AND(#REF!,"AAAAABetv8g=")</f>
        <v>#REF!</v>
      </c>
      <c r="GT32" t="e">
        <f>AND(#REF!,"AAAAABetv8k=")</f>
        <v>#REF!</v>
      </c>
      <c r="GU32" t="e">
        <f>AND(#REF!,"AAAAABetv8o=")</f>
        <v>#REF!</v>
      </c>
      <c r="GV32" t="e">
        <f>AND(#REF!,"AAAAABetv8s=")</f>
        <v>#REF!</v>
      </c>
      <c r="GW32" t="e">
        <f>IF(#REF!,"AAAAABetv8w=",0)</f>
        <v>#REF!</v>
      </c>
      <c r="GX32" t="e">
        <f>AND(#REF!,"AAAAABetv80=")</f>
        <v>#REF!</v>
      </c>
      <c r="GY32" t="e">
        <f>AND(#REF!,"AAAAABetv84=")</f>
        <v>#REF!</v>
      </c>
      <c r="GZ32" t="e">
        <f>AND(#REF!,"AAAAABetv88=")</f>
        <v>#REF!</v>
      </c>
      <c r="HA32" t="e">
        <f>AND(#REF!,"AAAAABetv9A=")</f>
        <v>#REF!</v>
      </c>
      <c r="HB32" t="e">
        <f>AND(#REF!,"AAAAABetv9E=")</f>
        <v>#REF!</v>
      </c>
      <c r="HC32" t="e">
        <f>AND(#REF!,"AAAAABetv9I=")</f>
        <v>#REF!</v>
      </c>
      <c r="HD32" t="e">
        <f>AND(#REF!,"AAAAABetv9M=")</f>
        <v>#REF!</v>
      </c>
      <c r="HE32" t="e">
        <f>AND(#REF!,"AAAAABetv9Q=")</f>
        <v>#REF!</v>
      </c>
      <c r="HF32" t="e">
        <f>AND(#REF!,"AAAAABetv9U=")</f>
        <v>#REF!</v>
      </c>
      <c r="HG32" t="e">
        <f>AND(#REF!,"AAAAABetv9Y=")</f>
        <v>#REF!</v>
      </c>
      <c r="HH32" t="e">
        <f>AND(#REF!,"AAAAABetv9c=")</f>
        <v>#REF!</v>
      </c>
      <c r="HI32" t="e">
        <f>AND(#REF!,"AAAAABetv9g=")</f>
        <v>#REF!</v>
      </c>
      <c r="HJ32" t="e">
        <f>AND(#REF!,"AAAAABetv9k=")</f>
        <v>#REF!</v>
      </c>
      <c r="HK32" t="e">
        <f>AND(#REF!,"AAAAABetv9o=")</f>
        <v>#REF!</v>
      </c>
      <c r="HL32" t="e">
        <f>AND(#REF!,"AAAAABetv9s=")</f>
        <v>#REF!</v>
      </c>
      <c r="HM32" t="e">
        <f>AND(#REF!,"AAAAABetv9w=")</f>
        <v>#REF!</v>
      </c>
      <c r="HN32" t="e">
        <f>AND(#REF!,"AAAAABetv90=")</f>
        <v>#REF!</v>
      </c>
      <c r="HO32" t="e">
        <f>AND(#REF!,"AAAAABetv94=")</f>
        <v>#REF!</v>
      </c>
      <c r="HP32" t="e">
        <f>AND(#REF!,"AAAAABetv98=")</f>
        <v>#REF!</v>
      </c>
      <c r="HQ32" t="e">
        <f>AND(#REF!,"AAAAABetv+A=")</f>
        <v>#REF!</v>
      </c>
      <c r="HR32" t="e">
        <f>AND(#REF!,"AAAAABetv+E=")</f>
        <v>#REF!</v>
      </c>
      <c r="HS32" t="e">
        <f>AND(#REF!,"AAAAABetv+I=")</f>
        <v>#REF!</v>
      </c>
      <c r="HT32" t="e">
        <f>AND(#REF!,"AAAAABetv+M=")</f>
        <v>#REF!</v>
      </c>
      <c r="HU32" t="e">
        <f>AND(#REF!,"AAAAABetv+Q=")</f>
        <v>#REF!</v>
      </c>
      <c r="HV32" t="e">
        <f>AND(#REF!,"AAAAABetv+U=")</f>
        <v>#REF!</v>
      </c>
      <c r="HW32" t="e">
        <f>AND(#REF!,"AAAAABetv+Y=")</f>
        <v>#REF!</v>
      </c>
      <c r="HX32" t="e">
        <f>AND(#REF!,"AAAAABetv+c=")</f>
        <v>#REF!</v>
      </c>
      <c r="HY32" t="e">
        <f>AND(#REF!,"AAAAABetv+g=")</f>
        <v>#REF!</v>
      </c>
      <c r="HZ32" t="e">
        <f>AND(#REF!,"AAAAABetv+k=")</f>
        <v>#REF!</v>
      </c>
      <c r="IA32" t="e">
        <f>AND(#REF!,"AAAAABetv+o=")</f>
        <v>#REF!</v>
      </c>
      <c r="IB32" t="e">
        <f>AND(#REF!,"AAAAABetv+s=")</f>
        <v>#REF!</v>
      </c>
      <c r="IC32" t="e">
        <f>AND(#REF!,"AAAAABetv+w=")</f>
        <v>#REF!</v>
      </c>
      <c r="ID32" t="e">
        <f>AND(#REF!,"AAAAABetv+0=")</f>
        <v>#REF!</v>
      </c>
      <c r="IE32" t="e">
        <f>AND(#REF!,"AAAAABetv+4=")</f>
        <v>#REF!</v>
      </c>
      <c r="IF32" t="e">
        <f>AND(#REF!,"AAAAABetv+8=")</f>
        <v>#REF!</v>
      </c>
      <c r="IG32" t="e">
        <f>AND(#REF!,"AAAAABetv/A=")</f>
        <v>#REF!</v>
      </c>
      <c r="IH32" t="e">
        <f>AND(#REF!,"AAAAABetv/E=")</f>
        <v>#REF!</v>
      </c>
      <c r="II32" t="e">
        <f>AND(#REF!,"AAAAABetv/I=")</f>
        <v>#REF!</v>
      </c>
      <c r="IJ32" t="e">
        <f>AND(#REF!,"AAAAABetv/M=")</f>
        <v>#REF!</v>
      </c>
      <c r="IK32" t="e">
        <f>AND(#REF!,"AAAAABetv/Q=")</f>
        <v>#REF!</v>
      </c>
      <c r="IL32" t="e">
        <f>AND(#REF!,"AAAAABetv/U=")</f>
        <v>#REF!</v>
      </c>
      <c r="IM32" t="e">
        <f>AND(#REF!,"AAAAABetv/Y=")</f>
        <v>#REF!</v>
      </c>
      <c r="IN32" t="e">
        <f>AND(#REF!,"AAAAABetv/c=")</f>
        <v>#REF!</v>
      </c>
      <c r="IO32" t="e">
        <f>IF(#REF!,"AAAAABetv/g=",0)</f>
        <v>#REF!</v>
      </c>
      <c r="IP32" t="e">
        <f>AND(#REF!,"AAAAABetv/k=")</f>
        <v>#REF!</v>
      </c>
      <c r="IQ32" t="e">
        <f>AND(#REF!,"AAAAABetv/o=")</f>
        <v>#REF!</v>
      </c>
      <c r="IR32" t="e">
        <f>AND(#REF!,"AAAAABetv/s=")</f>
        <v>#REF!</v>
      </c>
      <c r="IS32" t="e">
        <f>AND(#REF!,"AAAAABetv/w=")</f>
        <v>#REF!</v>
      </c>
      <c r="IT32" t="e">
        <f>AND(#REF!,"AAAAABetv/0=")</f>
        <v>#REF!</v>
      </c>
      <c r="IU32" t="e">
        <f>AND(#REF!,"AAAAABetv/4=")</f>
        <v>#REF!</v>
      </c>
      <c r="IV32" t="e">
        <f>AND(#REF!,"AAAAABetv/8=")</f>
        <v>#REF!</v>
      </c>
    </row>
    <row r="33" spans="1:256" x14ac:dyDescent="0.25">
      <c r="A33" t="e">
        <f>AND(#REF!,"AAAAAHr53wA=")</f>
        <v>#REF!</v>
      </c>
      <c r="B33" t="e">
        <f>AND(#REF!,"AAAAAHr53wE=")</f>
        <v>#REF!</v>
      </c>
      <c r="C33" t="e">
        <f>AND(#REF!,"AAAAAHr53wI=")</f>
        <v>#REF!</v>
      </c>
      <c r="D33" t="e">
        <f>AND(#REF!,"AAAAAHr53wM=")</f>
        <v>#REF!</v>
      </c>
      <c r="E33" t="e">
        <f>AND(#REF!,"AAAAAHr53wQ=")</f>
        <v>#REF!</v>
      </c>
      <c r="F33" t="e">
        <f>AND(#REF!,"AAAAAHr53wU=")</f>
        <v>#REF!</v>
      </c>
      <c r="G33" t="e">
        <f>AND(#REF!,"AAAAAHr53wY=")</f>
        <v>#REF!</v>
      </c>
      <c r="H33" t="e">
        <f>AND(#REF!,"AAAAAHr53wc=")</f>
        <v>#REF!</v>
      </c>
      <c r="I33" t="e">
        <f>AND(#REF!,"AAAAAHr53wg=")</f>
        <v>#REF!</v>
      </c>
      <c r="J33" t="e">
        <f>AND(#REF!,"AAAAAHr53wk=")</f>
        <v>#REF!</v>
      </c>
      <c r="K33" t="e">
        <f>AND(#REF!,"AAAAAHr53wo=")</f>
        <v>#REF!</v>
      </c>
      <c r="L33" t="e">
        <f>AND(#REF!,"AAAAAHr53ws=")</f>
        <v>#REF!</v>
      </c>
      <c r="M33" t="e">
        <f>AND(#REF!,"AAAAAHr53ww=")</f>
        <v>#REF!</v>
      </c>
      <c r="N33" t="e">
        <f>AND(#REF!,"AAAAAHr53w0=")</f>
        <v>#REF!</v>
      </c>
      <c r="O33" t="e">
        <f>AND(#REF!,"AAAAAHr53w4=")</f>
        <v>#REF!</v>
      </c>
      <c r="P33" t="e">
        <f>AND(#REF!,"AAAAAHr53w8=")</f>
        <v>#REF!</v>
      </c>
      <c r="Q33" t="e">
        <f>AND(#REF!,"AAAAAHr53xA=")</f>
        <v>#REF!</v>
      </c>
      <c r="R33" t="e">
        <f>AND(#REF!,"AAAAAHr53xE=")</f>
        <v>#REF!</v>
      </c>
      <c r="S33" t="e">
        <f>AND(#REF!,"AAAAAHr53xI=")</f>
        <v>#REF!</v>
      </c>
      <c r="T33" t="e">
        <f>AND(#REF!,"AAAAAHr53xM=")</f>
        <v>#REF!</v>
      </c>
      <c r="U33" t="e">
        <f>AND(#REF!,"AAAAAHr53xQ=")</f>
        <v>#REF!</v>
      </c>
      <c r="V33" t="e">
        <f>AND(#REF!,"AAAAAHr53xU=")</f>
        <v>#REF!</v>
      </c>
      <c r="W33" t="e">
        <f>AND(#REF!,"AAAAAHr53xY=")</f>
        <v>#REF!</v>
      </c>
      <c r="X33" t="e">
        <f>AND(#REF!,"AAAAAHr53xc=")</f>
        <v>#REF!</v>
      </c>
      <c r="Y33" t="e">
        <f>AND(#REF!,"AAAAAHr53xg=")</f>
        <v>#REF!</v>
      </c>
      <c r="Z33" t="e">
        <f>AND(#REF!,"AAAAAHr53xk=")</f>
        <v>#REF!</v>
      </c>
      <c r="AA33" t="e">
        <f>AND(#REF!,"AAAAAHr53xo=")</f>
        <v>#REF!</v>
      </c>
      <c r="AB33" t="e">
        <f>AND(#REF!,"AAAAAHr53xs=")</f>
        <v>#REF!</v>
      </c>
      <c r="AC33" t="e">
        <f>AND(#REF!,"AAAAAHr53xw=")</f>
        <v>#REF!</v>
      </c>
      <c r="AD33" t="e">
        <f>AND(#REF!,"AAAAAHr53x0=")</f>
        <v>#REF!</v>
      </c>
      <c r="AE33" t="e">
        <f>AND(#REF!,"AAAAAHr53x4=")</f>
        <v>#REF!</v>
      </c>
      <c r="AF33" t="e">
        <f>AND(#REF!,"AAAAAHr53x8=")</f>
        <v>#REF!</v>
      </c>
      <c r="AG33" t="e">
        <f>AND(#REF!,"AAAAAHr53yA=")</f>
        <v>#REF!</v>
      </c>
      <c r="AH33" t="e">
        <f>AND(#REF!,"AAAAAHr53yE=")</f>
        <v>#REF!</v>
      </c>
      <c r="AI33" t="e">
        <f>AND(#REF!,"AAAAAHr53yI=")</f>
        <v>#REF!</v>
      </c>
      <c r="AJ33" t="e">
        <f>AND(#REF!,"AAAAAHr53yM=")</f>
        <v>#REF!</v>
      </c>
      <c r="AK33" t="e">
        <f>IF(#REF!,"AAAAAHr53yQ=",0)</f>
        <v>#REF!</v>
      </c>
      <c r="AL33" t="e">
        <f>AND(#REF!,"AAAAAHr53yU=")</f>
        <v>#REF!</v>
      </c>
      <c r="AM33" t="e">
        <f>AND(#REF!,"AAAAAHr53yY=")</f>
        <v>#REF!</v>
      </c>
      <c r="AN33" t="e">
        <f>AND(#REF!,"AAAAAHr53yc=")</f>
        <v>#REF!</v>
      </c>
      <c r="AO33" t="e">
        <f>AND(#REF!,"AAAAAHr53yg=")</f>
        <v>#REF!</v>
      </c>
      <c r="AP33" t="e">
        <f>AND(#REF!,"AAAAAHr53yk=")</f>
        <v>#REF!</v>
      </c>
      <c r="AQ33" t="e">
        <f>AND(#REF!,"AAAAAHr53yo=")</f>
        <v>#REF!</v>
      </c>
      <c r="AR33" t="e">
        <f>AND(#REF!,"AAAAAHr53ys=")</f>
        <v>#REF!</v>
      </c>
      <c r="AS33" t="e">
        <f>AND(#REF!,"AAAAAHr53yw=")</f>
        <v>#REF!</v>
      </c>
      <c r="AT33" t="e">
        <f>AND(#REF!,"AAAAAHr53y0=")</f>
        <v>#REF!</v>
      </c>
      <c r="AU33" t="e">
        <f>AND(#REF!,"AAAAAHr53y4=")</f>
        <v>#REF!</v>
      </c>
      <c r="AV33" t="e">
        <f>AND(#REF!,"AAAAAHr53y8=")</f>
        <v>#REF!</v>
      </c>
      <c r="AW33" t="e">
        <f>AND(#REF!,"AAAAAHr53zA=")</f>
        <v>#REF!</v>
      </c>
      <c r="AX33" t="e">
        <f>AND(#REF!,"AAAAAHr53zE=")</f>
        <v>#REF!</v>
      </c>
      <c r="AY33" t="e">
        <f>AND(#REF!,"AAAAAHr53zI=")</f>
        <v>#REF!</v>
      </c>
      <c r="AZ33" t="e">
        <f>AND(#REF!,"AAAAAHr53zM=")</f>
        <v>#REF!</v>
      </c>
      <c r="BA33" t="e">
        <f>AND(#REF!,"AAAAAHr53zQ=")</f>
        <v>#REF!</v>
      </c>
      <c r="BB33" t="e">
        <f>AND(#REF!,"AAAAAHr53zU=")</f>
        <v>#REF!</v>
      </c>
      <c r="BC33" t="e">
        <f>AND(#REF!,"AAAAAHr53zY=")</f>
        <v>#REF!</v>
      </c>
      <c r="BD33" t="e">
        <f>AND(#REF!,"AAAAAHr53zc=")</f>
        <v>#REF!</v>
      </c>
      <c r="BE33" t="e">
        <f>AND(#REF!,"AAAAAHr53zg=")</f>
        <v>#REF!</v>
      </c>
      <c r="BF33" t="e">
        <f>AND(#REF!,"AAAAAHr53zk=")</f>
        <v>#REF!</v>
      </c>
      <c r="BG33" t="e">
        <f>AND(#REF!,"AAAAAHr53zo=")</f>
        <v>#REF!</v>
      </c>
      <c r="BH33" t="e">
        <f>AND(#REF!,"AAAAAHr53zs=")</f>
        <v>#REF!</v>
      </c>
      <c r="BI33" t="e">
        <f>AND(#REF!,"AAAAAHr53zw=")</f>
        <v>#REF!</v>
      </c>
      <c r="BJ33" t="e">
        <f>AND(#REF!,"AAAAAHr53z0=")</f>
        <v>#REF!</v>
      </c>
      <c r="BK33" t="e">
        <f>AND(#REF!,"AAAAAHr53z4=")</f>
        <v>#REF!</v>
      </c>
      <c r="BL33" t="e">
        <f>AND(#REF!,"AAAAAHr53z8=")</f>
        <v>#REF!</v>
      </c>
      <c r="BM33" t="e">
        <f>AND(#REF!,"AAAAAHr530A=")</f>
        <v>#REF!</v>
      </c>
      <c r="BN33" t="e">
        <f>AND(#REF!,"AAAAAHr530E=")</f>
        <v>#REF!</v>
      </c>
      <c r="BO33" t="e">
        <f>AND(#REF!,"AAAAAHr530I=")</f>
        <v>#REF!</v>
      </c>
      <c r="BP33" t="e">
        <f>AND(#REF!,"AAAAAHr530M=")</f>
        <v>#REF!</v>
      </c>
      <c r="BQ33" t="e">
        <f>AND(#REF!,"AAAAAHr530Q=")</f>
        <v>#REF!</v>
      </c>
      <c r="BR33" t="e">
        <f>AND(#REF!,"AAAAAHr530U=")</f>
        <v>#REF!</v>
      </c>
      <c r="BS33" t="e">
        <f>AND(#REF!,"AAAAAHr530Y=")</f>
        <v>#REF!</v>
      </c>
      <c r="BT33" t="e">
        <f>AND(#REF!,"AAAAAHr530c=")</f>
        <v>#REF!</v>
      </c>
      <c r="BU33" t="e">
        <f>AND(#REF!,"AAAAAHr530g=")</f>
        <v>#REF!</v>
      </c>
      <c r="BV33" t="e">
        <f>AND(#REF!,"AAAAAHr530k=")</f>
        <v>#REF!</v>
      </c>
      <c r="BW33" t="e">
        <f>AND(#REF!,"AAAAAHr530o=")</f>
        <v>#REF!</v>
      </c>
      <c r="BX33" t="e">
        <f>AND(#REF!,"AAAAAHr530s=")</f>
        <v>#REF!</v>
      </c>
      <c r="BY33" t="e">
        <f>AND(#REF!,"AAAAAHr530w=")</f>
        <v>#REF!</v>
      </c>
      <c r="BZ33" t="e">
        <f>AND(#REF!,"AAAAAHr5300=")</f>
        <v>#REF!</v>
      </c>
      <c r="CA33" t="e">
        <f>AND(#REF!,"AAAAAHr5304=")</f>
        <v>#REF!</v>
      </c>
      <c r="CB33" t="e">
        <f>AND(#REF!,"AAAAAHr5308=")</f>
        <v>#REF!</v>
      </c>
      <c r="CC33" t="e">
        <f>IF(#REF!,"AAAAAHr531A=",0)</f>
        <v>#REF!</v>
      </c>
      <c r="CD33" t="e">
        <f>AND(#REF!,"AAAAAHr531E=")</f>
        <v>#REF!</v>
      </c>
      <c r="CE33" t="e">
        <f>AND(#REF!,"AAAAAHr531I=")</f>
        <v>#REF!</v>
      </c>
      <c r="CF33" t="e">
        <f>AND(#REF!,"AAAAAHr531M=")</f>
        <v>#REF!</v>
      </c>
      <c r="CG33" t="e">
        <f>AND(#REF!,"AAAAAHr531Q=")</f>
        <v>#REF!</v>
      </c>
      <c r="CH33" t="e">
        <f>AND(#REF!,"AAAAAHr531U=")</f>
        <v>#REF!</v>
      </c>
      <c r="CI33" t="e">
        <f>AND(#REF!,"AAAAAHr531Y=")</f>
        <v>#REF!</v>
      </c>
      <c r="CJ33" t="e">
        <f>AND(#REF!,"AAAAAHr531c=")</f>
        <v>#REF!</v>
      </c>
      <c r="CK33" t="e">
        <f>AND(#REF!,"AAAAAHr531g=")</f>
        <v>#REF!</v>
      </c>
      <c r="CL33" t="e">
        <f>AND(#REF!,"AAAAAHr531k=")</f>
        <v>#REF!</v>
      </c>
      <c r="CM33" t="e">
        <f>AND(#REF!,"AAAAAHr531o=")</f>
        <v>#REF!</v>
      </c>
      <c r="CN33" t="e">
        <f>AND(#REF!,"AAAAAHr531s=")</f>
        <v>#REF!</v>
      </c>
      <c r="CO33" t="e">
        <f>AND(#REF!,"AAAAAHr531w=")</f>
        <v>#REF!</v>
      </c>
      <c r="CP33" t="e">
        <f>AND(#REF!,"AAAAAHr5310=")</f>
        <v>#REF!</v>
      </c>
      <c r="CQ33" t="e">
        <f>AND(#REF!,"AAAAAHr5314=")</f>
        <v>#REF!</v>
      </c>
      <c r="CR33" t="e">
        <f>AND(#REF!,"AAAAAHr5318=")</f>
        <v>#REF!</v>
      </c>
      <c r="CS33" t="e">
        <f>AND(#REF!,"AAAAAHr532A=")</f>
        <v>#REF!</v>
      </c>
      <c r="CT33" t="e">
        <f>AND(#REF!,"AAAAAHr532E=")</f>
        <v>#REF!</v>
      </c>
      <c r="CU33" t="e">
        <f>AND(#REF!,"AAAAAHr532I=")</f>
        <v>#REF!</v>
      </c>
      <c r="CV33" t="e">
        <f>AND(#REF!,"AAAAAHr532M=")</f>
        <v>#REF!</v>
      </c>
      <c r="CW33" t="e">
        <f>AND(#REF!,"AAAAAHr532Q=")</f>
        <v>#REF!</v>
      </c>
      <c r="CX33" t="e">
        <f>AND(#REF!,"AAAAAHr532U=")</f>
        <v>#REF!</v>
      </c>
      <c r="CY33" t="e">
        <f>AND(#REF!,"AAAAAHr532Y=")</f>
        <v>#REF!</v>
      </c>
      <c r="CZ33" t="e">
        <f>AND(#REF!,"AAAAAHr532c=")</f>
        <v>#REF!</v>
      </c>
      <c r="DA33" t="e">
        <f>AND(#REF!,"AAAAAHr532g=")</f>
        <v>#REF!</v>
      </c>
      <c r="DB33" t="e">
        <f>AND(#REF!,"AAAAAHr532k=")</f>
        <v>#REF!</v>
      </c>
      <c r="DC33" t="e">
        <f>AND(#REF!,"AAAAAHr532o=")</f>
        <v>#REF!</v>
      </c>
      <c r="DD33" t="e">
        <f>AND(#REF!,"AAAAAHr532s=")</f>
        <v>#REF!</v>
      </c>
      <c r="DE33" t="e">
        <f>AND(#REF!,"AAAAAHr532w=")</f>
        <v>#REF!</v>
      </c>
      <c r="DF33" t="e">
        <f>AND(#REF!,"AAAAAHr5320=")</f>
        <v>#REF!</v>
      </c>
      <c r="DG33" t="e">
        <f>AND(#REF!,"AAAAAHr5324=")</f>
        <v>#REF!</v>
      </c>
      <c r="DH33" t="e">
        <f>AND(#REF!,"AAAAAHr5328=")</f>
        <v>#REF!</v>
      </c>
      <c r="DI33" t="e">
        <f>AND(#REF!,"AAAAAHr533A=")</f>
        <v>#REF!</v>
      </c>
      <c r="DJ33" t="e">
        <f>AND(#REF!,"AAAAAHr533E=")</f>
        <v>#REF!</v>
      </c>
      <c r="DK33" t="e">
        <f>AND(#REF!,"AAAAAHr533I=")</f>
        <v>#REF!</v>
      </c>
      <c r="DL33" t="e">
        <f>AND(#REF!,"AAAAAHr533M=")</f>
        <v>#REF!</v>
      </c>
      <c r="DM33" t="e">
        <f>AND(#REF!,"AAAAAHr533Q=")</f>
        <v>#REF!</v>
      </c>
      <c r="DN33" t="e">
        <f>AND(#REF!,"AAAAAHr533U=")</f>
        <v>#REF!</v>
      </c>
      <c r="DO33" t="e">
        <f>AND(#REF!,"AAAAAHr533Y=")</f>
        <v>#REF!</v>
      </c>
      <c r="DP33" t="e">
        <f>AND(#REF!,"AAAAAHr533c=")</f>
        <v>#REF!</v>
      </c>
      <c r="DQ33" t="e">
        <f>AND(#REF!,"AAAAAHr533g=")</f>
        <v>#REF!</v>
      </c>
      <c r="DR33" t="e">
        <f>AND(#REF!,"AAAAAHr533k=")</f>
        <v>#REF!</v>
      </c>
      <c r="DS33" t="e">
        <f>AND(#REF!,"AAAAAHr533o=")</f>
        <v>#REF!</v>
      </c>
      <c r="DT33" t="e">
        <f>AND(#REF!,"AAAAAHr533s=")</f>
        <v>#REF!</v>
      </c>
      <c r="DU33" t="e">
        <f>IF(#REF!,"AAAAAHr533w=",0)</f>
        <v>#REF!</v>
      </c>
      <c r="DV33" t="e">
        <f>AND(#REF!,"AAAAAHr5330=")</f>
        <v>#REF!</v>
      </c>
      <c r="DW33" t="e">
        <f>AND(#REF!,"AAAAAHr5334=")</f>
        <v>#REF!</v>
      </c>
      <c r="DX33" t="e">
        <f>AND(#REF!,"AAAAAHr5338=")</f>
        <v>#REF!</v>
      </c>
      <c r="DY33" t="e">
        <f>AND(#REF!,"AAAAAHr534A=")</f>
        <v>#REF!</v>
      </c>
      <c r="DZ33" t="e">
        <f>AND(#REF!,"AAAAAHr534E=")</f>
        <v>#REF!</v>
      </c>
      <c r="EA33" t="e">
        <f>AND(#REF!,"AAAAAHr534I=")</f>
        <v>#REF!</v>
      </c>
      <c r="EB33" t="e">
        <f>AND(#REF!,"AAAAAHr534M=")</f>
        <v>#REF!</v>
      </c>
      <c r="EC33" t="e">
        <f>AND(#REF!,"AAAAAHr534Q=")</f>
        <v>#REF!</v>
      </c>
      <c r="ED33" t="e">
        <f>AND(#REF!,"AAAAAHr534U=")</f>
        <v>#REF!</v>
      </c>
      <c r="EE33" t="e">
        <f>AND(#REF!,"AAAAAHr534Y=")</f>
        <v>#REF!</v>
      </c>
      <c r="EF33" t="e">
        <f>AND(#REF!,"AAAAAHr534c=")</f>
        <v>#REF!</v>
      </c>
      <c r="EG33" t="e">
        <f>AND(#REF!,"AAAAAHr534g=")</f>
        <v>#REF!</v>
      </c>
      <c r="EH33" t="e">
        <f>AND(#REF!,"AAAAAHr534k=")</f>
        <v>#REF!</v>
      </c>
      <c r="EI33" t="e">
        <f>AND(#REF!,"AAAAAHr534o=")</f>
        <v>#REF!</v>
      </c>
      <c r="EJ33" t="e">
        <f>AND(#REF!,"AAAAAHr534s=")</f>
        <v>#REF!</v>
      </c>
      <c r="EK33" t="e">
        <f>AND(#REF!,"AAAAAHr534w=")</f>
        <v>#REF!</v>
      </c>
      <c r="EL33" t="e">
        <f>AND(#REF!,"AAAAAHr5340=")</f>
        <v>#REF!</v>
      </c>
      <c r="EM33" t="e">
        <f>AND(#REF!,"AAAAAHr5344=")</f>
        <v>#REF!</v>
      </c>
      <c r="EN33" t="e">
        <f>AND(#REF!,"AAAAAHr5348=")</f>
        <v>#REF!</v>
      </c>
      <c r="EO33" t="e">
        <f>AND(#REF!,"AAAAAHr535A=")</f>
        <v>#REF!</v>
      </c>
      <c r="EP33" t="e">
        <f>AND(#REF!,"AAAAAHr535E=")</f>
        <v>#REF!</v>
      </c>
      <c r="EQ33" t="e">
        <f>AND(#REF!,"AAAAAHr535I=")</f>
        <v>#REF!</v>
      </c>
      <c r="ER33" t="e">
        <f>AND(#REF!,"AAAAAHr535M=")</f>
        <v>#REF!</v>
      </c>
      <c r="ES33" t="e">
        <f>AND(#REF!,"AAAAAHr535Q=")</f>
        <v>#REF!</v>
      </c>
      <c r="ET33" t="e">
        <f>AND(#REF!,"AAAAAHr535U=")</f>
        <v>#REF!</v>
      </c>
      <c r="EU33" t="e">
        <f>AND(#REF!,"AAAAAHr535Y=")</f>
        <v>#REF!</v>
      </c>
      <c r="EV33" t="e">
        <f>AND(#REF!,"AAAAAHr535c=")</f>
        <v>#REF!</v>
      </c>
      <c r="EW33" t="e">
        <f>AND(#REF!,"AAAAAHr535g=")</f>
        <v>#REF!</v>
      </c>
      <c r="EX33" t="e">
        <f>AND(#REF!,"AAAAAHr535k=")</f>
        <v>#REF!</v>
      </c>
      <c r="EY33" t="e">
        <f>AND(#REF!,"AAAAAHr535o=")</f>
        <v>#REF!</v>
      </c>
      <c r="EZ33" t="e">
        <f>AND(#REF!,"AAAAAHr535s=")</f>
        <v>#REF!</v>
      </c>
      <c r="FA33" t="e">
        <f>AND(#REF!,"AAAAAHr535w=")</f>
        <v>#REF!</v>
      </c>
      <c r="FB33" t="e">
        <f>AND(#REF!,"AAAAAHr5350=")</f>
        <v>#REF!</v>
      </c>
      <c r="FC33" t="e">
        <f>AND(#REF!,"AAAAAHr5354=")</f>
        <v>#REF!</v>
      </c>
      <c r="FD33" t="e">
        <f>AND(#REF!,"AAAAAHr5358=")</f>
        <v>#REF!</v>
      </c>
      <c r="FE33" t="e">
        <f>AND(#REF!,"AAAAAHr536A=")</f>
        <v>#REF!</v>
      </c>
      <c r="FF33" t="e">
        <f>AND(#REF!,"AAAAAHr536E=")</f>
        <v>#REF!</v>
      </c>
      <c r="FG33" t="e">
        <f>AND(#REF!,"AAAAAHr536I=")</f>
        <v>#REF!</v>
      </c>
      <c r="FH33" t="e">
        <f>AND(#REF!,"AAAAAHr536M=")</f>
        <v>#REF!</v>
      </c>
      <c r="FI33" t="e">
        <f>AND(#REF!,"AAAAAHr536Q=")</f>
        <v>#REF!</v>
      </c>
      <c r="FJ33" t="e">
        <f>AND(#REF!,"AAAAAHr536U=")</f>
        <v>#REF!</v>
      </c>
      <c r="FK33" t="e">
        <f>AND(#REF!,"AAAAAHr536Y=")</f>
        <v>#REF!</v>
      </c>
      <c r="FL33" t="e">
        <f>AND(#REF!,"AAAAAHr536c=")</f>
        <v>#REF!</v>
      </c>
      <c r="FM33" t="e">
        <f>IF(#REF!,"AAAAAHr536g=",0)</f>
        <v>#REF!</v>
      </c>
      <c r="FN33" t="e">
        <f>AND(#REF!,"AAAAAHr536k=")</f>
        <v>#REF!</v>
      </c>
      <c r="FO33" t="e">
        <f>AND(#REF!,"AAAAAHr536o=")</f>
        <v>#REF!</v>
      </c>
      <c r="FP33" t="e">
        <f>AND(#REF!,"AAAAAHr536s=")</f>
        <v>#REF!</v>
      </c>
      <c r="FQ33" t="e">
        <f>AND(#REF!,"AAAAAHr536w=")</f>
        <v>#REF!</v>
      </c>
      <c r="FR33" t="e">
        <f>AND(#REF!,"AAAAAHr5360=")</f>
        <v>#REF!</v>
      </c>
      <c r="FS33" t="e">
        <f>AND(#REF!,"AAAAAHr5364=")</f>
        <v>#REF!</v>
      </c>
      <c r="FT33" t="e">
        <f>AND(#REF!,"AAAAAHr5368=")</f>
        <v>#REF!</v>
      </c>
      <c r="FU33" t="e">
        <f>AND(#REF!,"AAAAAHr537A=")</f>
        <v>#REF!</v>
      </c>
      <c r="FV33" t="e">
        <f>AND(#REF!,"AAAAAHr537E=")</f>
        <v>#REF!</v>
      </c>
      <c r="FW33" t="e">
        <f>AND(#REF!,"AAAAAHr537I=")</f>
        <v>#REF!</v>
      </c>
      <c r="FX33" t="e">
        <f>AND(#REF!,"AAAAAHr537M=")</f>
        <v>#REF!</v>
      </c>
      <c r="FY33" t="e">
        <f>AND(#REF!,"AAAAAHr537Q=")</f>
        <v>#REF!</v>
      </c>
      <c r="FZ33" t="e">
        <f>AND(#REF!,"AAAAAHr537U=")</f>
        <v>#REF!</v>
      </c>
      <c r="GA33" t="e">
        <f>AND(#REF!,"AAAAAHr537Y=")</f>
        <v>#REF!</v>
      </c>
      <c r="GB33" t="e">
        <f>AND(#REF!,"AAAAAHr537c=")</f>
        <v>#REF!</v>
      </c>
      <c r="GC33" t="e">
        <f>AND(#REF!,"AAAAAHr537g=")</f>
        <v>#REF!</v>
      </c>
      <c r="GD33" t="e">
        <f>AND(#REF!,"AAAAAHr537k=")</f>
        <v>#REF!</v>
      </c>
      <c r="GE33" t="e">
        <f>AND(#REF!,"AAAAAHr537o=")</f>
        <v>#REF!</v>
      </c>
      <c r="GF33" t="e">
        <f>AND(#REF!,"AAAAAHr537s=")</f>
        <v>#REF!</v>
      </c>
      <c r="GG33" t="e">
        <f>AND(#REF!,"AAAAAHr537w=")</f>
        <v>#REF!</v>
      </c>
      <c r="GH33" t="e">
        <f>AND(#REF!,"AAAAAHr5370=")</f>
        <v>#REF!</v>
      </c>
      <c r="GI33" t="e">
        <f>AND(#REF!,"AAAAAHr5374=")</f>
        <v>#REF!</v>
      </c>
      <c r="GJ33" t="e">
        <f>AND(#REF!,"AAAAAHr5378=")</f>
        <v>#REF!</v>
      </c>
      <c r="GK33" t="e">
        <f>AND(#REF!,"AAAAAHr538A=")</f>
        <v>#REF!</v>
      </c>
      <c r="GL33" t="e">
        <f>AND(#REF!,"AAAAAHr538E=")</f>
        <v>#REF!</v>
      </c>
      <c r="GM33" t="e">
        <f>AND(#REF!,"AAAAAHr538I=")</f>
        <v>#REF!</v>
      </c>
      <c r="GN33" t="e">
        <f>AND(#REF!,"AAAAAHr538M=")</f>
        <v>#REF!</v>
      </c>
      <c r="GO33" t="e">
        <f>AND(#REF!,"AAAAAHr538Q=")</f>
        <v>#REF!</v>
      </c>
      <c r="GP33" t="e">
        <f>AND(#REF!,"AAAAAHr538U=")</f>
        <v>#REF!</v>
      </c>
      <c r="GQ33" t="e">
        <f>AND(#REF!,"AAAAAHr538Y=")</f>
        <v>#REF!</v>
      </c>
      <c r="GR33" t="e">
        <f>AND(#REF!,"AAAAAHr538c=")</f>
        <v>#REF!</v>
      </c>
      <c r="GS33" t="e">
        <f>AND(#REF!,"AAAAAHr538g=")</f>
        <v>#REF!</v>
      </c>
      <c r="GT33" t="e">
        <f>AND(#REF!,"AAAAAHr538k=")</f>
        <v>#REF!</v>
      </c>
      <c r="GU33" t="e">
        <f>AND(#REF!,"AAAAAHr538o=")</f>
        <v>#REF!</v>
      </c>
      <c r="GV33" t="e">
        <f>AND(#REF!,"AAAAAHr538s=")</f>
        <v>#REF!</v>
      </c>
      <c r="GW33" t="e">
        <f>AND(#REF!,"AAAAAHr538w=")</f>
        <v>#REF!</v>
      </c>
      <c r="GX33" t="e">
        <f>AND(#REF!,"AAAAAHr5380=")</f>
        <v>#REF!</v>
      </c>
      <c r="GY33" t="e">
        <f>AND(#REF!,"AAAAAHr5384=")</f>
        <v>#REF!</v>
      </c>
      <c r="GZ33" t="e">
        <f>AND(#REF!,"AAAAAHr5388=")</f>
        <v>#REF!</v>
      </c>
      <c r="HA33" t="e">
        <f>AND(#REF!,"AAAAAHr539A=")</f>
        <v>#REF!</v>
      </c>
      <c r="HB33" t="e">
        <f>AND(#REF!,"AAAAAHr539E=")</f>
        <v>#REF!</v>
      </c>
      <c r="HC33" t="e">
        <f>AND(#REF!,"AAAAAHr539I=")</f>
        <v>#REF!</v>
      </c>
      <c r="HD33" t="e">
        <f>AND(#REF!,"AAAAAHr539M=")</f>
        <v>#REF!</v>
      </c>
      <c r="HE33" t="e">
        <f>IF(#REF!,"AAAAAHr539Q=",0)</f>
        <v>#REF!</v>
      </c>
      <c r="HF33" t="e">
        <f>AND(#REF!,"AAAAAHr539U=")</f>
        <v>#REF!</v>
      </c>
      <c r="HG33" t="e">
        <f>AND(#REF!,"AAAAAHr539Y=")</f>
        <v>#REF!</v>
      </c>
      <c r="HH33" t="e">
        <f>AND(#REF!,"AAAAAHr539c=")</f>
        <v>#REF!</v>
      </c>
      <c r="HI33" t="e">
        <f>AND(#REF!,"AAAAAHr539g=")</f>
        <v>#REF!</v>
      </c>
      <c r="HJ33" t="e">
        <f>AND(#REF!,"AAAAAHr539k=")</f>
        <v>#REF!</v>
      </c>
      <c r="HK33" t="e">
        <f>AND(#REF!,"AAAAAHr539o=")</f>
        <v>#REF!</v>
      </c>
      <c r="HL33" t="e">
        <f>AND(#REF!,"AAAAAHr539s=")</f>
        <v>#REF!</v>
      </c>
      <c r="HM33" t="e">
        <f>AND(#REF!,"AAAAAHr539w=")</f>
        <v>#REF!</v>
      </c>
      <c r="HN33" t="e">
        <f>AND(#REF!,"AAAAAHr5390=")</f>
        <v>#REF!</v>
      </c>
      <c r="HO33" t="e">
        <f>AND(#REF!,"AAAAAHr5394=")</f>
        <v>#REF!</v>
      </c>
      <c r="HP33" t="e">
        <f>AND(#REF!,"AAAAAHr5398=")</f>
        <v>#REF!</v>
      </c>
      <c r="HQ33" t="e">
        <f>AND(#REF!,"AAAAAHr53+A=")</f>
        <v>#REF!</v>
      </c>
      <c r="HR33" t="e">
        <f>AND(#REF!,"AAAAAHr53+E=")</f>
        <v>#REF!</v>
      </c>
      <c r="HS33" t="e">
        <f>AND(#REF!,"AAAAAHr53+I=")</f>
        <v>#REF!</v>
      </c>
      <c r="HT33" t="e">
        <f>AND(#REF!,"AAAAAHr53+M=")</f>
        <v>#REF!</v>
      </c>
      <c r="HU33" t="e">
        <f>AND(#REF!,"AAAAAHr53+Q=")</f>
        <v>#REF!</v>
      </c>
      <c r="HV33" t="e">
        <f>AND(#REF!,"AAAAAHr53+U=")</f>
        <v>#REF!</v>
      </c>
      <c r="HW33" t="e">
        <f>AND(#REF!,"AAAAAHr53+Y=")</f>
        <v>#REF!</v>
      </c>
      <c r="HX33" t="e">
        <f>AND(#REF!,"AAAAAHr53+c=")</f>
        <v>#REF!</v>
      </c>
      <c r="HY33" t="e">
        <f>AND(#REF!,"AAAAAHr53+g=")</f>
        <v>#REF!</v>
      </c>
      <c r="HZ33" t="e">
        <f>AND(#REF!,"AAAAAHr53+k=")</f>
        <v>#REF!</v>
      </c>
      <c r="IA33" t="e">
        <f>AND(#REF!,"AAAAAHr53+o=")</f>
        <v>#REF!</v>
      </c>
      <c r="IB33" t="e">
        <f>AND(#REF!,"AAAAAHr53+s=")</f>
        <v>#REF!</v>
      </c>
      <c r="IC33" t="e">
        <f>AND(#REF!,"AAAAAHr53+w=")</f>
        <v>#REF!</v>
      </c>
      <c r="ID33" t="e">
        <f>AND(#REF!,"AAAAAHr53+0=")</f>
        <v>#REF!</v>
      </c>
      <c r="IE33" t="e">
        <f>AND(#REF!,"AAAAAHr53+4=")</f>
        <v>#REF!</v>
      </c>
      <c r="IF33" t="e">
        <f>AND(#REF!,"AAAAAHr53+8=")</f>
        <v>#REF!</v>
      </c>
      <c r="IG33" t="e">
        <f>AND(#REF!,"AAAAAHr53/A=")</f>
        <v>#REF!</v>
      </c>
      <c r="IH33" t="e">
        <f>AND(#REF!,"AAAAAHr53/E=")</f>
        <v>#REF!</v>
      </c>
      <c r="II33" t="e">
        <f>AND(#REF!,"AAAAAHr53/I=")</f>
        <v>#REF!</v>
      </c>
      <c r="IJ33" t="e">
        <f>AND(#REF!,"AAAAAHr53/M=")</f>
        <v>#REF!</v>
      </c>
      <c r="IK33" t="e">
        <f>AND(#REF!,"AAAAAHr53/Q=")</f>
        <v>#REF!</v>
      </c>
      <c r="IL33" t="e">
        <f>AND(#REF!,"AAAAAHr53/U=")</f>
        <v>#REF!</v>
      </c>
      <c r="IM33" t="e">
        <f>AND(#REF!,"AAAAAHr53/Y=")</f>
        <v>#REF!</v>
      </c>
      <c r="IN33" t="e">
        <f>AND(#REF!,"AAAAAHr53/c=")</f>
        <v>#REF!</v>
      </c>
      <c r="IO33" t="e">
        <f>AND(#REF!,"AAAAAHr53/g=")</f>
        <v>#REF!</v>
      </c>
      <c r="IP33" t="e">
        <f>AND(#REF!,"AAAAAHr53/k=")</f>
        <v>#REF!</v>
      </c>
      <c r="IQ33" t="e">
        <f>AND(#REF!,"AAAAAHr53/o=")</f>
        <v>#REF!</v>
      </c>
      <c r="IR33" t="e">
        <f>AND(#REF!,"AAAAAHr53/s=")</f>
        <v>#REF!</v>
      </c>
      <c r="IS33" t="e">
        <f>AND(#REF!,"AAAAAHr53/w=")</f>
        <v>#REF!</v>
      </c>
      <c r="IT33" t="e">
        <f>AND(#REF!,"AAAAAHr53/0=")</f>
        <v>#REF!</v>
      </c>
      <c r="IU33" t="e">
        <f>AND(#REF!,"AAAAAHr53/4=")</f>
        <v>#REF!</v>
      </c>
      <c r="IV33" t="e">
        <f>AND(#REF!,"AAAAAHr53/8=")</f>
        <v>#REF!</v>
      </c>
    </row>
    <row r="34" spans="1:256" x14ac:dyDescent="0.25">
      <c r="A34" t="e">
        <f>IF(#REF!,"AAAAAD+9bgA=",0)</f>
        <v>#REF!</v>
      </c>
      <c r="B34" t="e">
        <f>AND(#REF!,"AAAAAD+9bgE=")</f>
        <v>#REF!</v>
      </c>
      <c r="C34" t="e">
        <f>AND(#REF!,"AAAAAD+9bgI=")</f>
        <v>#REF!</v>
      </c>
      <c r="D34" t="e">
        <f>AND(#REF!,"AAAAAD+9bgM=")</f>
        <v>#REF!</v>
      </c>
      <c r="E34" t="e">
        <f>AND(#REF!,"AAAAAD+9bgQ=")</f>
        <v>#REF!</v>
      </c>
      <c r="F34" t="e">
        <f>AND(#REF!,"AAAAAD+9bgU=")</f>
        <v>#REF!</v>
      </c>
      <c r="G34" t="e">
        <f>AND(#REF!,"AAAAAD+9bgY=")</f>
        <v>#REF!</v>
      </c>
      <c r="H34" t="e">
        <f>AND(#REF!,"AAAAAD+9bgc=")</f>
        <v>#REF!</v>
      </c>
      <c r="I34" t="e">
        <f>AND(#REF!,"AAAAAD+9bgg=")</f>
        <v>#REF!</v>
      </c>
      <c r="J34" t="e">
        <f>AND(#REF!,"AAAAAD+9bgk=")</f>
        <v>#REF!</v>
      </c>
      <c r="K34" t="e">
        <f>AND(#REF!,"AAAAAD+9bgo=")</f>
        <v>#REF!</v>
      </c>
      <c r="L34" t="e">
        <f>AND(#REF!,"AAAAAD+9bgs=")</f>
        <v>#REF!</v>
      </c>
      <c r="M34" t="e">
        <f>AND(#REF!,"AAAAAD+9bgw=")</f>
        <v>#REF!</v>
      </c>
      <c r="N34" t="e">
        <f>AND(#REF!,"AAAAAD+9bg0=")</f>
        <v>#REF!</v>
      </c>
      <c r="O34" t="e">
        <f>AND(#REF!,"AAAAAD+9bg4=")</f>
        <v>#REF!</v>
      </c>
      <c r="P34" t="e">
        <f>AND(#REF!,"AAAAAD+9bg8=")</f>
        <v>#REF!</v>
      </c>
      <c r="Q34" t="e">
        <f>AND(#REF!,"AAAAAD+9bhA=")</f>
        <v>#REF!</v>
      </c>
      <c r="R34" t="e">
        <f>AND(#REF!,"AAAAAD+9bhE=")</f>
        <v>#REF!</v>
      </c>
      <c r="S34" t="e">
        <f>AND(#REF!,"AAAAAD+9bhI=")</f>
        <v>#REF!</v>
      </c>
      <c r="T34" t="e">
        <f>AND(#REF!,"AAAAAD+9bhM=")</f>
        <v>#REF!</v>
      </c>
      <c r="U34" t="e">
        <f>AND(#REF!,"AAAAAD+9bhQ=")</f>
        <v>#REF!</v>
      </c>
      <c r="V34" t="e">
        <f>AND(#REF!,"AAAAAD+9bhU=")</f>
        <v>#REF!</v>
      </c>
      <c r="W34" t="e">
        <f>AND(#REF!,"AAAAAD+9bhY=")</f>
        <v>#REF!</v>
      </c>
      <c r="X34" t="e">
        <f>AND(#REF!,"AAAAAD+9bhc=")</f>
        <v>#REF!</v>
      </c>
      <c r="Y34" t="e">
        <f>AND(#REF!,"AAAAAD+9bhg=")</f>
        <v>#REF!</v>
      </c>
      <c r="Z34" t="e">
        <f>AND(#REF!,"AAAAAD+9bhk=")</f>
        <v>#REF!</v>
      </c>
      <c r="AA34" t="e">
        <f>AND(#REF!,"AAAAAD+9bho=")</f>
        <v>#REF!</v>
      </c>
      <c r="AB34" t="e">
        <f>AND(#REF!,"AAAAAD+9bhs=")</f>
        <v>#REF!</v>
      </c>
      <c r="AC34" t="e">
        <f>AND(#REF!,"AAAAAD+9bhw=")</f>
        <v>#REF!</v>
      </c>
      <c r="AD34" t="e">
        <f>AND(#REF!,"AAAAAD+9bh0=")</f>
        <v>#REF!</v>
      </c>
      <c r="AE34" t="e">
        <f>AND(#REF!,"AAAAAD+9bh4=")</f>
        <v>#REF!</v>
      </c>
      <c r="AF34" t="e">
        <f>AND(#REF!,"AAAAAD+9bh8=")</f>
        <v>#REF!</v>
      </c>
      <c r="AG34" t="e">
        <f>AND(#REF!,"AAAAAD+9biA=")</f>
        <v>#REF!</v>
      </c>
      <c r="AH34" t="e">
        <f>AND(#REF!,"AAAAAD+9biE=")</f>
        <v>#REF!</v>
      </c>
      <c r="AI34" t="e">
        <f>AND(#REF!,"AAAAAD+9biI=")</f>
        <v>#REF!</v>
      </c>
      <c r="AJ34" t="e">
        <f>AND(#REF!,"AAAAAD+9biM=")</f>
        <v>#REF!</v>
      </c>
      <c r="AK34" t="e">
        <f>AND(#REF!,"AAAAAD+9biQ=")</f>
        <v>#REF!</v>
      </c>
      <c r="AL34" t="e">
        <f>AND(#REF!,"AAAAAD+9biU=")</f>
        <v>#REF!</v>
      </c>
      <c r="AM34" t="e">
        <f>AND(#REF!,"AAAAAD+9biY=")</f>
        <v>#REF!</v>
      </c>
      <c r="AN34" t="e">
        <f>AND(#REF!,"AAAAAD+9bic=")</f>
        <v>#REF!</v>
      </c>
      <c r="AO34" t="e">
        <f>AND(#REF!,"AAAAAD+9big=")</f>
        <v>#REF!</v>
      </c>
      <c r="AP34" t="e">
        <f>AND(#REF!,"AAAAAD+9bik=")</f>
        <v>#REF!</v>
      </c>
      <c r="AQ34" t="e">
        <f>AND(#REF!,"AAAAAD+9bio=")</f>
        <v>#REF!</v>
      </c>
      <c r="AR34" t="e">
        <f>AND(#REF!,"AAAAAD+9bis=")</f>
        <v>#REF!</v>
      </c>
      <c r="AS34" t="e">
        <f>IF(#REF!,"AAAAAD+9biw=",0)</f>
        <v>#REF!</v>
      </c>
      <c r="AT34" t="e">
        <f>AND(#REF!,"AAAAAD+9bi0=")</f>
        <v>#REF!</v>
      </c>
      <c r="AU34" t="e">
        <f>AND(#REF!,"AAAAAD+9bi4=")</f>
        <v>#REF!</v>
      </c>
      <c r="AV34" t="e">
        <f>AND(#REF!,"AAAAAD+9bi8=")</f>
        <v>#REF!</v>
      </c>
      <c r="AW34" t="e">
        <f>AND(#REF!,"AAAAAD+9bjA=")</f>
        <v>#REF!</v>
      </c>
      <c r="AX34" t="e">
        <f>AND(#REF!,"AAAAAD+9bjE=")</f>
        <v>#REF!</v>
      </c>
      <c r="AY34" t="e">
        <f>AND(#REF!,"AAAAAD+9bjI=")</f>
        <v>#REF!</v>
      </c>
      <c r="AZ34" t="e">
        <f>AND(#REF!,"AAAAAD+9bjM=")</f>
        <v>#REF!</v>
      </c>
      <c r="BA34" t="e">
        <f>AND(#REF!,"AAAAAD+9bjQ=")</f>
        <v>#REF!</v>
      </c>
      <c r="BB34" t="e">
        <f>AND(#REF!,"AAAAAD+9bjU=")</f>
        <v>#REF!</v>
      </c>
      <c r="BC34" t="e">
        <f>AND(#REF!,"AAAAAD+9bjY=")</f>
        <v>#REF!</v>
      </c>
      <c r="BD34" t="e">
        <f>AND(#REF!,"AAAAAD+9bjc=")</f>
        <v>#REF!</v>
      </c>
      <c r="BE34" t="e">
        <f>AND(#REF!,"AAAAAD+9bjg=")</f>
        <v>#REF!</v>
      </c>
      <c r="BF34" t="e">
        <f>AND(#REF!,"AAAAAD+9bjk=")</f>
        <v>#REF!</v>
      </c>
      <c r="BG34" t="e">
        <f>AND(#REF!,"AAAAAD+9bjo=")</f>
        <v>#REF!</v>
      </c>
      <c r="BH34" t="e">
        <f>AND(#REF!,"AAAAAD+9bjs=")</f>
        <v>#REF!</v>
      </c>
      <c r="BI34" t="e">
        <f>AND(#REF!,"AAAAAD+9bjw=")</f>
        <v>#REF!</v>
      </c>
      <c r="BJ34" t="e">
        <f>AND(#REF!,"AAAAAD+9bj0=")</f>
        <v>#REF!</v>
      </c>
      <c r="BK34" t="e">
        <f>AND(#REF!,"AAAAAD+9bj4=")</f>
        <v>#REF!</v>
      </c>
      <c r="BL34" t="e">
        <f>AND(#REF!,"AAAAAD+9bj8=")</f>
        <v>#REF!</v>
      </c>
      <c r="BM34" t="e">
        <f>AND(#REF!,"AAAAAD+9bkA=")</f>
        <v>#REF!</v>
      </c>
      <c r="BN34" t="e">
        <f>AND(#REF!,"AAAAAD+9bkE=")</f>
        <v>#REF!</v>
      </c>
      <c r="BO34" t="e">
        <f>AND(#REF!,"AAAAAD+9bkI=")</f>
        <v>#REF!</v>
      </c>
      <c r="BP34" t="e">
        <f>AND(#REF!,"AAAAAD+9bkM=")</f>
        <v>#REF!</v>
      </c>
      <c r="BQ34" t="e">
        <f>AND(#REF!,"AAAAAD+9bkQ=")</f>
        <v>#REF!</v>
      </c>
      <c r="BR34" t="e">
        <f>AND(#REF!,"AAAAAD+9bkU=")</f>
        <v>#REF!</v>
      </c>
      <c r="BS34" t="e">
        <f>AND(#REF!,"AAAAAD+9bkY=")</f>
        <v>#REF!</v>
      </c>
      <c r="BT34" t="e">
        <f>AND(#REF!,"AAAAAD+9bkc=")</f>
        <v>#REF!</v>
      </c>
      <c r="BU34" t="e">
        <f>AND(#REF!,"AAAAAD+9bkg=")</f>
        <v>#REF!</v>
      </c>
      <c r="BV34" t="e">
        <f>AND(#REF!,"AAAAAD+9bkk=")</f>
        <v>#REF!</v>
      </c>
      <c r="BW34" t="e">
        <f>AND(#REF!,"AAAAAD+9bko=")</f>
        <v>#REF!</v>
      </c>
      <c r="BX34" t="e">
        <f>AND(#REF!,"AAAAAD+9bks=")</f>
        <v>#REF!</v>
      </c>
      <c r="BY34" t="e">
        <f>AND(#REF!,"AAAAAD+9bkw=")</f>
        <v>#REF!</v>
      </c>
      <c r="BZ34" t="e">
        <f>AND(#REF!,"AAAAAD+9bk0=")</f>
        <v>#REF!</v>
      </c>
      <c r="CA34" t="e">
        <f>AND(#REF!,"AAAAAD+9bk4=")</f>
        <v>#REF!</v>
      </c>
      <c r="CB34" t="e">
        <f>AND(#REF!,"AAAAAD+9bk8=")</f>
        <v>#REF!</v>
      </c>
      <c r="CC34" t="e">
        <f>AND(#REF!,"AAAAAD+9blA=")</f>
        <v>#REF!</v>
      </c>
      <c r="CD34" t="e">
        <f>AND(#REF!,"AAAAAD+9blE=")</f>
        <v>#REF!</v>
      </c>
      <c r="CE34" t="e">
        <f>AND(#REF!,"AAAAAD+9blI=")</f>
        <v>#REF!</v>
      </c>
      <c r="CF34" t="e">
        <f>AND(#REF!,"AAAAAD+9blM=")</f>
        <v>#REF!</v>
      </c>
      <c r="CG34" t="e">
        <f>AND(#REF!,"AAAAAD+9blQ=")</f>
        <v>#REF!</v>
      </c>
      <c r="CH34" t="e">
        <f>AND(#REF!,"AAAAAD+9blU=")</f>
        <v>#REF!</v>
      </c>
      <c r="CI34" t="e">
        <f>AND(#REF!,"AAAAAD+9blY=")</f>
        <v>#REF!</v>
      </c>
      <c r="CJ34" t="e">
        <f>AND(#REF!,"AAAAAD+9blc=")</f>
        <v>#REF!</v>
      </c>
      <c r="CK34" t="e">
        <f>IF(#REF!,"AAAAAD+9blg=",0)</f>
        <v>#REF!</v>
      </c>
      <c r="CL34" t="e">
        <f>AND(#REF!,"AAAAAD+9blk=")</f>
        <v>#REF!</v>
      </c>
      <c r="CM34" t="e">
        <f>AND(#REF!,"AAAAAD+9blo=")</f>
        <v>#REF!</v>
      </c>
      <c r="CN34" t="e">
        <f>AND(#REF!,"AAAAAD+9bls=")</f>
        <v>#REF!</v>
      </c>
      <c r="CO34" t="e">
        <f>AND(#REF!,"AAAAAD+9blw=")</f>
        <v>#REF!</v>
      </c>
      <c r="CP34" t="e">
        <f>AND(#REF!,"AAAAAD+9bl0=")</f>
        <v>#REF!</v>
      </c>
      <c r="CQ34" t="e">
        <f>AND(#REF!,"AAAAAD+9bl4=")</f>
        <v>#REF!</v>
      </c>
      <c r="CR34" t="e">
        <f>AND(#REF!,"AAAAAD+9bl8=")</f>
        <v>#REF!</v>
      </c>
      <c r="CS34" t="e">
        <f>AND(#REF!,"AAAAAD+9bmA=")</f>
        <v>#REF!</v>
      </c>
      <c r="CT34" t="e">
        <f>AND(#REF!,"AAAAAD+9bmE=")</f>
        <v>#REF!</v>
      </c>
      <c r="CU34" t="e">
        <f>AND(#REF!,"AAAAAD+9bmI=")</f>
        <v>#REF!</v>
      </c>
      <c r="CV34" t="e">
        <f>AND(#REF!,"AAAAAD+9bmM=")</f>
        <v>#REF!</v>
      </c>
      <c r="CW34" t="e">
        <f>AND(#REF!,"AAAAAD+9bmQ=")</f>
        <v>#REF!</v>
      </c>
      <c r="CX34" t="e">
        <f>AND(#REF!,"AAAAAD+9bmU=")</f>
        <v>#REF!</v>
      </c>
      <c r="CY34" t="e">
        <f>AND(#REF!,"AAAAAD+9bmY=")</f>
        <v>#REF!</v>
      </c>
      <c r="CZ34" t="e">
        <f>AND(#REF!,"AAAAAD+9bmc=")</f>
        <v>#REF!</v>
      </c>
      <c r="DA34" t="e">
        <f>AND(#REF!,"AAAAAD+9bmg=")</f>
        <v>#REF!</v>
      </c>
      <c r="DB34" t="e">
        <f>AND(#REF!,"AAAAAD+9bmk=")</f>
        <v>#REF!</v>
      </c>
      <c r="DC34" t="e">
        <f>AND(#REF!,"AAAAAD+9bmo=")</f>
        <v>#REF!</v>
      </c>
      <c r="DD34" t="e">
        <f>AND(#REF!,"AAAAAD+9bms=")</f>
        <v>#REF!</v>
      </c>
      <c r="DE34" t="e">
        <f>AND(#REF!,"AAAAAD+9bmw=")</f>
        <v>#REF!</v>
      </c>
      <c r="DF34" t="e">
        <f>AND(#REF!,"AAAAAD+9bm0=")</f>
        <v>#REF!</v>
      </c>
      <c r="DG34" t="e">
        <f>AND(#REF!,"AAAAAD+9bm4=")</f>
        <v>#REF!</v>
      </c>
      <c r="DH34" t="e">
        <f>AND(#REF!,"AAAAAD+9bm8=")</f>
        <v>#REF!</v>
      </c>
      <c r="DI34" t="e">
        <f>AND(#REF!,"AAAAAD+9bnA=")</f>
        <v>#REF!</v>
      </c>
      <c r="DJ34" t="e">
        <f>AND(#REF!,"AAAAAD+9bnE=")</f>
        <v>#REF!</v>
      </c>
      <c r="DK34" t="e">
        <f>AND(#REF!,"AAAAAD+9bnI=")</f>
        <v>#REF!</v>
      </c>
      <c r="DL34" t="e">
        <f>AND(#REF!,"AAAAAD+9bnM=")</f>
        <v>#REF!</v>
      </c>
      <c r="DM34" t="e">
        <f>AND(#REF!,"AAAAAD+9bnQ=")</f>
        <v>#REF!</v>
      </c>
      <c r="DN34" t="e">
        <f>AND(#REF!,"AAAAAD+9bnU=")</f>
        <v>#REF!</v>
      </c>
      <c r="DO34" t="e">
        <f>AND(#REF!,"AAAAAD+9bnY=")</f>
        <v>#REF!</v>
      </c>
      <c r="DP34" t="e">
        <f>AND(#REF!,"AAAAAD+9bnc=")</f>
        <v>#REF!</v>
      </c>
      <c r="DQ34" t="e">
        <f>AND(#REF!,"AAAAAD+9bng=")</f>
        <v>#REF!</v>
      </c>
      <c r="DR34" t="e">
        <f>AND(#REF!,"AAAAAD+9bnk=")</f>
        <v>#REF!</v>
      </c>
      <c r="DS34" t="e">
        <f>AND(#REF!,"AAAAAD+9bno=")</f>
        <v>#REF!</v>
      </c>
      <c r="DT34" t="e">
        <f>AND(#REF!,"AAAAAD+9bns=")</f>
        <v>#REF!</v>
      </c>
      <c r="DU34" t="e">
        <f>AND(#REF!,"AAAAAD+9bnw=")</f>
        <v>#REF!</v>
      </c>
      <c r="DV34" t="e">
        <f>AND(#REF!,"AAAAAD+9bn0=")</f>
        <v>#REF!</v>
      </c>
      <c r="DW34" t="e">
        <f>AND(#REF!,"AAAAAD+9bn4=")</f>
        <v>#REF!</v>
      </c>
      <c r="DX34" t="e">
        <f>AND(#REF!,"AAAAAD+9bn8=")</f>
        <v>#REF!</v>
      </c>
      <c r="DY34" t="e">
        <f>AND(#REF!,"AAAAAD+9boA=")</f>
        <v>#REF!</v>
      </c>
      <c r="DZ34" t="e">
        <f>AND(#REF!,"AAAAAD+9boE=")</f>
        <v>#REF!</v>
      </c>
      <c r="EA34" t="e">
        <f>AND(#REF!,"AAAAAD+9boI=")</f>
        <v>#REF!</v>
      </c>
      <c r="EB34" t="e">
        <f>AND(#REF!,"AAAAAD+9boM=")</f>
        <v>#REF!</v>
      </c>
      <c r="EC34" t="e">
        <f>IF(#REF!,"AAAAAD+9boQ=",0)</f>
        <v>#REF!</v>
      </c>
      <c r="ED34" t="e">
        <f>AND(#REF!,"AAAAAD+9boU=")</f>
        <v>#REF!</v>
      </c>
      <c r="EE34" t="e">
        <f>AND(#REF!,"AAAAAD+9boY=")</f>
        <v>#REF!</v>
      </c>
      <c r="EF34" t="e">
        <f>AND(#REF!,"AAAAAD+9boc=")</f>
        <v>#REF!</v>
      </c>
      <c r="EG34" t="e">
        <f>AND(#REF!,"AAAAAD+9bog=")</f>
        <v>#REF!</v>
      </c>
      <c r="EH34" t="e">
        <f>AND(#REF!,"AAAAAD+9bok=")</f>
        <v>#REF!</v>
      </c>
      <c r="EI34" t="e">
        <f>AND(#REF!,"AAAAAD+9boo=")</f>
        <v>#REF!</v>
      </c>
      <c r="EJ34" t="e">
        <f>AND(#REF!,"AAAAAD+9bos=")</f>
        <v>#REF!</v>
      </c>
      <c r="EK34" t="e">
        <f>AND(#REF!,"AAAAAD+9bow=")</f>
        <v>#REF!</v>
      </c>
      <c r="EL34" t="e">
        <f>AND(#REF!,"AAAAAD+9bo0=")</f>
        <v>#REF!</v>
      </c>
      <c r="EM34" t="e">
        <f>AND(#REF!,"AAAAAD+9bo4=")</f>
        <v>#REF!</v>
      </c>
      <c r="EN34" t="e">
        <f>AND(#REF!,"AAAAAD+9bo8=")</f>
        <v>#REF!</v>
      </c>
      <c r="EO34" t="e">
        <f>AND(#REF!,"AAAAAD+9bpA=")</f>
        <v>#REF!</v>
      </c>
      <c r="EP34" t="e">
        <f>AND(#REF!,"AAAAAD+9bpE=")</f>
        <v>#REF!</v>
      </c>
      <c r="EQ34" t="e">
        <f>AND(#REF!,"AAAAAD+9bpI=")</f>
        <v>#REF!</v>
      </c>
      <c r="ER34" t="e">
        <f>AND(#REF!,"AAAAAD+9bpM=")</f>
        <v>#REF!</v>
      </c>
      <c r="ES34" t="e">
        <f>AND(#REF!,"AAAAAD+9bpQ=")</f>
        <v>#REF!</v>
      </c>
      <c r="ET34" t="e">
        <f>AND(#REF!,"AAAAAD+9bpU=")</f>
        <v>#REF!</v>
      </c>
      <c r="EU34" t="e">
        <f>AND(#REF!,"AAAAAD+9bpY=")</f>
        <v>#REF!</v>
      </c>
      <c r="EV34" t="e">
        <f>AND(#REF!,"AAAAAD+9bpc=")</f>
        <v>#REF!</v>
      </c>
      <c r="EW34" t="e">
        <f>AND(#REF!,"AAAAAD+9bpg=")</f>
        <v>#REF!</v>
      </c>
      <c r="EX34" t="e">
        <f>AND(#REF!,"AAAAAD+9bpk=")</f>
        <v>#REF!</v>
      </c>
      <c r="EY34" t="e">
        <f>AND(#REF!,"AAAAAD+9bpo=")</f>
        <v>#REF!</v>
      </c>
      <c r="EZ34" t="e">
        <f>AND(#REF!,"AAAAAD+9bps=")</f>
        <v>#REF!</v>
      </c>
      <c r="FA34" t="e">
        <f>AND(#REF!,"AAAAAD+9bpw=")</f>
        <v>#REF!</v>
      </c>
      <c r="FB34" t="e">
        <f>AND(#REF!,"AAAAAD+9bp0=")</f>
        <v>#REF!</v>
      </c>
      <c r="FC34" t="e">
        <f>AND(#REF!,"AAAAAD+9bp4=")</f>
        <v>#REF!</v>
      </c>
      <c r="FD34" t="e">
        <f>AND(#REF!,"AAAAAD+9bp8=")</f>
        <v>#REF!</v>
      </c>
      <c r="FE34" t="e">
        <f>AND(#REF!,"AAAAAD+9bqA=")</f>
        <v>#REF!</v>
      </c>
      <c r="FF34" t="e">
        <f>AND(#REF!,"AAAAAD+9bqE=")</f>
        <v>#REF!</v>
      </c>
      <c r="FG34" t="e">
        <f>AND(#REF!,"AAAAAD+9bqI=")</f>
        <v>#REF!</v>
      </c>
      <c r="FH34" t="e">
        <f>AND(#REF!,"AAAAAD+9bqM=")</f>
        <v>#REF!</v>
      </c>
      <c r="FI34" t="e">
        <f>AND(#REF!,"AAAAAD+9bqQ=")</f>
        <v>#REF!</v>
      </c>
      <c r="FJ34" t="e">
        <f>AND(#REF!,"AAAAAD+9bqU=")</f>
        <v>#REF!</v>
      </c>
      <c r="FK34" t="e">
        <f>AND(#REF!,"AAAAAD+9bqY=")</f>
        <v>#REF!</v>
      </c>
      <c r="FL34" t="e">
        <f>AND(#REF!,"AAAAAD+9bqc=")</f>
        <v>#REF!</v>
      </c>
      <c r="FM34" t="e">
        <f>AND(#REF!,"AAAAAD+9bqg=")</f>
        <v>#REF!</v>
      </c>
      <c r="FN34" t="e">
        <f>AND(#REF!,"AAAAAD+9bqk=")</f>
        <v>#REF!</v>
      </c>
      <c r="FO34" t="e">
        <f>AND(#REF!,"AAAAAD+9bqo=")</f>
        <v>#REF!</v>
      </c>
      <c r="FP34" t="e">
        <f>AND(#REF!,"AAAAAD+9bqs=")</f>
        <v>#REF!</v>
      </c>
      <c r="FQ34" t="e">
        <f>AND(#REF!,"AAAAAD+9bqw=")</f>
        <v>#REF!</v>
      </c>
      <c r="FR34" t="e">
        <f>AND(#REF!,"AAAAAD+9bq0=")</f>
        <v>#REF!</v>
      </c>
      <c r="FS34" t="e">
        <f>AND(#REF!,"AAAAAD+9bq4=")</f>
        <v>#REF!</v>
      </c>
      <c r="FT34" t="e">
        <f>AND(#REF!,"AAAAAD+9bq8=")</f>
        <v>#REF!</v>
      </c>
      <c r="FU34" t="e">
        <f>IF(#REF!,"AAAAAD+9brA=",0)</f>
        <v>#REF!</v>
      </c>
      <c r="FV34" t="e">
        <f>AND(#REF!,"AAAAAD+9brE=")</f>
        <v>#REF!</v>
      </c>
      <c r="FW34" t="e">
        <f>AND(#REF!,"AAAAAD+9brI=")</f>
        <v>#REF!</v>
      </c>
      <c r="FX34" t="e">
        <f>AND(#REF!,"AAAAAD+9brM=")</f>
        <v>#REF!</v>
      </c>
      <c r="FY34" t="e">
        <f>AND(#REF!,"AAAAAD+9brQ=")</f>
        <v>#REF!</v>
      </c>
      <c r="FZ34" t="e">
        <f>AND(#REF!,"AAAAAD+9brU=")</f>
        <v>#REF!</v>
      </c>
      <c r="GA34" t="e">
        <f>AND(#REF!,"AAAAAD+9brY=")</f>
        <v>#REF!</v>
      </c>
      <c r="GB34" t="e">
        <f>AND(#REF!,"AAAAAD+9brc=")</f>
        <v>#REF!</v>
      </c>
      <c r="GC34" t="e">
        <f>AND(#REF!,"AAAAAD+9brg=")</f>
        <v>#REF!</v>
      </c>
      <c r="GD34" t="e">
        <f>AND(#REF!,"AAAAAD+9brk=")</f>
        <v>#REF!</v>
      </c>
      <c r="GE34" t="e">
        <f>AND(#REF!,"AAAAAD+9bro=")</f>
        <v>#REF!</v>
      </c>
      <c r="GF34" t="e">
        <f>AND(#REF!,"AAAAAD+9brs=")</f>
        <v>#REF!</v>
      </c>
      <c r="GG34" t="e">
        <f>AND(#REF!,"AAAAAD+9brw=")</f>
        <v>#REF!</v>
      </c>
      <c r="GH34" t="e">
        <f>AND(#REF!,"AAAAAD+9br0=")</f>
        <v>#REF!</v>
      </c>
      <c r="GI34" t="e">
        <f>AND(#REF!,"AAAAAD+9br4=")</f>
        <v>#REF!</v>
      </c>
      <c r="GJ34" t="e">
        <f>AND(#REF!,"AAAAAD+9br8=")</f>
        <v>#REF!</v>
      </c>
      <c r="GK34" t="e">
        <f>AND(#REF!,"AAAAAD+9bsA=")</f>
        <v>#REF!</v>
      </c>
      <c r="GL34" t="e">
        <f>AND(#REF!,"AAAAAD+9bsE=")</f>
        <v>#REF!</v>
      </c>
      <c r="GM34" t="e">
        <f>AND(#REF!,"AAAAAD+9bsI=")</f>
        <v>#REF!</v>
      </c>
      <c r="GN34" t="e">
        <f>AND(#REF!,"AAAAAD+9bsM=")</f>
        <v>#REF!</v>
      </c>
      <c r="GO34" t="e">
        <f>AND(#REF!,"AAAAAD+9bsQ=")</f>
        <v>#REF!</v>
      </c>
      <c r="GP34" t="e">
        <f>AND(#REF!,"AAAAAD+9bsU=")</f>
        <v>#REF!</v>
      </c>
      <c r="GQ34" t="e">
        <f>AND(#REF!,"AAAAAD+9bsY=")</f>
        <v>#REF!</v>
      </c>
      <c r="GR34" t="e">
        <f>AND(#REF!,"AAAAAD+9bsc=")</f>
        <v>#REF!</v>
      </c>
      <c r="GS34" t="e">
        <f>AND(#REF!,"AAAAAD+9bsg=")</f>
        <v>#REF!</v>
      </c>
      <c r="GT34" t="e">
        <f>AND(#REF!,"AAAAAD+9bsk=")</f>
        <v>#REF!</v>
      </c>
      <c r="GU34" t="e">
        <f>AND(#REF!,"AAAAAD+9bso=")</f>
        <v>#REF!</v>
      </c>
      <c r="GV34" t="e">
        <f>AND(#REF!,"AAAAAD+9bss=")</f>
        <v>#REF!</v>
      </c>
      <c r="GW34" t="e">
        <f>AND(#REF!,"AAAAAD+9bsw=")</f>
        <v>#REF!</v>
      </c>
      <c r="GX34" t="e">
        <f>AND(#REF!,"AAAAAD+9bs0=")</f>
        <v>#REF!</v>
      </c>
      <c r="GY34" t="e">
        <f>AND(#REF!,"AAAAAD+9bs4=")</f>
        <v>#REF!</v>
      </c>
      <c r="GZ34" t="e">
        <f>AND(#REF!,"AAAAAD+9bs8=")</f>
        <v>#REF!</v>
      </c>
      <c r="HA34" t="e">
        <f>AND(#REF!,"AAAAAD+9btA=")</f>
        <v>#REF!</v>
      </c>
      <c r="HB34" t="e">
        <f>AND(#REF!,"AAAAAD+9btE=")</f>
        <v>#REF!</v>
      </c>
      <c r="HC34" t="e">
        <f>AND(#REF!,"AAAAAD+9btI=")</f>
        <v>#REF!</v>
      </c>
      <c r="HD34" t="e">
        <f>AND(#REF!,"AAAAAD+9btM=")</f>
        <v>#REF!</v>
      </c>
      <c r="HE34" t="e">
        <f>AND(#REF!,"AAAAAD+9btQ=")</f>
        <v>#REF!</v>
      </c>
      <c r="HF34" t="e">
        <f>AND(#REF!,"AAAAAD+9btU=")</f>
        <v>#REF!</v>
      </c>
      <c r="HG34" t="e">
        <f>AND(#REF!,"AAAAAD+9btY=")</f>
        <v>#REF!</v>
      </c>
      <c r="HH34" t="e">
        <f>AND(#REF!,"AAAAAD+9btc=")</f>
        <v>#REF!</v>
      </c>
      <c r="HI34" t="e">
        <f>AND(#REF!,"AAAAAD+9btg=")</f>
        <v>#REF!</v>
      </c>
      <c r="HJ34" t="e">
        <f>AND(#REF!,"AAAAAD+9btk=")</f>
        <v>#REF!</v>
      </c>
      <c r="HK34" t="e">
        <f>AND(#REF!,"AAAAAD+9bto=")</f>
        <v>#REF!</v>
      </c>
      <c r="HL34" t="e">
        <f>AND(#REF!,"AAAAAD+9bts=")</f>
        <v>#REF!</v>
      </c>
      <c r="HM34" t="e">
        <f>IF(#REF!,"AAAAAD+9btw=",0)</f>
        <v>#REF!</v>
      </c>
      <c r="HN34" t="e">
        <f>AND(#REF!,"AAAAAD+9bt0=")</f>
        <v>#REF!</v>
      </c>
      <c r="HO34" t="e">
        <f>AND(#REF!,"AAAAAD+9bt4=")</f>
        <v>#REF!</v>
      </c>
      <c r="HP34" t="e">
        <f>AND(#REF!,"AAAAAD+9bt8=")</f>
        <v>#REF!</v>
      </c>
      <c r="HQ34" t="e">
        <f>AND(#REF!,"AAAAAD+9buA=")</f>
        <v>#REF!</v>
      </c>
      <c r="HR34" t="e">
        <f>AND(#REF!,"AAAAAD+9buE=")</f>
        <v>#REF!</v>
      </c>
      <c r="HS34" t="e">
        <f>AND(#REF!,"AAAAAD+9buI=")</f>
        <v>#REF!</v>
      </c>
      <c r="HT34" t="e">
        <f>AND(#REF!,"AAAAAD+9buM=")</f>
        <v>#REF!</v>
      </c>
      <c r="HU34" t="e">
        <f>AND(#REF!,"AAAAAD+9buQ=")</f>
        <v>#REF!</v>
      </c>
      <c r="HV34" t="e">
        <f>AND(#REF!,"AAAAAD+9buU=")</f>
        <v>#REF!</v>
      </c>
      <c r="HW34" t="e">
        <f>AND(#REF!,"AAAAAD+9buY=")</f>
        <v>#REF!</v>
      </c>
      <c r="HX34" t="e">
        <f>AND(#REF!,"AAAAAD+9buc=")</f>
        <v>#REF!</v>
      </c>
      <c r="HY34" t="e">
        <f>AND(#REF!,"AAAAAD+9bug=")</f>
        <v>#REF!</v>
      </c>
      <c r="HZ34" t="e">
        <f>AND(#REF!,"AAAAAD+9buk=")</f>
        <v>#REF!</v>
      </c>
      <c r="IA34" t="e">
        <f>AND(#REF!,"AAAAAD+9buo=")</f>
        <v>#REF!</v>
      </c>
      <c r="IB34" t="e">
        <f>AND(#REF!,"AAAAAD+9bus=")</f>
        <v>#REF!</v>
      </c>
      <c r="IC34" t="e">
        <f>AND(#REF!,"AAAAAD+9buw=")</f>
        <v>#REF!</v>
      </c>
      <c r="ID34" t="e">
        <f>AND(#REF!,"AAAAAD+9bu0=")</f>
        <v>#REF!</v>
      </c>
      <c r="IE34" t="e">
        <f>AND(#REF!,"AAAAAD+9bu4=")</f>
        <v>#REF!</v>
      </c>
      <c r="IF34" t="e">
        <f>AND(#REF!,"AAAAAD+9bu8=")</f>
        <v>#REF!</v>
      </c>
      <c r="IG34" t="e">
        <f>AND(#REF!,"AAAAAD+9bvA=")</f>
        <v>#REF!</v>
      </c>
      <c r="IH34" t="e">
        <f>AND(#REF!,"AAAAAD+9bvE=")</f>
        <v>#REF!</v>
      </c>
      <c r="II34" t="e">
        <f>AND(#REF!,"AAAAAD+9bvI=")</f>
        <v>#REF!</v>
      </c>
      <c r="IJ34" t="e">
        <f>AND(#REF!,"AAAAAD+9bvM=")</f>
        <v>#REF!</v>
      </c>
      <c r="IK34" t="e">
        <f>AND(#REF!,"AAAAAD+9bvQ=")</f>
        <v>#REF!</v>
      </c>
      <c r="IL34" t="e">
        <f>AND(#REF!,"AAAAAD+9bvU=")</f>
        <v>#REF!</v>
      </c>
      <c r="IM34" t="e">
        <f>AND(#REF!,"AAAAAD+9bvY=")</f>
        <v>#REF!</v>
      </c>
      <c r="IN34" t="e">
        <f>AND(#REF!,"AAAAAD+9bvc=")</f>
        <v>#REF!</v>
      </c>
      <c r="IO34" t="e">
        <f>AND(#REF!,"AAAAAD+9bvg=")</f>
        <v>#REF!</v>
      </c>
      <c r="IP34" t="e">
        <f>AND(#REF!,"AAAAAD+9bvk=")</f>
        <v>#REF!</v>
      </c>
      <c r="IQ34" t="e">
        <f>AND(#REF!,"AAAAAD+9bvo=")</f>
        <v>#REF!</v>
      </c>
      <c r="IR34" t="e">
        <f>AND(#REF!,"AAAAAD+9bvs=")</f>
        <v>#REF!</v>
      </c>
      <c r="IS34" t="e">
        <f>AND(#REF!,"AAAAAD+9bvw=")</f>
        <v>#REF!</v>
      </c>
      <c r="IT34" t="e">
        <f>AND(#REF!,"AAAAAD+9bv0=")</f>
        <v>#REF!</v>
      </c>
      <c r="IU34" t="e">
        <f>AND(#REF!,"AAAAAD+9bv4=")</f>
        <v>#REF!</v>
      </c>
      <c r="IV34" t="e">
        <f>AND(#REF!,"AAAAAD+9bv8=")</f>
        <v>#REF!</v>
      </c>
    </row>
    <row r="35" spans="1:256" x14ac:dyDescent="0.25">
      <c r="A35" t="e">
        <f>AND(#REF!,"AAAAAD/3/QA=")</f>
        <v>#REF!</v>
      </c>
      <c r="B35" t="e">
        <f>AND(#REF!,"AAAAAD/3/QE=")</f>
        <v>#REF!</v>
      </c>
      <c r="C35" t="e">
        <f>AND(#REF!,"AAAAAD/3/QI=")</f>
        <v>#REF!</v>
      </c>
      <c r="D35" t="e">
        <f>AND(#REF!,"AAAAAD/3/QM=")</f>
        <v>#REF!</v>
      </c>
      <c r="E35" t="e">
        <f>AND(#REF!,"AAAAAD/3/QQ=")</f>
        <v>#REF!</v>
      </c>
      <c r="F35" t="e">
        <f>AND(#REF!,"AAAAAD/3/QU=")</f>
        <v>#REF!</v>
      </c>
      <c r="G35" t="e">
        <f>AND(#REF!,"AAAAAD/3/QY=")</f>
        <v>#REF!</v>
      </c>
      <c r="H35" t="e">
        <f>AND(#REF!,"AAAAAD/3/Qc=")</f>
        <v>#REF!</v>
      </c>
      <c r="I35" t="e">
        <f>IF(#REF!,"AAAAAD/3/Qg=",0)</f>
        <v>#REF!</v>
      </c>
      <c r="J35" t="e">
        <f>AND(#REF!,"AAAAAD/3/Qk=")</f>
        <v>#REF!</v>
      </c>
      <c r="K35" t="e">
        <f>AND(#REF!,"AAAAAD/3/Qo=")</f>
        <v>#REF!</v>
      </c>
      <c r="L35" t="e">
        <f>AND(#REF!,"AAAAAD/3/Qs=")</f>
        <v>#REF!</v>
      </c>
      <c r="M35" t="e">
        <f>AND(#REF!,"AAAAAD/3/Qw=")</f>
        <v>#REF!</v>
      </c>
      <c r="N35" t="e">
        <f>AND(#REF!,"AAAAAD/3/Q0=")</f>
        <v>#REF!</v>
      </c>
      <c r="O35" t="e">
        <f>AND(#REF!,"AAAAAD/3/Q4=")</f>
        <v>#REF!</v>
      </c>
      <c r="P35" t="e">
        <f>AND(#REF!,"AAAAAD/3/Q8=")</f>
        <v>#REF!</v>
      </c>
      <c r="Q35" t="e">
        <f>AND(#REF!,"AAAAAD/3/RA=")</f>
        <v>#REF!</v>
      </c>
      <c r="R35" t="e">
        <f>AND(#REF!,"AAAAAD/3/RE=")</f>
        <v>#REF!</v>
      </c>
      <c r="S35" t="e">
        <f>AND(#REF!,"AAAAAD/3/RI=")</f>
        <v>#REF!</v>
      </c>
      <c r="T35" t="e">
        <f>AND(#REF!,"AAAAAD/3/RM=")</f>
        <v>#REF!</v>
      </c>
      <c r="U35" t="e">
        <f>AND(#REF!,"AAAAAD/3/RQ=")</f>
        <v>#REF!</v>
      </c>
      <c r="V35" t="e">
        <f>AND(#REF!,"AAAAAD/3/RU=")</f>
        <v>#REF!</v>
      </c>
      <c r="W35" t="e">
        <f>AND(#REF!,"AAAAAD/3/RY=")</f>
        <v>#REF!</v>
      </c>
      <c r="X35" t="e">
        <f>AND(#REF!,"AAAAAD/3/Rc=")</f>
        <v>#REF!</v>
      </c>
      <c r="Y35" t="e">
        <f>AND(#REF!,"AAAAAD/3/Rg=")</f>
        <v>#REF!</v>
      </c>
      <c r="Z35" t="e">
        <f>AND(#REF!,"AAAAAD/3/Rk=")</f>
        <v>#REF!</v>
      </c>
      <c r="AA35" t="e">
        <f>AND(#REF!,"AAAAAD/3/Ro=")</f>
        <v>#REF!</v>
      </c>
      <c r="AB35" t="e">
        <f>AND(#REF!,"AAAAAD/3/Rs=")</f>
        <v>#REF!</v>
      </c>
      <c r="AC35" t="e">
        <f>AND(#REF!,"AAAAAD/3/Rw=")</f>
        <v>#REF!</v>
      </c>
      <c r="AD35" t="e">
        <f>AND(#REF!,"AAAAAD/3/R0=")</f>
        <v>#REF!</v>
      </c>
      <c r="AE35" t="e">
        <f>AND(#REF!,"AAAAAD/3/R4=")</f>
        <v>#REF!</v>
      </c>
      <c r="AF35" t="e">
        <f>AND(#REF!,"AAAAAD/3/R8=")</f>
        <v>#REF!</v>
      </c>
      <c r="AG35" t="e">
        <f>AND(#REF!,"AAAAAD/3/SA=")</f>
        <v>#REF!</v>
      </c>
      <c r="AH35" t="e">
        <f>AND(#REF!,"AAAAAD/3/SE=")</f>
        <v>#REF!</v>
      </c>
      <c r="AI35" t="e">
        <f>AND(#REF!,"AAAAAD/3/SI=")</f>
        <v>#REF!</v>
      </c>
      <c r="AJ35" t="e">
        <f>AND(#REF!,"AAAAAD/3/SM=")</f>
        <v>#REF!</v>
      </c>
      <c r="AK35" t="e">
        <f>AND(#REF!,"AAAAAD/3/SQ=")</f>
        <v>#REF!</v>
      </c>
      <c r="AL35" t="e">
        <f>AND(#REF!,"AAAAAD/3/SU=")</f>
        <v>#REF!</v>
      </c>
      <c r="AM35" t="e">
        <f>AND(#REF!,"AAAAAD/3/SY=")</f>
        <v>#REF!</v>
      </c>
      <c r="AN35" t="e">
        <f>AND(#REF!,"AAAAAD/3/Sc=")</f>
        <v>#REF!</v>
      </c>
      <c r="AO35" t="e">
        <f>AND(#REF!,"AAAAAD/3/Sg=")</f>
        <v>#REF!</v>
      </c>
      <c r="AP35" t="e">
        <f>AND(#REF!,"AAAAAD/3/Sk=")</f>
        <v>#REF!</v>
      </c>
      <c r="AQ35" t="e">
        <f>AND(#REF!,"AAAAAD/3/So=")</f>
        <v>#REF!</v>
      </c>
      <c r="AR35" t="e">
        <f>AND(#REF!,"AAAAAD/3/Ss=")</f>
        <v>#REF!</v>
      </c>
      <c r="AS35" t="e">
        <f>AND(#REF!,"AAAAAD/3/Sw=")</f>
        <v>#REF!</v>
      </c>
      <c r="AT35" t="e">
        <f>AND(#REF!,"AAAAAD/3/S0=")</f>
        <v>#REF!</v>
      </c>
      <c r="AU35" t="e">
        <f>AND(#REF!,"AAAAAD/3/S4=")</f>
        <v>#REF!</v>
      </c>
      <c r="AV35" t="e">
        <f>AND(#REF!,"AAAAAD/3/S8=")</f>
        <v>#REF!</v>
      </c>
      <c r="AW35" t="e">
        <f>AND(#REF!,"AAAAAD/3/TA=")</f>
        <v>#REF!</v>
      </c>
      <c r="AX35" t="e">
        <f>AND(#REF!,"AAAAAD/3/TE=")</f>
        <v>#REF!</v>
      </c>
      <c r="AY35" t="e">
        <f>AND(#REF!,"AAAAAD/3/TI=")</f>
        <v>#REF!</v>
      </c>
      <c r="AZ35" t="e">
        <f>AND(#REF!,"AAAAAD/3/TM=")</f>
        <v>#REF!</v>
      </c>
      <c r="BA35" t="e">
        <f>IF(#REF!,"AAAAAD/3/TQ=",0)</f>
        <v>#REF!</v>
      </c>
      <c r="BB35" t="e">
        <f>AND(#REF!,"AAAAAD/3/TU=")</f>
        <v>#REF!</v>
      </c>
      <c r="BC35" t="e">
        <f>AND(#REF!,"AAAAAD/3/TY=")</f>
        <v>#REF!</v>
      </c>
      <c r="BD35" t="e">
        <f>AND(#REF!,"AAAAAD/3/Tc=")</f>
        <v>#REF!</v>
      </c>
      <c r="BE35" t="e">
        <f>AND(#REF!,"AAAAAD/3/Tg=")</f>
        <v>#REF!</v>
      </c>
      <c r="BF35" t="e">
        <f>AND(#REF!,"AAAAAD/3/Tk=")</f>
        <v>#REF!</v>
      </c>
      <c r="BG35" t="e">
        <f>AND(#REF!,"AAAAAD/3/To=")</f>
        <v>#REF!</v>
      </c>
      <c r="BH35" t="e">
        <f>AND(#REF!,"AAAAAD/3/Ts=")</f>
        <v>#REF!</v>
      </c>
      <c r="BI35" t="e">
        <f>AND(#REF!,"AAAAAD/3/Tw=")</f>
        <v>#REF!</v>
      </c>
      <c r="BJ35" t="e">
        <f>AND(#REF!,"AAAAAD/3/T0=")</f>
        <v>#REF!</v>
      </c>
      <c r="BK35" t="e">
        <f>AND(#REF!,"AAAAAD/3/T4=")</f>
        <v>#REF!</v>
      </c>
      <c r="BL35" t="e">
        <f>AND(#REF!,"AAAAAD/3/T8=")</f>
        <v>#REF!</v>
      </c>
      <c r="BM35" t="e">
        <f>AND(#REF!,"AAAAAD/3/UA=")</f>
        <v>#REF!</v>
      </c>
      <c r="BN35" t="e">
        <f>AND(#REF!,"AAAAAD/3/UE=")</f>
        <v>#REF!</v>
      </c>
      <c r="BO35" t="e">
        <f>AND(#REF!,"AAAAAD/3/UI=")</f>
        <v>#REF!</v>
      </c>
      <c r="BP35" t="e">
        <f>AND(#REF!,"AAAAAD/3/UM=")</f>
        <v>#REF!</v>
      </c>
      <c r="BQ35" t="e">
        <f>AND(#REF!,"AAAAAD/3/UQ=")</f>
        <v>#REF!</v>
      </c>
      <c r="BR35" t="e">
        <f>AND(#REF!,"AAAAAD/3/UU=")</f>
        <v>#REF!</v>
      </c>
      <c r="BS35" t="e">
        <f>AND(#REF!,"AAAAAD/3/UY=")</f>
        <v>#REF!</v>
      </c>
      <c r="BT35" t="e">
        <f>AND(#REF!,"AAAAAD/3/Uc=")</f>
        <v>#REF!</v>
      </c>
      <c r="BU35" t="e">
        <f>AND(#REF!,"AAAAAD/3/Ug=")</f>
        <v>#REF!</v>
      </c>
      <c r="BV35" t="e">
        <f>AND(#REF!,"AAAAAD/3/Uk=")</f>
        <v>#REF!</v>
      </c>
      <c r="BW35" t="e">
        <f>AND(#REF!,"AAAAAD/3/Uo=")</f>
        <v>#REF!</v>
      </c>
      <c r="BX35" t="e">
        <f>AND(#REF!,"AAAAAD/3/Us=")</f>
        <v>#REF!</v>
      </c>
      <c r="BY35" t="e">
        <f>AND(#REF!,"AAAAAD/3/Uw=")</f>
        <v>#REF!</v>
      </c>
      <c r="BZ35" t="e">
        <f>AND(#REF!,"AAAAAD/3/U0=")</f>
        <v>#REF!</v>
      </c>
      <c r="CA35" t="e">
        <f>AND(#REF!,"AAAAAD/3/U4=")</f>
        <v>#REF!</v>
      </c>
      <c r="CB35" t="e">
        <f>AND(#REF!,"AAAAAD/3/U8=")</f>
        <v>#REF!</v>
      </c>
      <c r="CC35" t="e">
        <f>AND(#REF!,"AAAAAD/3/VA=")</f>
        <v>#REF!</v>
      </c>
      <c r="CD35" t="e">
        <f>AND(#REF!,"AAAAAD/3/VE=")</f>
        <v>#REF!</v>
      </c>
      <c r="CE35" t="e">
        <f>AND(#REF!,"AAAAAD/3/VI=")</f>
        <v>#REF!</v>
      </c>
      <c r="CF35" t="e">
        <f>AND(#REF!,"AAAAAD/3/VM=")</f>
        <v>#REF!</v>
      </c>
      <c r="CG35" t="e">
        <f>AND(#REF!,"AAAAAD/3/VQ=")</f>
        <v>#REF!</v>
      </c>
      <c r="CH35" t="e">
        <f>AND(#REF!,"AAAAAD/3/VU=")</f>
        <v>#REF!</v>
      </c>
      <c r="CI35" t="e">
        <f>AND(#REF!,"AAAAAD/3/VY=")</f>
        <v>#REF!</v>
      </c>
      <c r="CJ35" t="e">
        <f>AND(#REF!,"AAAAAD/3/Vc=")</f>
        <v>#REF!</v>
      </c>
      <c r="CK35" t="e">
        <f>AND(#REF!,"AAAAAD/3/Vg=")</f>
        <v>#REF!</v>
      </c>
      <c r="CL35" t="e">
        <f>AND(#REF!,"AAAAAD/3/Vk=")</f>
        <v>#REF!</v>
      </c>
      <c r="CM35" t="e">
        <f>AND(#REF!,"AAAAAD/3/Vo=")</f>
        <v>#REF!</v>
      </c>
      <c r="CN35" t="e">
        <f>AND(#REF!,"AAAAAD/3/Vs=")</f>
        <v>#REF!</v>
      </c>
      <c r="CO35" t="e">
        <f>AND(#REF!,"AAAAAD/3/Vw=")</f>
        <v>#REF!</v>
      </c>
      <c r="CP35" t="e">
        <f>AND(#REF!,"AAAAAD/3/V0=")</f>
        <v>#REF!</v>
      </c>
      <c r="CQ35" t="e">
        <f>AND(#REF!,"AAAAAD/3/V4=")</f>
        <v>#REF!</v>
      </c>
      <c r="CR35" t="e">
        <f>AND(#REF!,"AAAAAD/3/V8=")</f>
        <v>#REF!</v>
      </c>
      <c r="CS35" t="e">
        <f>IF(#REF!,"AAAAAD/3/WA=",0)</f>
        <v>#REF!</v>
      </c>
      <c r="CT35" t="e">
        <f>AND(#REF!,"AAAAAD/3/WE=")</f>
        <v>#REF!</v>
      </c>
      <c r="CU35" t="e">
        <f>AND(#REF!,"AAAAAD/3/WI=")</f>
        <v>#REF!</v>
      </c>
      <c r="CV35" t="e">
        <f>AND(#REF!,"AAAAAD/3/WM=")</f>
        <v>#REF!</v>
      </c>
      <c r="CW35" t="e">
        <f>AND(#REF!,"AAAAAD/3/WQ=")</f>
        <v>#REF!</v>
      </c>
      <c r="CX35" t="e">
        <f>AND(#REF!,"AAAAAD/3/WU=")</f>
        <v>#REF!</v>
      </c>
      <c r="CY35" t="e">
        <f>AND(#REF!,"AAAAAD/3/WY=")</f>
        <v>#REF!</v>
      </c>
      <c r="CZ35" t="e">
        <f>AND(#REF!,"AAAAAD/3/Wc=")</f>
        <v>#REF!</v>
      </c>
      <c r="DA35" t="e">
        <f>AND(#REF!,"AAAAAD/3/Wg=")</f>
        <v>#REF!</v>
      </c>
      <c r="DB35" t="e">
        <f>AND(#REF!,"AAAAAD/3/Wk=")</f>
        <v>#REF!</v>
      </c>
      <c r="DC35" t="e">
        <f>AND(#REF!,"AAAAAD/3/Wo=")</f>
        <v>#REF!</v>
      </c>
      <c r="DD35" t="e">
        <f>AND(#REF!,"AAAAAD/3/Ws=")</f>
        <v>#REF!</v>
      </c>
      <c r="DE35" t="e">
        <f>AND(#REF!,"AAAAAD/3/Ww=")</f>
        <v>#REF!</v>
      </c>
      <c r="DF35" t="e">
        <f>AND(#REF!,"AAAAAD/3/W0=")</f>
        <v>#REF!</v>
      </c>
      <c r="DG35" t="e">
        <f>AND(#REF!,"AAAAAD/3/W4=")</f>
        <v>#REF!</v>
      </c>
      <c r="DH35" t="e">
        <f>AND(#REF!,"AAAAAD/3/W8=")</f>
        <v>#REF!</v>
      </c>
      <c r="DI35" t="e">
        <f>AND(#REF!,"AAAAAD/3/XA=")</f>
        <v>#REF!</v>
      </c>
      <c r="DJ35" t="e">
        <f>AND(#REF!,"AAAAAD/3/XE=")</f>
        <v>#REF!</v>
      </c>
      <c r="DK35" t="e">
        <f>AND(#REF!,"AAAAAD/3/XI=")</f>
        <v>#REF!</v>
      </c>
      <c r="DL35" t="e">
        <f>AND(#REF!,"AAAAAD/3/XM=")</f>
        <v>#REF!</v>
      </c>
      <c r="DM35" t="e">
        <f>AND(#REF!,"AAAAAD/3/XQ=")</f>
        <v>#REF!</v>
      </c>
      <c r="DN35" t="e">
        <f>AND(#REF!,"AAAAAD/3/XU=")</f>
        <v>#REF!</v>
      </c>
      <c r="DO35" t="e">
        <f>AND(#REF!,"AAAAAD/3/XY=")</f>
        <v>#REF!</v>
      </c>
      <c r="DP35" t="e">
        <f>AND(#REF!,"AAAAAD/3/Xc=")</f>
        <v>#REF!</v>
      </c>
      <c r="DQ35" t="e">
        <f>AND(#REF!,"AAAAAD/3/Xg=")</f>
        <v>#REF!</v>
      </c>
      <c r="DR35" t="e">
        <f>AND(#REF!,"AAAAAD/3/Xk=")</f>
        <v>#REF!</v>
      </c>
      <c r="DS35" t="e">
        <f>AND(#REF!,"AAAAAD/3/Xo=")</f>
        <v>#REF!</v>
      </c>
      <c r="DT35" t="e">
        <f>AND(#REF!,"AAAAAD/3/Xs=")</f>
        <v>#REF!</v>
      </c>
      <c r="DU35" t="e">
        <f>AND(#REF!,"AAAAAD/3/Xw=")</f>
        <v>#REF!</v>
      </c>
      <c r="DV35" t="e">
        <f>AND(#REF!,"AAAAAD/3/X0=")</f>
        <v>#REF!</v>
      </c>
      <c r="DW35" t="e">
        <f>AND(#REF!,"AAAAAD/3/X4=")</f>
        <v>#REF!</v>
      </c>
      <c r="DX35" t="e">
        <f>AND(#REF!,"AAAAAD/3/X8=")</f>
        <v>#REF!</v>
      </c>
      <c r="DY35" t="e">
        <f>AND(#REF!,"AAAAAD/3/YA=")</f>
        <v>#REF!</v>
      </c>
      <c r="DZ35" t="e">
        <f>AND(#REF!,"AAAAAD/3/YE=")</f>
        <v>#REF!</v>
      </c>
      <c r="EA35" t="e">
        <f>AND(#REF!,"AAAAAD/3/YI=")</f>
        <v>#REF!</v>
      </c>
      <c r="EB35" t="e">
        <f>AND(#REF!,"AAAAAD/3/YM=")</f>
        <v>#REF!</v>
      </c>
      <c r="EC35" t="e">
        <f>AND(#REF!,"AAAAAD/3/YQ=")</f>
        <v>#REF!</v>
      </c>
      <c r="ED35" t="e">
        <f>AND(#REF!,"AAAAAD/3/YU=")</f>
        <v>#REF!</v>
      </c>
      <c r="EE35" t="e">
        <f>AND(#REF!,"AAAAAD/3/YY=")</f>
        <v>#REF!</v>
      </c>
      <c r="EF35" t="e">
        <f>AND(#REF!,"AAAAAD/3/Yc=")</f>
        <v>#REF!</v>
      </c>
      <c r="EG35" t="e">
        <f>AND(#REF!,"AAAAAD/3/Yg=")</f>
        <v>#REF!</v>
      </c>
      <c r="EH35" t="e">
        <f>AND(#REF!,"AAAAAD/3/Yk=")</f>
        <v>#REF!</v>
      </c>
      <c r="EI35" t="e">
        <f>AND(#REF!,"AAAAAD/3/Yo=")</f>
        <v>#REF!</v>
      </c>
      <c r="EJ35" t="e">
        <f>AND(#REF!,"AAAAAD/3/Ys=")</f>
        <v>#REF!</v>
      </c>
      <c r="EK35" t="e">
        <f>IF(#REF!,"AAAAAD/3/Yw=",0)</f>
        <v>#REF!</v>
      </c>
      <c r="EL35" t="e">
        <f>AND(#REF!,"AAAAAD/3/Y0=")</f>
        <v>#REF!</v>
      </c>
      <c r="EM35" t="e">
        <f>AND(#REF!,"AAAAAD/3/Y4=")</f>
        <v>#REF!</v>
      </c>
      <c r="EN35" t="e">
        <f>AND(#REF!,"AAAAAD/3/Y8=")</f>
        <v>#REF!</v>
      </c>
      <c r="EO35" t="e">
        <f>AND(#REF!,"AAAAAD/3/ZA=")</f>
        <v>#REF!</v>
      </c>
      <c r="EP35" t="e">
        <f>AND(#REF!,"AAAAAD/3/ZE=")</f>
        <v>#REF!</v>
      </c>
      <c r="EQ35" t="e">
        <f>AND(#REF!,"AAAAAD/3/ZI=")</f>
        <v>#REF!</v>
      </c>
      <c r="ER35" t="e">
        <f>AND(#REF!,"AAAAAD/3/ZM=")</f>
        <v>#REF!</v>
      </c>
      <c r="ES35" t="e">
        <f>AND(#REF!,"AAAAAD/3/ZQ=")</f>
        <v>#REF!</v>
      </c>
      <c r="ET35" t="e">
        <f>AND(#REF!,"AAAAAD/3/ZU=")</f>
        <v>#REF!</v>
      </c>
      <c r="EU35" t="e">
        <f>AND(#REF!,"AAAAAD/3/ZY=")</f>
        <v>#REF!</v>
      </c>
      <c r="EV35" t="e">
        <f>AND(#REF!,"AAAAAD/3/Zc=")</f>
        <v>#REF!</v>
      </c>
      <c r="EW35" t="e">
        <f>AND(#REF!,"AAAAAD/3/Zg=")</f>
        <v>#REF!</v>
      </c>
      <c r="EX35" t="e">
        <f>AND(#REF!,"AAAAAD/3/Zk=")</f>
        <v>#REF!</v>
      </c>
      <c r="EY35" t="e">
        <f>AND(#REF!,"AAAAAD/3/Zo=")</f>
        <v>#REF!</v>
      </c>
      <c r="EZ35" t="e">
        <f>AND(#REF!,"AAAAAD/3/Zs=")</f>
        <v>#REF!</v>
      </c>
      <c r="FA35" t="e">
        <f>AND(#REF!,"AAAAAD/3/Zw=")</f>
        <v>#REF!</v>
      </c>
      <c r="FB35" t="e">
        <f>AND(#REF!,"AAAAAD/3/Z0=")</f>
        <v>#REF!</v>
      </c>
      <c r="FC35" t="e">
        <f>AND(#REF!,"AAAAAD/3/Z4=")</f>
        <v>#REF!</v>
      </c>
      <c r="FD35" t="e">
        <f>AND(#REF!,"AAAAAD/3/Z8=")</f>
        <v>#REF!</v>
      </c>
      <c r="FE35" t="e">
        <f>AND(#REF!,"AAAAAD/3/aA=")</f>
        <v>#REF!</v>
      </c>
      <c r="FF35" t="e">
        <f>AND(#REF!,"AAAAAD/3/aE=")</f>
        <v>#REF!</v>
      </c>
      <c r="FG35" t="e">
        <f>AND(#REF!,"AAAAAD/3/aI=")</f>
        <v>#REF!</v>
      </c>
      <c r="FH35" t="e">
        <f>AND(#REF!,"AAAAAD/3/aM=")</f>
        <v>#REF!</v>
      </c>
      <c r="FI35" t="e">
        <f>AND(#REF!,"AAAAAD/3/aQ=")</f>
        <v>#REF!</v>
      </c>
      <c r="FJ35" t="e">
        <f>AND(#REF!,"AAAAAD/3/aU=")</f>
        <v>#REF!</v>
      </c>
      <c r="FK35" t="e">
        <f>AND(#REF!,"AAAAAD/3/aY=")</f>
        <v>#REF!</v>
      </c>
      <c r="FL35" t="e">
        <f>AND(#REF!,"AAAAAD/3/ac=")</f>
        <v>#REF!</v>
      </c>
      <c r="FM35" t="e">
        <f>AND(#REF!,"AAAAAD/3/ag=")</f>
        <v>#REF!</v>
      </c>
      <c r="FN35" t="e">
        <f>AND(#REF!,"AAAAAD/3/ak=")</f>
        <v>#REF!</v>
      </c>
      <c r="FO35" t="e">
        <f>AND(#REF!,"AAAAAD/3/ao=")</f>
        <v>#REF!</v>
      </c>
      <c r="FP35" t="e">
        <f>AND(#REF!,"AAAAAD/3/as=")</f>
        <v>#REF!</v>
      </c>
      <c r="FQ35" t="e">
        <f>AND(#REF!,"AAAAAD/3/aw=")</f>
        <v>#REF!</v>
      </c>
      <c r="FR35" t="e">
        <f>AND(#REF!,"AAAAAD/3/a0=")</f>
        <v>#REF!</v>
      </c>
      <c r="FS35" t="e">
        <f>AND(#REF!,"AAAAAD/3/a4=")</f>
        <v>#REF!</v>
      </c>
      <c r="FT35" t="e">
        <f>AND(#REF!,"AAAAAD/3/a8=")</f>
        <v>#REF!</v>
      </c>
      <c r="FU35" t="e">
        <f>AND(#REF!,"AAAAAD/3/bA=")</f>
        <v>#REF!</v>
      </c>
      <c r="FV35" t="e">
        <f>AND(#REF!,"AAAAAD/3/bE=")</f>
        <v>#REF!</v>
      </c>
      <c r="FW35" t="e">
        <f>AND(#REF!,"AAAAAD/3/bI=")</f>
        <v>#REF!</v>
      </c>
      <c r="FX35" t="e">
        <f>AND(#REF!,"AAAAAD/3/bM=")</f>
        <v>#REF!</v>
      </c>
      <c r="FY35" t="e">
        <f>AND(#REF!,"AAAAAD/3/bQ=")</f>
        <v>#REF!</v>
      </c>
      <c r="FZ35" t="e">
        <f>AND(#REF!,"AAAAAD/3/bU=")</f>
        <v>#REF!</v>
      </c>
      <c r="GA35" t="e">
        <f>AND(#REF!,"AAAAAD/3/bY=")</f>
        <v>#REF!</v>
      </c>
      <c r="GB35" t="e">
        <f>AND(#REF!,"AAAAAD/3/bc=")</f>
        <v>#REF!</v>
      </c>
      <c r="GC35" t="e">
        <f>IF(#REF!,"AAAAAD/3/bg=",0)</f>
        <v>#REF!</v>
      </c>
      <c r="GD35" t="e">
        <f>AND(#REF!,"AAAAAD/3/bk=")</f>
        <v>#REF!</v>
      </c>
      <c r="GE35" t="e">
        <f>AND(#REF!,"AAAAAD/3/bo=")</f>
        <v>#REF!</v>
      </c>
      <c r="GF35" t="e">
        <f>AND(#REF!,"AAAAAD/3/bs=")</f>
        <v>#REF!</v>
      </c>
      <c r="GG35" t="e">
        <f>AND(#REF!,"AAAAAD/3/bw=")</f>
        <v>#REF!</v>
      </c>
      <c r="GH35" t="e">
        <f>AND(#REF!,"AAAAAD/3/b0=")</f>
        <v>#REF!</v>
      </c>
      <c r="GI35" t="e">
        <f>AND(#REF!,"AAAAAD/3/b4=")</f>
        <v>#REF!</v>
      </c>
      <c r="GJ35" t="e">
        <f>AND(#REF!,"AAAAAD/3/b8=")</f>
        <v>#REF!</v>
      </c>
      <c r="GK35" t="e">
        <f>AND(#REF!,"AAAAAD/3/cA=")</f>
        <v>#REF!</v>
      </c>
      <c r="GL35" t="e">
        <f>AND(#REF!,"AAAAAD/3/cE=")</f>
        <v>#REF!</v>
      </c>
      <c r="GM35" t="e">
        <f>AND(#REF!,"AAAAAD/3/cI=")</f>
        <v>#REF!</v>
      </c>
      <c r="GN35" t="e">
        <f>AND(#REF!,"AAAAAD/3/cM=")</f>
        <v>#REF!</v>
      </c>
      <c r="GO35" t="e">
        <f>AND(#REF!,"AAAAAD/3/cQ=")</f>
        <v>#REF!</v>
      </c>
      <c r="GP35" t="e">
        <f>AND(#REF!,"AAAAAD/3/cU=")</f>
        <v>#REF!</v>
      </c>
      <c r="GQ35" t="e">
        <f>AND(#REF!,"AAAAAD/3/cY=")</f>
        <v>#REF!</v>
      </c>
      <c r="GR35" t="e">
        <f>AND(#REF!,"AAAAAD/3/cc=")</f>
        <v>#REF!</v>
      </c>
      <c r="GS35" t="e">
        <f>AND(#REF!,"AAAAAD/3/cg=")</f>
        <v>#REF!</v>
      </c>
      <c r="GT35" t="e">
        <f>AND(#REF!,"AAAAAD/3/ck=")</f>
        <v>#REF!</v>
      </c>
      <c r="GU35" t="e">
        <f>AND(#REF!,"AAAAAD/3/co=")</f>
        <v>#REF!</v>
      </c>
      <c r="GV35" t="e">
        <f>AND(#REF!,"AAAAAD/3/cs=")</f>
        <v>#REF!</v>
      </c>
      <c r="GW35" t="e">
        <f>AND(#REF!,"AAAAAD/3/cw=")</f>
        <v>#REF!</v>
      </c>
      <c r="GX35" t="e">
        <f>AND(#REF!,"AAAAAD/3/c0=")</f>
        <v>#REF!</v>
      </c>
      <c r="GY35" t="e">
        <f>AND(#REF!,"AAAAAD/3/c4=")</f>
        <v>#REF!</v>
      </c>
      <c r="GZ35" t="e">
        <f>AND(#REF!,"AAAAAD/3/c8=")</f>
        <v>#REF!</v>
      </c>
      <c r="HA35" t="e">
        <f>AND(#REF!,"AAAAAD/3/dA=")</f>
        <v>#REF!</v>
      </c>
      <c r="HB35" t="e">
        <f>AND(#REF!,"AAAAAD/3/dE=")</f>
        <v>#REF!</v>
      </c>
      <c r="HC35" t="e">
        <f>AND(#REF!,"AAAAAD/3/dI=")</f>
        <v>#REF!</v>
      </c>
      <c r="HD35" t="e">
        <f>AND(#REF!,"AAAAAD/3/dM=")</f>
        <v>#REF!</v>
      </c>
      <c r="HE35" t="e">
        <f>AND(#REF!,"AAAAAD/3/dQ=")</f>
        <v>#REF!</v>
      </c>
      <c r="HF35" t="e">
        <f>AND(#REF!,"AAAAAD/3/dU=")</f>
        <v>#REF!</v>
      </c>
      <c r="HG35" t="e">
        <f>AND(#REF!,"AAAAAD/3/dY=")</f>
        <v>#REF!</v>
      </c>
      <c r="HH35" t="e">
        <f>AND(#REF!,"AAAAAD/3/dc=")</f>
        <v>#REF!</v>
      </c>
      <c r="HI35" t="e">
        <f>AND(#REF!,"AAAAAD/3/dg=")</f>
        <v>#REF!</v>
      </c>
      <c r="HJ35" t="e">
        <f>AND(#REF!,"AAAAAD/3/dk=")</f>
        <v>#REF!</v>
      </c>
      <c r="HK35" t="e">
        <f>AND(#REF!,"AAAAAD/3/do=")</f>
        <v>#REF!</v>
      </c>
      <c r="HL35" t="e">
        <f>AND(#REF!,"AAAAAD/3/ds=")</f>
        <v>#REF!</v>
      </c>
      <c r="HM35" t="e">
        <f>AND(#REF!,"AAAAAD/3/dw=")</f>
        <v>#REF!</v>
      </c>
      <c r="HN35" t="e">
        <f>AND(#REF!,"AAAAAD/3/d0=")</f>
        <v>#REF!</v>
      </c>
      <c r="HO35" t="e">
        <f>AND(#REF!,"AAAAAD/3/d4=")</f>
        <v>#REF!</v>
      </c>
      <c r="HP35" t="e">
        <f>AND(#REF!,"AAAAAD/3/d8=")</f>
        <v>#REF!</v>
      </c>
      <c r="HQ35" t="e">
        <f>AND(#REF!,"AAAAAD/3/eA=")</f>
        <v>#REF!</v>
      </c>
      <c r="HR35" t="e">
        <f>AND(#REF!,"AAAAAD/3/eE=")</f>
        <v>#REF!</v>
      </c>
      <c r="HS35" t="e">
        <f>AND(#REF!,"AAAAAD/3/eI=")</f>
        <v>#REF!</v>
      </c>
      <c r="HT35" t="e">
        <f>AND(#REF!,"AAAAAD/3/eM=")</f>
        <v>#REF!</v>
      </c>
      <c r="HU35" t="e">
        <f>IF(#REF!,"AAAAAD/3/eQ=",0)</f>
        <v>#REF!</v>
      </c>
      <c r="HV35" t="e">
        <f>AND(#REF!,"AAAAAD/3/eU=")</f>
        <v>#REF!</v>
      </c>
      <c r="HW35" t="e">
        <f>AND(#REF!,"AAAAAD/3/eY=")</f>
        <v>#REF!</v>
      </c>
      <c r="HX35" t="e">
        <f>AND(#REF!,"AAAAAD/3/ec=")</f>
        <v>#REF!</v>
      </c>
      <c r="HY35" t="e">
        <f>AND(#REF!,"AAAAAD/3/eg=")</f>
        <v>#REF!</v>
      </c>
      <c r="HZ35" t="e">
        <f>AND(#REF!,"AAAAAD/3/ek=")</f>
        <v>#REF!</v>
      </c>
      <c r="IA35" t="e">
        <f>AND(#REF!,"AAAAAD/3/eo=")</f>
        <v>#REF!</v>
      </c>
      <c r="IB35" t="e">
        <f>AND(#REF!,"AAAAAD/3/es=")</f>
        <v>#REF!</v>
      </c>
      <c r="IC35" t="e">
        <f>AND(#REF!,"AAAAAD/3/ew=")</f>
        <v>#REF!</v>
      </c>
      <c r="ID35" t="e">
        <f>AND(#REF!,"AAAAAD/3/e0=")</f>
        <v>#REF!</v>
      </c>
      <c r="IE35" t="e">
        <f>AND(#REF!,"AAAAAD/3/e4=")</f>
        <v>#REF!</v>
      </c>
      <c r="IF35" t="e">
        <f>AND(#REF!,"AAAAAD/3/e8=")</f>
        <v>#REF!</v>
      </c>
      <c r="IG35" t="e">
        <f>AND(#REF!,"AAAAAD/3/fA=")</f>
        <v>#REF!</v>
      </c>
      <c r="IH35" t="e">
        <f>AND(#REF!,"AAAAAD/3/fE=")</f>
        <v>#REF!</v>
      </c>
      <c r="II35" t="e">
        <f>AND(#REF!,"AAAAAD/3/fI=")</f>
        <v>#REF!</v>
      </c>
      <c r="IJ35" t="e">
        <f>AND(#REF!,"AAAAAD/3/fM=")</f>
        <v>#REF!</v>
      </c>
      <c r="IK35" t="e">
        <f>AND(#REF!,"AAAAAD/3/fQ=")</f>
        <v>#REF!</v>
      </c>
      <c r="IL35" t="e">
        <f>AND(#REF!,"AAAAAD/3/fU=")</f>
        <v>#REF!</v>
      </c>
      <c r="IM35" t="e">
        <f>AND(#REF!,"AAAAAD/3/fY=")</f>
        <v>#REF!</v>
      </c>
      <c r="IN35" t="e">
        <f>AND(#REF!,"AAAAAD/3/fc=")</f>
        <v>#REF!</v>
      </c>
      <c r="IO35" t="e">
        <f>AND(#REF!,"AAAAAD/3/fg=")</f>
        <v>#REF!</v>
      </c>
      <c r="IP35" t="e">
        <f>AND(#REF!,"AAAAAD/3/fk=")</f>
        <v>#REF!</v>
      </c>
      <c r="IQ35" t="e">
        <f>AND(#REF!,"AAAAAD/3/fo=")</f>
        <v>#REF!</v>
      </c>
      <c r="IR35" t="e">
        <f>AND(#REF!,"AAAAAD/3/fs=")</f>
        <v>#REF!</v>
      </c>
      <c r="IS35" t="e">
        <f>AND(#REF!,"AAAAAD/3/fw=")</f>
        <v>#REF!</v>
      </c>
      <c r="IT35" t="e">
        <f>AND(#REF!,"AAAAAD/3/f0=")</f>
        <v>#REF!</v>
      </c>
      <c r="IU35" t="e">
        <f>AND(#REF!,"AAAAAD/3/f4=")</f>
        <v>#REF!</v>
      </c>
      <c r="IV35" t="e">
        <f>AND(#REF!,"AAAAAD/3/f8=")</f>
        <v>#REF!</v>
      </c>
    </row>
    <row r="36" spans="1:256" x14ac:dyDescent="0.25">
      <c r="A36" t="e">
        <f>AND(#REF!,"AAAAAGzeVQA=")</f>
        <v>#REF!</v>
      </c>
      <c r="B36" t="e">
        <f>AND(#REF!,"AAAAAGzeVQE=")</f>
        <v>#REF!</v>
      </c>
      <c r="C36" t="e">
        <f>AND(#REF!,"AAAAAGzeVQI=")</f>
        <v>#REF!</v>
      </c>
      <c r="D36" t="e">
        <f>AND(#REF!,"AAAAAGzeVQM=")</f>
        <v>#REF!</v>
      </c>
      <c r="E36" t="e">
        <f>AND(#REF!,"AAAAAGzeVQQ=")</f>
        <v>#REF!</v>
      </c>
      <c r="F36" t="e">
        <f>AND(#REF!,"AAAAAGzeVQU=")</f>
        <v>#REF!</v>
      </c>
      <c r="G36" t="e">
        <f>AND(#REF!,"AAAAAGzeVQY=")</f>
        <v>#REF!</v>
      </c>
      <c r="H36" t="e">
        <f>AND(#REF!,"AAAAAGzeVQc=")</f>
        <v>#REF!</v>
      </c>
      <c r="I36" t="e">
        <f>AND(#REF!,"AAAAAGzeVQg=")</f>
        <v>#REF!</v>
      </c>
      <c r="J36" t="e">
        <f>AND(#REF!,"AAAAAGzeVQk=")</f>
        <v>#REF!</v>
      </c>
      <c r="K36" t="e">
        <f>AND(#REF!,"AAAAAGzeVQo=")</f>
        <v>#REF!</v>
      </c>
      <c r="L36" t="e">
        <f>AND(#REF!,"AAAAAGzeVQs=")</f>
        <v>#REF!</v>
      </c>
      <c r="M36" t="e">
        <f>AND(#REF!,"AAAAAGzeVQw=")</f>
        <v>#REF!</v>
      </c>
      <c r="N36" t="e">
        <f>AND(#REF!,"AAAAAGzeVQ0=")</f>
        <v>#REF!</v>
      </c>
      <c r="O36" t="e">
        <f>AND(#REF!,"AAAAAGzeVQ4=")</f>
        <v>#REF!</v>
      </c>
      <c r="P36" t="e">
        <f>AND(#REF!,"AAAAAGzeVQ8=")</f>
        <v>#REF!</v>
      </c>
      <c r="Q36" t="e">
        <f>IF(#REF!,"AAAAAGzeVRA=",0)</f>
        <v>#REF!</v>
      </c>
      <c r="R36" t="e">
        <f>AND(#REF!,"AAAAAGzeVRE=")</f>
        <v>#REF!</v>
      </c>
      <c r="S36" t="e">
        <f>AND(#REF!,"AAAAAGzeVRI=")</f>
        <v>#REF!</v>
      </c>
      <c r="T36" t="e">
        <f>AND(#REF!,"AAAAAGzeVRM=")</f>
        <v>#REF!</v>
      </c>
      <c r="U36" t="e">
        <f>AND(#REF!,"AAAAAGzeVRQ=")</f>
        <v>#REF!</v>
      </c>
      <c r="V36" t="e">
        <f>AND(#REF!,"AAAAAGzeVRU=")</f>
        <v>#REF!</v>
      </c>
      <c r="W36" t="e">
        <f>AND(#REF!,"AAAAAGzeVRY=")</f>
        <v>#REF!</v>
      </c>
      <c r="X36" t="e">
        <f>AND(#REF!,"AAAAAGzeVRc=")</f>
        <v>#REF!</v>
      </c>
      <c r="Y36" t="e">
        <f>AND(#REF!,"AAAAAGzeVRg=")</f>
        <v>#REF!</v>
      </c>
      <c r="Z36" t="e">
        <f>AND(#REF!,"AAAAAGzeVRk=")</f>
        <v>#REF!</v>
      </c>
      <c r="AA36" t="e">
        <f>AND(#REF!,"AAAAAGzeVRo=")</f>
        <v>#REF!</v>
      </c>
      <c r="AB36" t="e">
        <f>AND(#REF!,"AAAAAGzeVRs=")</f>
        <v>#REF!</v>
      </c>
      <c r="AC36" t="e">
        <f>AND(#REF!,"AAAAAGzeVRw=")</f>
        <v>#REF!</v>
      </c>
      <c r="AD36" t="e">
        <f>AND(#REF!,"AAAAAGzeVR0=")</f>
        <v>#REF!</v>
      </c>
      <c r="AE36" t="e">
        <f>AND(#REF!,"AAAAAGzeVR4=")</f>
        <v>#REF!</v>
      </c>
      <c r="AF36" t="e">
        <f>AND(#REF!,"AAAAAGzeVR8=")</f>
        <v>#REF!</v>
      </c>
      <c r="AG36" t="e">
        <f>AND(#REF!,"AAAAAGzeVSA=")</f>
        <v>#REF!</v>
      </c>
      <c r="AH36" t="e">
        <f>AND(#REF!,"AAAAAGzeVSE=")</f>
        <v>#REF!</v>
      </c>
      <c r="AI36" t="e">
        <f>AND(#REF!,"AAAAAGzeVSI=")</f>
        <v>#REF!</v>
      </c>
      <c r="AJ36" t="e">
        <f>AND(#REF!,"AAAAAGzeVSM=")</f>
        <v>#REF!</v>
      </c>
      <c r="AK36" t="e">
        <f>AND(#REF!,"AAAAAGzeVSQ=")</f>
        <v>#REF!</v>
      </c>
      <c r="AL36" t="e">
        <f>AND(#REF!,"AAAAAGzeVSU=")</f>
        <v>#REF!</v>
      </c>
      <c r="AM36" t="e">
        <f>AND(#REF!,"AAAAAGzeVSY=")</f>
        <v>#REF!</v>
      </c>
      <c r="AN36" t="e">
        <f>AND(#REF!,"AAAAAGzeVSc=")</f>
        <v>#REF!</v>
      </c>
      <c r="AO36" t="e">
        <f>AND(#REF!,"AAAAAGzeVSg=")</f>
        <v>#REF!</v>
      </c>
      <c r="AP36" t="e">
        <f>AND(#REF!,"AAAAAGzeVSk=")</f>
        <v>#REF!</v>
      </c>
      <c r="AQ36" t="e">
        <f>AND(#REF!,"AAAAAGzeVSo=")</f>
        <v>#REF!</v>
      </c>
      <c r="AR36" t="e">
        <f>AND(#REF!,"AAAAAGzeVSs=")</f>
        <v>#REF!</v>
      </c>
      <c r="AS36" t="e">
        <f>AND(#REF!,"AAAAAGzeVSw=")</f>
        <v>#REF!</v>
      </c>
      <c r="AT36" t="e">
        <f>AND(#REF!,"AAAAAGzeVS0=")</f>
        <v>#REF!</v>
      </c>
      <c r="AU36" t="e">
        <f>AND(#REF!,"AAAAAGzeVS4=")</f>
        <v>#REF!</v>
      </c>
      <c r="AV36" t="e">
        <f>AND(#REF!,"AAAAAGzeVS8=")</f>
        <v>#REF!</v>
      </c>
      <c r="AW36" t="e">
        <f>AND(#REF!,"AAAAAGzeVTA=")</f>
        <v>#REF!</v>
      </c>
      <c r="AX36" t="e">
        <f>AND(#REF!,"AAAAAGzeVTE=")</f>
        <v>#REF!</v>
      </c>
      <c r="AY36" t="e">
        <f>AND(#REF!,"AAAAAGzeVTI=")</f>
        <v>#REF!</v>
      </c>
      <c r="AZ36" t="e">
        <f>AND(#REF!,"AAAAAGzeVTM=")</f>
        <v>#REF!</v>
      </c>
      <c r="BA36" t="e">
        <f>AND(#REF!,"AAAAAGzeVTQ=")</f>
        <v>#REF!</v>
      </c>
      <c r="BB36" t="e">
        <f>AND(#REF!,"AAAAAGzeVTU=")</f>
        <v>#REF!</v>
      </c>
      <c r="BC36" t="e">
        <f>AND(#REF!,"AAAAAGzeVTY=")</f>
        <v>#REF!</v>
      </c>
      <c r="BD36" t="e">
        <f>AND(#REF!,"AAAAAGzeVTc=")</f>
        <v>#REF!</v>
      </c>
      <c r="BE36" t="e">
        <f>AND(#REF!,"AAAAAGzeVTg=")</f>
        <v>#REF!</v>
      </c>
      <c r="BF36" t="e">
        <f>AND(#REF!,"AAAAAGzeVTk=")</f>
        <v>#REF!</v>
      </c>
      <c r="BG36" t="e">
        <f>AND(#REF!,"AAAAAGzeVTo=")</f>
        <v>#REF!</v>
      </c>
      <c r="BH36" t="e">
        <f>AND(#REF!,"AAAAAGzeVTs=")</f>
        <v>#REF!</v>
      </c>
      <c r="BI36" t="e">
        <f>IF(#REF!,"AAAAAGzeVTw=",0)</f>
        <v>#REF!</v>
      </c>
      <c r="BJ36" t="e">
        <f>AND(#REF!,"AAAAAGzeVT0=")</f>
        <v>#REF!</v>
      </c>
      <c r="BK36" t="e">
        <f>AND(#REF!,"AAAAAGzeVT4=")</f>
        <v>#REF!</v>
      </c>
      <c r="BL36" t="e">
        <f>AND(#REF!,"AAAAAGzeVT8=")</f>
        <v>#REF!</v>
      </c>
      <c r="BM36" t="e">
        <f>AND(#REF!,"AAAAAGzeVUA=")</f>
        <v>#REF!</v>
      </c>
      <c r="BN36" t="e">
        <f>AND(#REF!,"AAAAAGzeVUE=")</f>
        <v>#REF!</v>
      </c>
      <c r="BO36" t="e">
        <f>AND(#REF!,"AAAAAGzeVUI=")</f>
        <v>#REF!</v>
      </c>
      <c r="BP36" t="e">
        <f>AND(#REF!,"AAAAAGzeVUM=")</f>
        <v>#REF!</v>
      </c>
      <c r="BQ36" t="e">
        <f>AND(#REF!,"AAAAAGzeVUQ=")</f>
        <v>#REF!</v>
      </c>
      <c r="BR36" t="e">
        <f>AND(#REF!,"AAAAAGzeVUU=")</f>
        <v>#REF!</v>
      </c>
      <c r="BS36" t="e">
        <f>AND(#REF!,"AAAAAGzeVUY=")</f>
        <v>#REF!</v>
      </c>
      <c r="BT36" t="e">
        <f>AND(#REF!,"AAAAAGzeVUc=")</f>
        <v>#REF!</v>
      </c>
      <c r="BU36" t="e">
        <f>AND(#REF!,"AAAAAGzeVUg=")</f>
        <v>#REF!</v>
      </c>
      <c r="BV36" t="e">
        <f>AND(#REF!,"AAAAAGzeVUk=")</f>
        <v>#REF!</v>
      </c>
      <c r="BW36" t="e">
        <f>AND(#REF!,"AAAAAGzeVUo=")</f>
        <v>#REF!</v>
      </c>
      <c r="BX36" t="e">
        <f>AND(#REF!,"AAAAAGzeVUs=")</f>
        <v>#REF!</v>
      </c>
      <c r="BY36" t="e">
        <f>AND(#REF!,"AAAAAGzeVUw=")</f>
        <v>#REF!</v>
      </c>
      <c r="BZ36" t="e">
        <f>AND(#REF!,"AAAAAGzeVU0=")</f>
        <v>#REF!</v>
      </c>
      <c r="CA36" t="e">
        <f>AND(#REF!,"AAAAAGzeVU4=")</f>
        <v>#REF!</v>
      </c>
      <c r="CB36" t="e">
        <f>AND(#REF!,"AAAAAGzeVU8=")</f>
        <v>#REF!</v>
      </c>
      <c r="CC36" t="e">
        <f>AND(#REF!,"AAAAAGzeVVA=")</f>
        <v>#REF!</v>
      </c>
      <c r="CD36" t="e">
        <f>AND(#REF!,"AAAAAGzeVVE=")</f>
        <v>#REF!</v>
      </c>
      <c r="CE36" t="e">
        <f>AND(#REF!,"AAAAAGzeVVI=")</f>
        <v>#REF!</v>
      </c>
      <c r="CF36" t="e">
        <f>AND(#REF!,"AAAAAGzeVVM=")</f>
        <v>#REF!</v>
      </c>
      <c r="CG36" t="e">
        <f>AND(#REF!,"AAAAAGzeVVQ=")</f>
        <v>#REF!</v>
      </c>
      <c r="CH36" t="e">
        <f>AND(#REF!,"AAAAAGzeVVU=")</f>
        <v>#REF!</v>
      </c>
      <c r="CI36" t="e">
        <f>AND(#REF!,"AAAAAGzeVVY=")</f>
        <v>#REF!</v>
      </c>
      <c r="CJ36" t="e">
        <f>AND(#REF!,"AAAAAGzeVVc=")</f>
        <v>#REF!</v>
      </c>
      <c r="CK36" t="e">
        <f>AND(#REF!,"AAAAAGzeVVg=")</f>
        <v>#REF!</v>
      </c>
      <c r="CL36" t="e">
        <f>AND(#REF!,"AAAAAGzeVVk=")</f>
        <v>#REF!</v>
      </c>
      <c r="CM36" t="e">
        <f>AND(#REF!,"AAAAAGzeVVo=")</f>
        <v>#REF!</v>
      </c>
      <c r="CN36" t="e">
        <f>AND(#REF!,"AAAAAGzeVVs=")</f>
        <v>#REF!</v>
      </c>
      <c r="CO36" t="e">
        <f>AND(#REF!,"AAAAAGzeVVw=")</f>
        <v>#REF!</v>
      </c>
      <c r="CP36" t="e">
        <f>AND(#REF!,"AAAAAGzeVV0=")</f>
        <v>#REF!</v>
      </c>
      <c r="CQ36" t="e">
        <f>AND(#REF!,"AAAAAGzeVV4=")</f>
        <v>#REF!</v>
      </c>
      <c r="CR36" t="e">
        <f>AND(#REF!,"AAAAAGzeVV8=")</f>
        <v>#REF!</v>
      </c>
      <c r="CS36" t="e">
        <f>AND(#REF!,"AAAAAGzeVWA=")</f>
        <v>#REF!</v>
      </c>
      <c r="CT36" t="e">
        <f>AND(#REF!,"AAAAAGzeVWE=")</f>
        <v>#REF!</v>
      </c>
      <c r="CU36" t="e">
        <f>AND(#REF!,"AAAAAGzeVWI=")</f>
        <v>#REF!</v>
      </c>
      <c r="CV36" t="e">
        <f>AND(#REF!,"AAAAAGzeVWM=")</f>
        <v>#REF!</v>
      </c>
      <c r="CW36" t="e">
        <f>AND(#REF!,"AAAAAGzeVWQ=")</f>
        <v>#REF!</v>
      </c>
      <c r="CX36" t="e">
        <f>AND(#REF!,"AAAAAGzeVWU=")</f>
        <v>#REF!</v>
      </c>
      <c r="CY36" t="e">
        <f>AND(#REF!,"AAAAAGzeVWY=")</f>
        <v>#REF!</v>
      </c>
      <c r="CZ36" t="e">
        <f>AND(#REF!,"AAAAAGzeVWc=")</f>
        <v>#REF!</v>
      </c>
      <c r="DA36" t="e">
        <f>IF(#REF!,"AAAAAGzeVWg=",0)</f>
        <v>#REF!</v>
      </c>
      <c r="DB36" t="e">
        <f>AND(#REF!,"AAAAAGzeVWk=")</f>
        <v>#REF!</v>
      </c>
      <c r="DC36" t="e">
        <f>AND(#REF!,"AAAAAGzeVWo=")</f>
        <v>#REF!</v>
      </c>
      <c r="DD36" t="e">
        <f>AND(#REF!,"AAAAAGzeVWs=")</f>
        <v>#REF!</v>
      </c>
      <c r="DE36" t="e">
        <f>AND(#REF!,"AAAAAGzeVWw=")</f>
        <v>#REF!</v>
      </c>
      <c r="DF36" t="e">
        <f>AND(#REF!,"AAAAAGzeVW0=")</f>
        <v>#REF!</v>
      </c>
      <c r="DG36" t="e">
        <f>AND(#REF!,"AAAAAGzeVW4=")</f>
        <v>#REF!</v>
      </c>
      <c r="DH36" t="e">
        <f>AND(#REF!,"AAAAAGzeVW8=")</f>
        <v>#REF!</v>
      </c>
      <c r="DI36" t="e">
        <f>AND(#REF!,"AAAAAGzeVXA=")</f>
        <v>#REF!</v>
      </c>
      <c r="DJ36" t="e">
        <f>AND(#REF!,"AAAAAGzeVXE=")</f>
        <v>#REF!</v>
      </c>
      <c r="DK36" t="e">
        <f>AND(#REF!,"AAAAAGzeVXI=")</f>
        <v>#REF!</v>
      </c>
      <c r="DL36" t="e">
        <f>AND(#REF!,"AAAAAGzeVXM=")</f>
        <v>#REF!</v>
      </c>
      <c r="DM36" t="e">
        <f>AND(#REF!,"AAAAAGzeVXQ=")</f>
        <v>#REF!</v>
      </c>
      <c r="DN36" t="e">
        <f>AND(#REF!,"AAAAAGzeVXU=")</f>
        <v>#REF!</v>
      </c>
      <c r="DO36" t="e">
        <f>AND(#REF!,"AAAAAGzeVXY=")</f>
        <v>#REF!</v>
      </c>
      <c r="DP36" t="e">
        <f>AND(#REF!,"AAAAAGzeVXc=")</f>
        <v>#REF!</v>
      </c>
      <c r="DQ36" t="e">
        <f>AND(#REF!,"AAAAAGzeVXg=")</f>
        <v>#REF!</v>
      </c>
      <c r="DR36" t="e">
        <f>AND(#REF!,"AAAAAGzeVXk=")</f>
        <v>#REF!</v>
      </c>
      <c r="DS36" t="e">
        <f>AND(#REF!,"AAAAAGzeVXo=")</f>
        <v>#REF!</v>
      </c>
      <c r="DT36" t="e">
        <f>AND(#REF!,"AAAAAGzeVXs=")</f>
        <v>#REF!</v>
      </c>
      <c r="DU36" t="e">
        <f>AND(#REF!,"AAAAAGzeVXw=")</f>
        <v>#REF!</v>
      </c>
      <c r="DV36" t="e">
        <f>AND(#REF!,"AAAAAGzeVX0=")</f>
        <v>#REF!</v>
      </c>
      <c r="DW36" t="e">
        <f>AND(#REF!,"AAAAAGzeVX4=")</f>
        <v>#REF!</v>
      </c>
      <c r="DX36" t="e">
        <f>AND(#REF!,"AAAAAGzeVX8=")</f>
        <v>#REF!</v>
      </c>
      <c r="DY36" t="e">
        <f>AND(#REF!,"AAAAAGzeVYA=")</f>
        <v>#REF!</v>
      </c>
      <c r="DZ36" t="e">
        <f>AND(#REF!,"AAAAAGzeVYE=")</f>
        <v>#REF!</v>
      </c>
      <c r="EA36" t="e">
        <f>AND(#REF!,"AAAAAGzeVYI=")</f>
        <v>#REF!</v>
      </c>
      <c r="EB36" t="e">
        <f>AND(#REF!,"AAAAAGzeVYM=")</f>
        <v>#REF!</v>
      </c>
      <c r="EC36" t="e">
        <f>AND(#REF!,"AAAAAGzeVYQ=")</f>
        <v>#REF!</v>
      </c>
      <c r="ED36" t="e">
        <f>AND(#REF!,"AAAAAGzeVYU=")</f>
        <v>#REF!</v>
      </c>
      <c r="EE36" t="e">
        <f>AND(#REF!,"AAAAAGzeVYY=")</f>
        <v>#REF!</v>
      </c>
      <c r="EF36" t="e">
        <f>AND(#REF!,"AAAAAGzeVYc=")</f>
        <v>#REF!</v>
      </c>
      <c r="EG36" t="e">
        <f>AND(#REF!,"AAAAAGzeVYg=")</f>
        <v>#REF!</v>
      </c>
      <c r="EH36" t="e">
        <f>AND(#REF!,"AAAAAGzeVYk=")</f>
        <v>#REF!</v>
      </c>
      <c r="EI36" t="e">
        <f>AND(#REF!,"AAAAAGzeVYo=")</f>
        <v>#REF!</v>
      </c>
      <c r="EJ36" t="e">
        <f>AND(#REF!,"AAAAAGzeVYs=")</f>
        <v>#REF!</v>
      </c>
      <c r="EK36" t="e">
        <f>AND(#REF!,"AAAAAGzeVYw=")</f>
        <v>#REF!</v>
      </c>
      <c r="EL36" t="e">
        <f>AND(#REF!,"AAAAAGzeVY0=")</f>
        <v>#REF!</v>
      </c>
      <c r="EM36" t="e">
        <f>AND(#REF!,"AAAAAGzeVY4=")</f>
        <v>#REF!</v>
      </c>
      <c r="EN36" t="e">
        <f>AND(#REF!,"AAAAAGzeVY8=")</f>
        <v>#REF!</v>
      </c>
      <c r="EO36" t="e">
        <f>AND(#REF!,"AAAAAGzeVZA=")</f>
        <v>#REF!</v>
      </c>
      <c r="EP36" t="e">
        <f>AND(#REF!,"AAAAAGzeVZE=")</f>
        <v>#REF!</v>
      </c>
      <c r="EQ36" t="e">
        <f>AND(#REF!,"AAAAAGzeVZI=")</f>
        <v>#REF!</v>
      </c>
      <c r="ER36" t="e">
        <f>AND(#REF!,"AAAAAGzeVZM=")</f>
        <v>#REF!</v>
      </c>
      <c r="ES36" t="e">
        <f>IF(#REF!,"AAAAAGzeVZQ=",0)</f>
        <v>#REF!</v>
      </c>
      <c r="ET36" t="e">
        <f>AND(#REF!,"AAAAAGzeVZU=")</f>
        <v>#REF!</v>
      </c>
      <c r="EU36" t="e">
        <f>AND(#REF!,"AAAAAGzeVZY=")</f>
        <v>#REF!</v>
      </c>
      <c r="EV36" t="e">
        <f>AND(#REF!,"AAAAAGzeVZc=")</f>
        <v>#REF!</v>
      </c>
      <c r="EW36" t="e">
        <f>AND(#REF!,"AAAAAGzeVZg=")</f>
        <v>#REF!</v>
      </c>
      <c r="EX36" t="e">
        <f>AND(#REF!,"AAAAAGzeVZk=")</f>
        <v>#REF!</v>
      </c>
      <c r="EY36" t="e">
        <f>AND(#REF!,"AAAAAGzeVZo=")</f>
        <v>#REF!</v>
      </c>
      <c r="EZ36" t="e">
        <f>AND(#REF!,"AAAAAGzeVZs=")</f>
        <v>#REF!</v>
      </c>
      <c r="FA36" t="e">
        <f>AND(#REF!,"AAAAAGzeVZw=")</f>
        <v>#REF!</v>
      </c>
      <c r="FB36" t="e">
        <f>AND(#REF!,"AAAAAGzeVZ0=")</f>
        <v>#REF!</v>
      </c>
      <c r="FC36" t="e">
        <f>AND(#REF!,"AAAAAGzeVZ4=")</f>
        <v>#REF!</v>
      </c>
      <c r="FD36" t="e">
        <f>AND(#REF!,"AAAAAGzeVZ8=")</f>
        <v>#REF!</v>
      </c>
      <c r="FE36" t="e">
        <f>AND(#REF!,"AAAAAGzeVaA=")</f>
        <v>#REF!</v>
      </c>
      <c r="FF36" t="e">
        <f>AND(#REF!,"AAAAAGzeVaE=")</f>
        <v>#REF!</v>
      </c>
      <c r="FG36" t="e">
        <f>AND(#REF!,"AAAAAGzeVaI=")</f>
        <v>#REF!</v>
      </c>
      <c r="FH36" t="e">
        <f>AND(#REF!,"AAAAAGzeVaM=")</f>
        <v>#REF!</v>
      </c>
      <c r="FI36" t="e">
        <f>AND(#REF!,"AAAAAGzeVaQ=")</f>
        <v>#REF!</v>
      </c>
      <c r="FJ36" t="e">
        <f>AND(#REF!,"AAAAAGzeVaU=")</f>
        <v>#REF!</v>
      </c>
      <c r="FK36" t="e">
        <f>AND(#REF!,"AAAAAGzeVaY=")</f>
        <v>#REF!</v>
      </c>
      <c r="FL36" t="e">
        <f>AND(#REF!,"AAAAAGzeVac=")</f>
        <v>#REF!</v>
      </c>
      <c r="FM36" t="e">
        <f>AND(#REF!,"AAAAAGzeVag=")</f>
        <v>#REF!</v>
      </c>
      <c r="FN36" t="e">
        <f>AND(#REF!,"AAAAAGzeVak=")</f>
        <v>#REF!</v>
      </c>
      <c r="FO36" t="e">
        <f>AND(#REF!,"AAAAAGzeVao=")</f>
        <v>#REF!</v>
      </c>
      <c r="FP36" t="e">
        <f>AND(#REF!,"AAAAAGzeVas=")</f>
        <v>#REF!</v>
      </c>
      <c r="FQ36" t="e">
        <f>AND(#REF!,"AAAAAGzeVaw=")</f>
        <v>#REF!</v>
      </c>
      <c r="FR36" t="e">
        <f>AND(#REF!,"AAAAAGzeVa0=")</f>
        <v>#REF!</v>
      </c>
      <c r="FS36" t="e">
        <f>AND(#REF!,"AAAAAGzeVa4=")</f>
        <v>#REF!</v>
      </c>
      <c r="FT36" t="e">
        <f>AND(#REF!,"AAAAAGzeVa8=")</f>
        <v>#REF!</v>
      </c>
      <c r="FU36" t="e">
        <f>AND(#REF!,"AAAAAGzeVbA=")</f>
        <v>#REF!</v>
      </c>
      <c r="FV36" t="e">
        <f>AND(#REF!,"AAAAAGzeVbE=")</f>
        <v>#REF!</v>
      </c>
      <c r="FW36" t="e">
        <f>AND(#REF!,"AAAAAGzeVbI=")</f>
        <v>#REF!</v>
      </c>
      <c r="FX36" t="e">
        <f>AND(#REF!,"AAAAAGzeVbM=")</f>
        <v>#REF!</v>
      </c>
      <c r="FY36" t="e">
        <f>AND(#REF!,"AAAAAGzeVbQ=")</f>
        <v>#REF!</v>
      </c>
      <c r="FZ36" t="e">
        <f>AND(#REF!,"AAAAAGzeVbU=")</f>
        <v>#REF!</v>
      </c>
      <c r="GA36" t="e">
        <f>AND(#REF!,"AAAAAGzeVbY=")</f>
        <v>#REF!</v>
      </c>
      <c r="GB36" t="e">
        <f>AND(#REF!,"AAAAAGzeVbc=")</f>
        <v>#REF!</v>
      </c>
      <c r="GC36" t="e">
        <f>AND(#REF!,"AAAAAGzeVbg=")</f>
        <v>#REF!</v>
      </c>
      <c r="GD36" t="e">
        <f>AND(#REF!,"AAAAAGzeVbk=")</f>
        <v>#REF!</v>
      </c>
      <c r="GE36" t="e">
        <f>AND(#REF!,"AAAAAGzeVbo=")</f>
        <v>#REF!</v>
      </c>
      <c r="GF36" t="e">
        <f>AND(#REF!,"AAAAAGzeVbs=")</f>
        <v>#REF!</v>
      </c>
      <c r="GG36" t="e">
        <f>AND(#REF!,"AAAAAGzeVbw=")</f>
        <v>#REF!</v>
      </c>
      <c r="GH36" t="e">
        <f>AND(#REF!,"AAAAAGzeVb0=")</f>
        <v>#REF!</v>
      </c>
      <c r="GI36" t="e">
        <f>AND(#REF!,"AAAAAGzeVb4=")</f>
        <v>#REF!</v>
      </c>
      <c r="GJ36" t="e">
        <f>AND(#REF!,"AAAAAGzeVb8=")</f>
        <v>#REF!</v>
      </c>
      <c r="GK36" t="e">
        <f>IF(#REF!,"AAAAAGzeVcA=",0)</f>
        <v>#REF!</v>
      </c>
      <c r="GL36" t="e">
        <f>AND(#REF!,"AAAAAGzeVcE=")</f>
        <v>#REF!</v>
      </c>
      <c r="GM36" t="e">
        <f>AND(#REF!,"AAAAAGzeVcI=")</f>
        <v>#REF!</v>
      </c>
      <c r="GN36" t="e">
        <f>AND(#REF!,"AAAAAGzeVcM=")</f>
        <v>#REF!</v>
      </c>
      <c r="GO36" t="e">
        <f>AND(#REF!,"AAAAAGzeVcQ=")</f>
        <v>#REF!</v>
      </c>
      <c r="GP36" t="e">
        <f>AND(#REF!,"AAAAAGzeVcU=")</f>
        <v>#REF!</v>
      </c>
      <c r="GQ36" t="e">
        <f>AND(#REF!,"AAAAAGzeVcY=")</f>
        <v>#REF!</v>
      </c>
      <c r="GR36" t="e">
        <f>AND(#REF!,"AAAAAGzeVcc=")</f>
        <v>#REF!</v>
      </c>
      <c r="GS36" t="e">
        <f>AND(#REF!,"AAAAAGzeVcg=")</f>
        <v>#REF!</v>
      </c>
      <c r="GT36" t="e">
        <f>AND(#REF!,"AAAAAGzeVck=")</f>
        <v>#REF!</v>
      </c>
      <c r="GU36" t="e">
        <f>AND(#REF!,"AAAAAGzeVco=")</f>
        <v>#REF!</v>
      </c>
      <c r="GV36" t="e">
        <f>AND(#REF!,"AAAAAGzeVcs=")</f>
        <v>#REF!</v>
      </c>
      <c r="GW36" t="e">
        <f>AND(#REF!,"AAAAAGzeVcw=")</f>
        <v>#REF!</v>
      </c>
      <c r="GX36" t="e">
        <f>AND(#REF!,"AAAAAGzeVc0=")</f>
        <v>#REF!</v>
      </c>
      <c r="GY36" t="e">
        <f>AND(#REF!,"AAAAAGzeVc4=")</f>
        <v>#REF!</v>
      </c>
      <c r="GZ36" t="e">
        <f>AND(#REF!,"AAAAAGzeVc8=")</f>
        <v>#REF!</v>
      </c>
      <c r="HA36" t="e">
        <f>AND(#REF!,"AAAAAGzeVdA=")</f>
        <v>#REF!</v>
      </c>
      <c r="HB36" t="e">
        <f>AND(#REF!,"AAAAAGzeVdE=")</f>
        <v>#REF!</v>
      </c>
      <c r="HC36" t="e">
        <f>AND(#REF!,"AAAAAGzeVdI=")</f>
        <v>#REF!</v>
      </c>
      <c r="HD36" t="e">
        <f>AND(#REF!,"AAAAAGzeVdM=")</f>
        <v>#REF!</v>
      </c>
      <c r="HE36" t="e">
        <f>AND(#REF!,"AAAAAGzeVdQ=")</f>
        <v>#REF!</v>
      </c>
      <c r="HF36" t="e">
        <f>AND(#REF!,"AAAAAGzeVdU=")</f>
        <v>#REF!</v>
      </c>
      <c r="HG36" t="e">
        <f>AND(#REF!,"AAAAAGzeVdY=")</f>
        <v>#REF!</v>
      </c>
      <c r="HH36" t="e">
        <f>AND(#REF!,"AAAAAGzeVdc=")</f>
        <v>#REF!</v>
      </c>
      <c r="HI36" t="e">
        <f>AND(#REF!,"AAAAAGzeVdg=")</f>
        <v>#REF!</v>
      </c>
      <c r="HJ36" t="e">
        <f>AND(#REF!,"AAAAAGzeVdk=")</f>
        <v>#REF!</v>
      </c>
      <c r="HK36" t="e">
        <f>AND(#REF!,"AAAAAGzeVdo=")</f>
        <v>#REF!</v>
      </c>
      <c r="HL36" t="e">
        <f>AND(#REF!,"AAAAAGzeVds=")</f>
        <v>#REF!</v>
      </c>
      <c r="HM36" t="e">
        <f>AND(#REF!,"AAAAAGzeVdw=")</f>
        <v>#REF!</v>
      </c>
      <c r="HN36" t="e">
        <f>AND(#REF!,"AAAAAGzeVd0=")</f>
        <v>#REF!</v>
      </c>
      <c r="HO36" t="e">
        <f>AND(#REF!,"AAAAAGzeVd4=")</f>
        <v>#REF!</v>
      </c>
      <c r="HP36" t="e">
        <f>AND(#REF!,"AAAAAGzeVd8=")</f>
        <v>#REF!</v>
      </c>
      <c r="HQ36" t="e">
        <f>AND(#REF!,"AAAAAGzeVeA=")</f>
        <v>#REF!</v>
      </c>
      <c r="HR36" t="e">
        <f>AND(#REF!,"AAAAAGzeVeE=")</f>
        <v>#REF!</v>
      </c>
      <c r="HS36" t="e">
        <f>AND(#REF!,"AAAAAGzeVeI=")</f>
        <v>#REF!</v>
      </c>
      <c r="HT36" t="e">
        <f>AND(#REF!,"AAAAAGzeVeM=")</f>
        <v>#REF!</v>
      </c>
      <c r="HU36" t="e">
        <f>AND(#REF!,"AAAAAGzeVeQ=")</f>
        <v>#REF!</v>
      </c>
      <c r="HV36" t="e">
        <f>AND(#REF!,"AAAAAGzeVeU=")</f>
        <v>#REF!</v>
      </c>
      <c r="HW36" t="e">
        <f>AND(#REF!,"AAAAAGzeVeY=")</f>
        <v>#REF!</v>
      </c>
      <c r="HX36" t="e">
        <f>AND(#REF!,"AAAAAGzeVec=")</f>
        <v>#REF!</v>
      </c>
      <c r="HY36" t="e">
        <f>AND(#REF!,"AAAAAGzeVeg=")</f>
        <v>#REF!</v>
      </c>
      <c r="HZ36" t="e">
        <f>AND(#REF!,"AAAAAGzeVek=")</f>
        <v>#REF!</v>
      </c>
      <c r="IA36" t="e">
        <f>AND(#REF!,"AAAAAGzeVeo=")</f>
        <v>#REF!</v>
      </c>
      <c r="IB36" t="e">
        <f>AND(#REF!,"AAAAAGzeVes=")</f>
        <v>#REF!</v>
      </c>
      <c r="IC36" t="e">
        <f>IF(#REF!,"AAAAAGzeVew=",0)</f>
        <v>#REF!</v>
      </c>
      <c r="ID36" t="e">
        <f>AND(#REF!,"AAAAAGzeVe0=")</f>
        <v>#REF!</v>
      </c>
      <c r="IE36" t="e">
        <f>AND(#REF!,"AAAAAGzeVe4=")</f>
        <v>#REF!</v>
      </c>
      <c r="IF36" t="e">
        <f>AND(#REF!,"AAAAAGzeVe8=")</f>
        <v>#REF!</v>
      </c>
      <c r="IG36" t="e">
        <f>AND(#REF!,"AAAAAGzeVfA=")</f>
        <v>#REF!</v>
      </c>
      <c r="IH36" t="e">
        <f>AND(#REF!,"AAAAAGzeVfE=")</f>
        <v>#REF!</v>
      </c>
      <c r="II36" t="e">
        <f>AND(#REF!,"AAAAAGzeVfI=")</f>
        <v>#REF!</v>
      </c>
      <c r="IJ36" t="e">
        <f>AND(#REF!,"AAAAAGzeVfM=")</f>
        <v>#REF!</v>
      </c>
      <c r="IK36" t="e">
        <f>AND(#REF!,"AAAAAGzeVfQ=")</f>
        <v>#REF!</v>
      </c>
      <c r="IL36" t="e">
        <f>AND(#REF!,"AAAAAGzeVfU=")</f>
        <v>#REF!</v>
      </c>
      <c r="IM36" t="e">
        <f>AND(#REF!,"AAAAAGzeVfY=")</f>
        <v>#REF!</v>
      </c>
      <c r="IN36" t="e">
        <f>AND(#REF!,"AAAAAGzeVfc=")</f>
        <v>#REF!</v>
      </c>
      <c r="IO36" t="e">
        <f>AND(#REF!,"AAAAAGzeVfg=")</f>
        <v>#REF!</v>
      </c>
      <c r="IP36" t="e">
        <f>AND(#REF!,"AAAAAGzeVfk=")</f>
        <v>#REF!</v>
      </c>
      <c r="IQ36" t="e">
        <f>AND(#REF!,"AAAAAGzeVfo=")</f>
        <v>#REF!</v>
      </c>
      <c r="IR36" t="e">
        <f>AND(#REF!,"AAAAAGzeVfs=")</f>
        <v>#REF!</v>
      </c>
      <c r="IS36" t="e">
        <f>AND(#REF!,"AAAAAGzeVfw=")</f>
        <v>#REF!</v>
      </c>
      <c r="IT36" t="e">
        <f>AND(#REF!,"AAAAAGzeVf0=")</f>
        <v>#REF!</v>
      </c>
      <c r="IU36" t="e">
        <f>AND(#REF!,"AAAAAGzeVf4=")</f>
        <v>#REF!</v>
      </c>
      <c r="IV36" t="e">
        <f>AND(#REF!,"AAAAAGzeVf8=")</f>
        <v>#REF!</v>
      </c>
    </row>
    <row r="37" spans="1:256" x14ac:dyDescent="0.25">
      <c r="A37" t="e">
        <f>AND(#REF!,"AAAAACf9xQA=")</f>
        <v>#REF!</v>
      </c>
      <c r="B37" t="e">
        <f>AND(#REF!,"AAAAACf9xQE=")</f>
        <v>#REF!</v>
      </c>
      <c r="C37" t="e">
        <f>AND(#REF!,"AAAAACf9xQI=")</f>
        <v>#REF!</v>
      </c>
      <c r="D37" t="e">
        <f>AND(#REF!,"AAAAACf9xQM=")</f>
        <v>#REF!</v>
      </c>
      <c r="E37" t="e">
        <f>AND(#REF!,"AAAAACf9xQQ=")</f>
        <v>#REF!</v>
      </c>
      <c r="F37" t="e">
        <f>AND(#REF!,"AAAAACf9xQU=")</f>
        <v>#REF!</v>
      </c>
      <c r="G37" t="e">
        <f>AND(#REF!,"AAAAACf9xQY=")</f>
        <v>#REF!</v>
      </c>
      <c r="H37" t="e">
        <f>AND(#REF!,"AAAAACf9xQc=")</f>
        <v>#REF!</v>
      </c>
      <c r="I37" t="e">
        <f>AND(#REF!,"AAAAACf9xQg=")</f>
        <v>#REF!</v>
      </c>
      <c r="J37" t="e">
        <f>AND(#REF!,"AAAAACf9xQk=")</f>
        <v>#REF!</v>
      </c>
      <c r="K37" t="e">
        <f>AND(#REF!,"AAAAACf9xQo=")</f>
        <v>#REF!</v>
      </c>
      <c r="L37" t="e">
        <f>AND(#REF!,"AAAAACf9xQs=")</f>
        <v>#REF!</v>
      </c>
      <c r="M37" t="e">
        <f>AND(#REF!,"AAAAACf9xQw=")</f>
        <v>#REF!</v>
      </c>
      <c r="N37" t="e">
        <f>AND(#REF!,"AAAAACf9xQ0=")</f>
        <v>#REF!</v>
      </c>
      <c r="O37" t="e">
        <f>AND(#REF!,"AAAAACf9xQ4=")</f>
        <v>#REF!</v>
      </c>
      <c r="P37" t="e">
        <f>AND(#REF!,"AAAAACf9xQ8=")</f>
        <v>#REF!</v>
      </c>
      <c r="Q37" t="e">
        <f>AND(#REF!,"AAAAACf9xRA=")</f>
        <v>#REF!</v>
      </c>
      <c r="R37" t="e">
        <f>AND(#REF!,"AAAAACf9xRE=")</f>
        <v>#REF!</v>
      </c>
      <c r="S37" t="e">
        <f>AND(#REF!,"AAAAACf9xRI=")</f>
        <v>#REF!</v>
      </c>
      <c r="T37" t="e">
        <f>AND(#REF!,"AAAAACf9xRM=")</f>
        <v>#REF!</v>
      </c>
      <c r="U37" t="e">
        <f>AND(#REF!,"AAAAACf9xRQ=")</f>
        <v>#REF!</v>
      </c>
      <c r="V37" t="e">
        <f>AND(#REF!,"AAAAACf9xRU=")</f>
        <v>#REF!</v>
      </c>
      <c r="W37" t="e">
        <f>AND(#REF!,"AAAAACf9xRY=")</f>
        <v>#REF!</v>
      </c>
      <c r="X37" t="e">
        <f>AND(#REF!,"AAAAACf9xRc=")</f>
        <v>#REF!</v>
      </c>
      <c r="Y37" t="e">
        <f>IF(#REF!,"AAAAACf9xRg=",0)</f>
        <v>#REF!</v>
      </c>
      <c r="Z37" t="e">
        <f>AND(#REF!,"AAAAACf9xRk=")</f>
        <v>#REF!</v>
      </c>
      <c r="AA37" t="e">
        <f>AND(#REF!,"AAAAACf9xRo=")</f>
        <v>#REF!</v>
      </c>
      <c r="AB37" t="e">
        <f>AND(#REF!,"AAAAACf9xRs=")</f>
        <v>#REF!</v>
      </c>
      <c r="AC37" t="e">
        <f>AND(#REF!,"AAAAACf9xRw=")</f>
        <v>#REF!</v>
      </c>
      <c r="AD37" t="e">
        <f>AND(#REF!,"AAAAACf9xR0=")</f>
        <v>#REF!</v>
      </c>
      <c r="AE37" t="e">
        <f>AND(#REF!,"AAAAACf9xR4=")</f>
        <v>#REF!</v>
      </c>
      <c r="AF37" t="e">
        <f>AND(#REF!,"AAAAACf9xR8=")</f>
        <v>#REF!</v>
      </c>
      <c r="AG37" t="e">
        <f>AND(#REF!,"AAAAACf9xSA=")</f>
        <v>#REF!</v>
      </c>
      <c r="AH37" t="e">
        <f>AND(#REF!,"AAAAACf9xSE=")</f>
        <v>#REF!</v>
      </c>
      <c r="AI37" t="e">
        <f>AND(#REF!,"AAAAACf9xSI=")</f>
        <v>#REF!</v>
      </c>
      <c r="AJ37" t="e">
        <f>AND(#REF!,"AAAAACf9xSM=")</f>
        <v>#REF!</v>
      </c>
      <c r="AK37" t="e">
        <f>AND(#REF!,"AAAAACf9xSQ=")</f>
        <v>#REF!</v>
      </c>
      <c r="AL37" t="e">
        <f>AND(#REF!,"AAAAACf9xSU=")</f>
        <v>#REF!</v>
      </c>
      <c r="AM37" t="e">
        <f>AND(#REF!,"AAAAACf9xSY=")</f>
        <v>#REF!</v>
      </c>
      <c r="AN37" t="e">
        <f>AND(#REF!,"AAAAACf9xSc=")</f>
        <v>#REF!</v>
      </c>
      <c r="AO37" t="e">
        <f>AND(#REF!,"AAAAACf9xSg=")</f>
        <v>#REF!</v>
      </c>
      <c r="AP37" t="e">
        <f>AND(#REF!,"AAAAACf9xSk=")</f>
        <v>#REF!</v>
      </c>
      <c r="AQ37" t="e">
        <f>AND(#REF!,"AAAAACf9xSo=")</f>
        <v>#REF!</v>
      </c>
      <c r="AR37" t="e">
        <f>AND(#REF!,"AAAAACf9xSs=")</f>
        <v>#REF!</v>
      </c>
      <c r="AS37" t="e">
        <f>AND(#REF!,"AAAAACf9xSw=")</f>
        <v>#REF!</v>
      </c>
      <c r="AT37" t="e">
        <f>AND(#REF!,"AAAAACf9xS0=")</f>
        <v>#REF!</v>
      </c>
      <c r="AU37" t="e">
        <f>AND(#REF!,"AAAAACf9xS4=")</f>
        <v>#REF!</v>
      </c>
      <c r="AV37" t="e">
        <f>AND(#REF!,"AAAAACf9xS8=")</f>
        <v>#REF!</v>
      </c>
      <c r="AW37" t="e">
        <f>AND(#REF!,"AAAAACf9xTA=")</f>
        <v>#REF!</v>
      </c>
      <c r="AX37" t="e">
        <f>AND(#REF!,"AAAAACf9xTE=")</f>
        <v>#REF!</v>
      </c>
      <c r="AY37" t="e">
        <f>AND(#REF!,"AAAAACf9xTI=")</f>
        <v>#REF!</v>
      </c>
      <c r="AZ37" t="e">
        <f>AND(#REF!,"AAAAACf9xTM=")</f>
        <v>#REF!</v>
      </c>
      <c r="BA37" t="e">
        <f>AND(#REF!,"AAAAACf9xTQ=")</f>
        <v>#REF!</v>
      </c>
      <c r="BB37" t="e">
        <f>AND(#REF!,"AAAAACf9xTU=")</f>
        <v>#REF!</v>
      </c>
      <c r="BC37" t="e">
        <f>AND(#REF!,"AAAAACf9xTY=")</f>
        <v>#REF!</v>
      </c>
      <c r="BD37" t="e">
        <f>AND(#REF!,"AAAAACf9xTc=")</f>
        <v>#REF!</v>
      </c>
      <c r="BE37" t="e">
        <f>AND(#REF!,"AAAAACf9xTg=")</f>
        <v>#REF!</v>
      </c>
      <c r="BF37" t="e">
        <f>AND(#REF!,"AAAAACf9xTk=")</f>
        <v>#REF!</v>
      </c>
      <c r="BG37" t="e">
        <f>AND(#REF!,"AAAAACf9xTo=")</f>
        <v>#REF!</v>
      </c>
      <c r="BH37" t="e">
        <f>AND(#REF!,"AAAAACf9xTs=")</f>
        <v>#REF!</v>
      </c>
      <c r="BI37" t="e">
        <f>AND(#REF!,"AAAAACf9xTw=")</f>
        <v>#REF!</v>
      </c>
      <c r="BJ37" t="e">
        <f>AND(#REF!,"AAAAACf9xT0=")</f>
        <v>#REF!</v>
      </c>
      <c r="BK37" t="e">
        <f>AND(#REF!,"AAAAACf9xT4=")</f>
        <v>#REF!</v>
      </c>
      <c r="BL37" t="e">
        <f>AND(#REF!,"AAAAACf9xT8=")</f>
        <v>#REF!</v>
      </c>
      <c r="BM37" t="e">
        <f>AND(#REF!,"AAAAACf9xUA=")</f>
        <v>#REF!</v>
      </c>
      <c r="BN37" t="e">
        <f>AND(#REF!,"AAAAACf9xUE=")</f>
        <v>#REF!</v>
      </c>
      <c r="BO37" t="e">
        <f>AND(#REF!,"AAAAACf9xUI=")</f>
        <v>#REF!</v>
      </c>
      <c r="BP37" t="e">
        <f>AND(#REF!,"AAAAACf9xUM=")</f>
        <v>#REF!</v>
      </c>
      <c r="BQ37" t="e">
        <f>IF(#REF!,"AAAAACf9xUQ=",0)</f>
        <v>#REF!</v>
      </c>
      <c r="BR37" t="e">
        <f>AND(#REF!,"AAAAACf9xUU=")</f>
        <v>#REF!</v>
      </c>
      <c r="BS37" t="e">
        <f>AND(#REF!,"AAAAACf9xUY=")</f>
        <v>#REF!</v>
      </c>
      <c r="BT37" t="e">
        <f>AND(#REF!,"AAAAACf9xUc=")</f>
        <v>#REF!</v>
      </c>
      <c r="BU37" t="e">
        <f>AND(#REF!,"AAAAACf9xUg=")</f>
        <v>#REF!</v>
      </c>
      <c r="BV37" t="e">
        <f>AND(#REF!,"AAAAACf9xUk=")</f>
        <v>#REF!</v>
      </c>
      <c r="BW37" t="e">
        <f>AND(#REF!,"AAAAACf9xUo=")</f>
        <v>#REF!</v>
      </c>
      <c r="BX37" t="e">
        <f>AND(#REF!,"AAAAACf9xUs=")</f>
        <v>#REF!</v>
      </c>
      <c r="BY37" t="e">
        <f>AND(#REF!,"AAAAACf9xUw=")</f>
        <v>#REF!</v>
      </c>
      <c r="BZ37" t="e">
        <f>AND(#REF!,"AAAAACf9xU0=")</f>
        <v>#REF!</v>
      </c>
      <c r="CA37" t="e">
        <f>AND(#REF!,"AAAAACf9xU4=")</f>
        <v>#REF!</v>
      </c>
      <c r="CB37" t="e">
        <f>AND(#REF!,"AAAAACf9xU8=")</f>
        <v>#REF!</v>
      </c>
      <c r="CC37" t="e">
        <f>AND(#REF!,"AAAAACf9xVA=")</f>
        <v>#REF!</v>
      </c>
      <c r="CD37" t="e">
        <f>AND(#REF!,"AAAAACf9xVE=")</f>
        <v>#REF!</v>
      </c>
      <c r="CE37" t="e">
        <f>AND(#REF!,"AAAAACf9xVI=")</f>
        <v>#REF!</v>
      </c>
      <c r="CF37" t="e">
        <f>AND(#REF!,"AAAAACf9xVM=")</f>
        <v>#REF!</v>
      </c>
      <c r="CG37" t="e">
        <f>AND(#REF!,"AAAAACf9xVQ=")</f>
        <v>#REF!</v>
      </c>
      <c r="CH37" t="e">
        <f>AND(#REF!,"AAAAACf9xVU=")</f>
        <v>#REF!</v>
      </c>
      <c r="CI37" t="e">
        <f>AND(#REF!,"AAAAACf9xVY=")</f>
        <v>#REF!</v>
      </c>
      <c r="CJ37" t="e">
        <f>AND(#REF!,"AAAAACf9xVc=")</f>
        <v>#REF!</v>
      </c>
      <c r="CK37" t="e">
        <f>AND(#REF!,"AAAAACf9xVg=")</f>
        <v>#REF!</v>
      </c>
      <c r="CL37" t="e">
        <f>AND(#REF!,"AAAAACf9xVk=")</f>
        <v>#REF!</v>
      </c>
      <c r="CM37" t="e">
        <f>AND(#REF!,"AAAAACf9xVo=")</f>
        <v>#REF!</v>
      </c>
      <c r="CN37" t="e">
        <f>AND(#REF!,"AAAAACf9xVs=")</f>
        <v>#REF!</v>
      </c>
      <c r="CO37" t="e">
        <f>AND(#REF!,"AAAAACf9xVw=")</f>
        <v>#REF!</v>
      </c>
      <c r="CP37" t="e">
        <f>AND(#REF!,"AAAAACf9xV0=")</f>
        <v>#REF!</v>
      </c>
      <c r="CQ37" t="e">
        <f>AND(#REF!,"AAAAACf9xV4=")</f>
        <v>#REF!</v>
      </c>
      <c r="CR37" t="e">
        <f>AND(#REF!,"AAAAACf9xV8=")</f>
        <v>#REF!</v>
      </c>
      <c r="CS37" t="e">
        <f>AND(#REF!,"AAAAACf9xWA=")</f>
        <v>#REF!</v>
      </c>
      <c r="CT37" t="e">
        <f>AND(#REF!,"AAAAACf9xWE=")</f>
        <v>#REF!</v>
      </c>
      <c r="CU37" t="e">
        <f>AND(#REF!,"AAAAACf9xWI=")</f>
        <v>#REF!</v>
      </c>
      <c r="CV37" t="e">
        <f>AND(#REF!,"AAAAACf9xWM=")</f>
        <v>#REF!</v>
      </c>
      <c r="CW37" t="e">
        <f>AND(#REF!,"AAAAACf9xWQ=")</f>
        <v>#REF!</v>
      </c>
      <c r="CX37" t="e">
        <f>AND(#REF!,"AAAAACf9xWU=")</f>
        <v>#REF!</v>
      </c>
      <c r="CY37" t="e">
        <f>AND(#REF!,"AAAAACf9xWY=")</f>
        <v>#REF!</v>
      </c>
      <c r="CZ37" t="e">
        <f>AND(#REF!,"AAAAACf9xWc=")</f>
        <v>#REF!</v>
      </c>
      <c r="DA37" t="e">
        <f>AND(#REF!,"AAAAACf9xWg=")</f>
        <v>#REF!</v>
      </c>
      <c r="DB37" t="e">
        <f>AND(#REF!,"AAAAACf9xWk=")</f>
        <v>#REF!</v>
      </c>
      <c r="DC37" t="e">
        <f>AND(#REF!,"AAAAACf9xWo=")</f>
        <v>#REF!</v>
      </c>
      <c r="DD37" t="e">
        <f>AND(#REF!,"AAAAACf9xWs=")</f>
        <v>#REF!</v>
      </c>
      <c r="DE37" t="e">
        <f>AND(#REF!,"AAAAACf9xWw=")</f>
        <v>#REF!</v>
      </c>
      <c r="DF37" t="e">
        <f>AND(#REF!,"AAAAACf9xW0=")</f>
        <v>#REF!</v>
      </c>
      <c r="DG37" t="e">
        <f>AND(#REF!,"AAAAACf9xW4=")</f>
        <v>#REF!</v>
      </c>
      <c r="DH37" t="e">
        <f>AND(#REF!,"AAAAACf9xW8=")</f>
        <v>#REF!</v>
      </c>
      <c r="DI37" t="e">
        <f>IF(#REF!,"AAAAACf9xXA=",0)</f>
        <v>#REF!</v>
      </c>
      <c r="DJ37" t="e">
        <f>AND(#REF!,"AAAAACf9xXE=")</f>
        <v>#REF!</v>
      </c>
      <c r="DK37" t="e">
        <f>AND(#REF!,"AAAAACf9xXI=")</f>
        <v>#REF!</v>
      </c>
      <c r="DL37" t="e">
        <f>AND(#REF!,"AAAAACf9xXM=")</f>
        <v>#REF!</v>
      </c>
      <c r="DM37" t="e">
        <f>AND(#REF!,"AAAAACf9xXQ=")</f>
        <v>#REF!</v>
      </c>
      <c r="DN37" t="e">
        <f>AND(#REF!,"AAAAACf9xXU=")</f>
        <v>#REF!</v>
      </c>
      <c r="DO37" t="e">
        <f>AND(#REF!,"AAAAACf9xXY=")</f>
        <v>#REF!</v>
      </c>
      <c r="DP37" t="e">
        <f>AND(#REF!,"AAAAACf9xXc=")</f>
        <v>#REF!</v>
      </c>
      <c r="DQ37" t="e">
        <f>AND(#REF!,"AAAAACf9xXg=")</f>
        <v>#REF!</v>
      </c>
      <c r="DR37" t="e">
        <f>AND(#REF!,"AAAAACf9xXk=")</f>
        <v>#REF!</v>
      </c>
      <c r="DS37" t="e">
        <f>AND(#REF!,"AAAAACf9xXo=")</f>
        <v>#REF!</v>
      </c>
      <c r="DT37" t="e">
        <f>AND(#REF!,"AAAAACf9xXs=")</f>
        <v>#REF!</v>
      </c>
      <c r="DU37" t="e">
        <f>AND(#REF!,"AAAAACf9xXw=")</f>
        <v>#REF!</v>
      </c>
      <c r="DV37" t="e">
        <f>AND(#REF!,"AAAAACf9xX0=")</f>
        <v>#REF!</v>
      </c>
      <c r="DW37" t="e">
        <f>AND(#REF!,"AAAAACf9xX4=")</f>
        <v>#REF!</v>
      </c>
      <c r="DX37" t="e">
        <f>AND(#REF!,"AAAAACf9xX8=")</f>
        <v>#REF!</v>
      </c>
      <c r="DY37" t="e">
        <f>AND(#REF!,"AAAAACf9xYA=")</f>
        <v>#REF!</v>
      </c>
      <c r="DZ37" t="e">
        <f>AND(#REF!,"AAAAACf9xYE=")</f>
        <v>#REF!</v>
      </c>
      <c r="EA37" t="e">
        <f>AND(#REF!,"AAAAACf9xYI=")</f>
        <v>#REF!</v>
      </c>
      <c r="EB37" t="e">
        <f>AND(#REF!,"AAAAACf9xYM=")</f>
        <v>#REF!</v>
      </c>
      <c r="EC37" t="e">
        <f>AND(#REF!,"AAAAACf9xYQ=")</f>
        <v>#REF!</v>
      </c>
      <c r="ED37" t="e">
        <f>AND(#REF!,"AAAAACf9xYU=")</f>
        <v>#REF!</v>
      </c>
      <c r="EE37" t="e">
        <f>AND(#REF!,"AAAAACf9xYY=")</f>
        <v>#REF!</v>
      </c>
      <c r="EF37" t="e">
        <f>AND(#REF!,"AAAAACf9xYc=")</f>
        <v>#REF!</v>
      </c>
      <c r="EG37" t="e">
        <f>AND(#REF!,"AAAAACf9xYg=")</f>
        <v>#REF!</v>
      </c>
      <c r="EH37" t="e">
        <f>AND(#REF!,"AAAAACf9xYk=")</f>
        <v>#REF!</v>
      </c>
      <c r="EI37" t="e">
        <f>AND(#REF!,"AAAAACf9xYo=")</f>
        <v>#REF!</v>
      </c>
      <c r="EJ37" t="e">
        <f>AND(#REF!,"AAAAACf9xYs=")</f>
        <v>#REF!</v>
      </c>
      <c r="EK37" t="e">
        <f>AND(#REF!,"AAAAACf9xYw=")</f>
        <v>#REF!</v>
      </c>
      <c r="EL37" t="e">
        <f>AND(#REF!,"AAAAACf9xY0=")</f>
        <v>#REF!</v>
      </c>
      <c r="EM37" t="e">
        <f>AND(#REF!,"AAAAACf9xY4=")</f>
        <v>#REF!</v>
      </c>
      <c r="EN37" t="e">
        <f>AND(#REF!,"AAAAACf9xY8=")</f>
        <v>#REF!</v>
      </c>
      <c r="EO37" t="e">
        <f>AND(#REF!,"AAAAACf9xZA=")</f>
        <v>#REF!</v>
      </c>
      <c r="EP37" t="e">
        <f>AND(#REF!,"AAAAACf9xZE=")</f>
        <v>#REF!</v>
      </c>
      <c r="EQ37" t="e">
        <f>AND(#REF!,"AAAAACf9xZI=")</f>
        <v>#REF!</v>
      </c>
      <c r="ER37" t="e">
        <f>AND(#REF!,"AAAAACf9xZM=")</f>
        <v>#REF!</v>
      </c>
      <c r="ES37" t="e">
        <f>AND(#REF!,"AAAAACf9xZQ=")</f>
        <v>#REF!</v>
      </c>
      <c r="ET37" t="e">
        <f>AND(#REF!,"AAAAACf9xZU=")</f>
        <v>#REF!</v>
      </c>
      <c r="EU37" t="e">
        <f>AND(#REF!,"AAAAACf9xZY=")</f>
        <v>#REF!</v>
      </c>
      <c r="EV37" t="e">
        <f>AND(#REF!,"AAAAACf9xZc=")</f>
        <v>#REF!</v>
      </c>
      <c r="EW37" t="e">
        <f>AND(#REF!,"AAAAACf9xZg=")</f>
        <v>#REF!</v>
      </c>
      <c r="EX37" t="e">
        <f>AND(#REF!,"AAAAACf9xZk=")</f>
        <v>#REF!</v>
      </c>
      <c r="EY37" t="e">
        <f>AND(#REF!,"AAAAACf9xZo=")</f>
        <v>#REF!</v>
      </c>
      <c r="EZ37" t="e">
        <f>AND(#REF!,"AAAAACf9xZs=")</f>
        <v>#REF!</v>
      </c>
      <c r="FA37" t="e">
        <f>IF(#REF!,"AAAAACf9xZw=",0)</f>
        <v>#REF!</v>
      </c>
      <c r="FB37" t="e">
        <f>AND(#REF!,"AAAAACf9xZ0=")</f>
        <v>#REF!</v>
      </c>
      <c r="FC37" t="e">
        <f>AND(#REF!,"AAAAACf9xZ4=")</f>
        <v>#REF!</v>
      </c>
      <c r="FD37" t="e">
        <f>AND(#REF!,"AAAAACf9xZ8=")</f>
        <v>#REF!</v>
      </c>
      <c r="FE37" t="e">
        <f>AND(#REF!,"AAAAACf9xaA=")</f>
        <v>#REF!</v>
      </c>
      <c r="FF37" t="e">
        <f>AND(#REF!,"AAAAACf9xaE=")</f>
        <v>#REF!</v>
      </c>
      <c r="FG37" t="e">
        <f>AND(#REF!,"AAAAACf9xaI=")</f>
        <v>#REF!</v>
      </c>
      <c r="FH37" t="e">
        <f>AND(#REF!,"AAAAACf9xaM=")</f>
        <v>#REF!</v>
      </c>
      <c r="FI37" t="e">
        <f>AND(#REF!,"AAAAACf9xaQ=")</f>
        <v>#REF!</v>
      </c>
      <c r="FJ37" t="e">
        <f>AND(#REF!,"AAAAACf9xaU=")</f>
        <v>#REF!</v>
      </c>
      <c r="FK37" t="e">
        <f>AND(#REF!,"AAAAACf9xaY=")</f>
        <v>#REF!</v>
      </c>
      <c r="FL37" t="e">
        <f>AND(#REF!,"AAAAACf9xac=")</f>
        <v>#REF!</v>
      </c>
      <c r="FM37" t="e">
        <f>AND(#REF!,"AAAAACf9xag=")</f>
        <v>#REF!</v>
      </c>
      <c r="FN37" t="e">
        <f>AND(#REF!,"AAAAACf9xak=")</f>
        <v>#REF!</v>
      </c>
      <c r="FO37" t="e">
        <f>AND(#REF!,"AAAAACf9xao=")</f>
        <v>#REF!</v>
      </c>
      <c r="FP37" t="e">
        <f>AND(#REF!,"AAAAACf9xas=")</f>
        <v>#REF!</v>
      </c>
      <c r="FQ37" t="e">
        <f>AND(#REF!,"AAAAACf9xaw=")</f>
        <v>#REF!</v>
      </c>
      <c r="FR37" t="e">
        <f>AND(#REF!,"AAAAACf9xa0=")</f>
        <v>#REF!</v>
      </c>
      <c r="FS37" t="e">
        <f>AND(#REF!,"AAAAACf9xa4=")</f>
        <v>#REF!</v>
      </c>
      <c r="FT37" t="e">
        <f>AND(#REF!,"AAAAACf9xa8=")</f>
        <v>#REF!</v>
      </c>
      <c r="FU37" t="e">
        <f>AND(#REF!,"AAAAACf9xbA=")</f>
        <v>#REF!</v>
      </c>
      <c r="FV37" t="e">
        <f>AND(#REF!,"AAAAACf9xbE=")</f>
        <v>#REF!</v>
      </c>
      <c r="FW37" t="e">
        <f>AND(#REF!,"AAAAACf9xbI=")</f>
        <v>#REF!</v>
      </c>
      <c r="FX37" t="e">
        <f>AND(#REF!,"AAAAACf9xbM=")</f>
        <v>#REF!</v>
      </c>
      <c r="FY37" t="e">
        <f>AND(#REF!,"AAAAACf9xbQ=")</f>
        <v>#REF!</v>
      </c>
      <c r="FZ37" t="e">
        <f>AND(#REF!,"AAAAACf9xbU=")</f>
        <v>#REF!</v>
      </c>
      <c r="GA37" t="e">
        <f>AND(#REF!,"AAAAACf9xbY=")</f>
        <v>#REF!</v>
      </c>
      <c r="GB37" t="e">
        <f>AND(#REF!,"AAAAACf9xbc=")</f>
        <v>#REF!</v>
      </c>
      <c r="GC37" t="e">
        <f>AND(#REF!,"AAAAACf9xbg=")</f>
        <v>#REF!</v>
      </c>
      <c r="GD37" t="e">
        <f>AND(#REF!,"AAAAACf9xbk=")</f>
        <v>#REF!</v>
      </c>
      <c r="GE37" t="e">
        <f>AND(#REF!,"AAAAACf9xbo=")</f>
        <v>#REF!</v>
      </c>
      <c r="GF37" t="e">
        <f>AND(#REF!,"AAAAACf9xbs=")</f>
        <v>#REF!</v>
      </c>
      <c r="GG37" t="e">
        <f>AND(#REF!,"AAAAACf9xbw=")</f>
        <v>#REF!</v>
      </c>
      <c r="GH37" t="e">
        <f>AND(#REF!,"AAAAACf9xb0=")</f>
        <v>#REF!</v>
      </c>
      <c r="GI37" t="e">
        <f>AND(#REF!,"AAAAACf9xb4=")</f>
        <v>#REF!</v>
      </c>
      <c r="GJ37" t="e">
        <f>AND(#REF!,"AAAAACf9xb8=")</f>
        <v>#REF!</v>
      </c>
      <c r="GK37" t="e">
        <f>AND(#REF!,"AAAAACf9xcA=")</f>
        <v>#REF!</v>
      </c>
      <c r="GL37" t="e">
        <f>AND(#REF!,"AAAAACf9xcE=")</f>
        <v>#REF!</v>
      </c>
      <c r="GM37" t="e">
        <f>AND(#REF!,"AAAAACf9xcI=")</f>
        <v>#REF!</v>
      </c>
      <c r="GN37" t="e">
        <f>AND(#REF!,"AAAAACf9xcM=")</f>
        <v>#REF!</v>
      </c>
      <c r="GO37" t="e">
        <f>AND(#REF!,"AAAAACf9xcQ=")</f>
        <v>#REF!</v>
      </c>
      <c r="GP37" t="e">
        <f>AND(#REF!,"AAAAACf9xcU=")</f>
        <v>#REF!</v>
      </c>
      <c r="GQ37" t="e">
        <f>AND(#REF!,"AAAAACf9xcY=")</f>
        <v>#REF!</v>
      </c>
      <c r="GR37" t="e">
        <f>AND(#REF!,"AAAAACf9xcc=")</f>
        <v>#REF!</v>
      </c>
      <c r="GS37" t="e">
        <f>IF(#REF!,"AAAAACf9xcg=",0)</f>
        <v>#REF!</v>
      </c>
      <c r="GT37" t="e">
        <f>AND(#REF!,"AAAAACf9xck=")</f>
        <v>#REF!</v>
      </c>
      <c r="GU37" t="e">
        <f>AND(#REF!,"AAAAACf9xco=")</f>
        <v>#REF!</v>
      </c>
      <c r="GV37" t="e">
        <f>AND(#REF!,"AAAAACf9xcs=")</f>
        <v>#REF!</v>
      </c>
      <c r="GW37" t="e">
        <f>AND(#REF!,"AAAAACf9xcw=")</f>
        <v>#REF!</v>
      </c>
      <c r="GX37" t="e">
        <f>AND(#REF!,"AAAAACf9xc0=")</f>
        <v>#REF!</v>
      </c>
      <c r="GY37" t="e">
        <f>AND(#REF!,"AAAAACf9xc4=")</f>
        <v>#REF!</v>
      </c>
      <c r="GZ37" t="e">
        <f>AND(#REF!,"AAAAACf9xc8=")</f>
        <v>#REF!</v>
      </c>
      <c r="HA37" t="e">
        <f>AND(#REF!,"AAAAACf9xdA=")</f>
        <v>#REF!</v>
      </c>
      <c r="HB37" t="e">
        <f>AND(#REF!,"AAAAACf9xdE=")</f>
        <v>#REF!</v>
      </c>
      <c r="HC37" t="e">
        <f>AND(#REF!,"AAAAACf9xdI=")</f>
        <v>#REF!</v>
      </c>
      <c r="HD37" t="e">
        <f>AND(#REF!,"AAAAACf9xdM=")</f>
        <v>#REF!</v>
      </c>
      <c r="HE37" t="e">
        <f>AND(#REF!,"AAAAACf9xdQ=")</f>
        <v>#REF!</v>
      </c>
      <c r="HF37" t="e">
        <f>AND(#REF!,"AAAAACf9xdU=")</f>
        <v>#REF!</v>
      </c>
      <c r="HG37" t="e">
        <f>AND(#REF!,"AAAAACf9xdY=")</f>
        <v>#REF!</v>
      </c>
      <c r="HH37" t="e">
        <f>AND(#REF!,"AAAAACf9xdc=")</f>
        <v>#REF!</v>
      </c>
      <c r="HI37" t="e">
        <f>AND(#REF!,"AAAAACf9xdg=")</f>
        <v>#REF!</v>
      </c>
      <c r="HJ37" t="e">
        <f>AND(#REF!,"AAAAACf9xdk=")</f>
        <v>#REF!</v>
      </c>
      <c r="HK37" t="e">
        <f>AND(#REF!,"AAAAACf9xdo=")</f>
        <v>#REF!</v>
      </c>
      <c r="HL37" t="e">
        <f>AND(#REF!,"AAAAACf9xds=")</f>
        <v>#REF!</v>
      </c>
      <c r="HM37" t="e">
        <f>AND(#REF!,"AAAAACf9xdw=")</f>
        <v>#REF!</v>
      </c>
      <c r="HN37" t="e">
        <f>AND(#REF!,"AAAAACf9xd0=")</f>
        <v>#REF!</v>
      </c>
      <c r="HO37" t="e">
        <f>AND(#REF!,"AAAAACf9xd4=")</f>
        <v>#REF!</v>
      </c>
      <c r="HP37" t="e">
        <f>AND(#REF!,"AAAAACf9xd8=")</f>
        <v>#REF!</v>
      </c>
      <c r="HQ37" t="e">
        <f>AND(#REF!,"AAAAACf9xeA=")</f>
        <v>#REF!</v>
      </c>
      <c r="HR37" t="e">
        <f>AND(#REF!,"AAAAACf9xeE=")</f>
        <v>#REF!</v>
      </c>
      <c r="HS37" t="e">
        <f>AND(#REF!,"AAAAACf9xeI=")</f>
        <v>#REF!</v>
      </c>
      <c r="HT37" t="e">
        <f>AND(#REF!,"AAAAACf9xeM=")</f>
        <v>#REF!</v>
      </c>
      <c r="HU37" t="e">
        <f>AND(#REF!,"AAAAACf9xeQ=")</f>
        <v>#REF!</v>
      </c>
      <c r="HV37" t="e">
        <f>AND(#REF!,"AAAAACf9xeU=")</f>
        <v>#REF!</v>
      </c>
      <c r="HW37" t="e">
        <f>AND(#REF!,"AAAAACf9xeY=")</f>
        <v>#REF!</v>
      </c>
      <c r="HX37" t="e">
        <f>AND(#REF!,"AAAAACf9xec=")</f>
        <v>#REF!</v>
      </c>
      <c r="HY37" t="e">
        <f>AND(#REF!,"AAAAACf9xeg=")</f>
        <v>#REF!</v>
      </c>
      <c r="HZ37" t="e">
        <f>AND(#REF!,"AAAAACf9xek=")</f>
        <v>#REF!</v>
      </c>
      <c r="IA37" t="e">
        <f>AND(#REF!,"AAAAACf9xeo=")</f>
        <v>#REF!</v>
      </c>
      <c r="IB37" t="e">
        <f>AND(#REF!,"AAAAACf9xes=")</f>
        <v>#REF!</v>
      </c>
      <c r="IC37" t="e">
        <f>AND(#REF!,"AAAAACf9xew=")</f>
        <v>#REF!</v>
      </c>
      <c r="ID37" t="e">
        <f>AND(#REF!,"AAAAACf9xe0=")</f>
        <v>#REF!</v>
      </c>
      <c r="IE37" t="e">
        <f>AND(#REF!,"AAAAACf9xe4=")</f>
        <v>#REF!</v>
      </c>
      <c r="IF37" t="e">
        <f>AND(#REF!,"AAAAACf9xe8=")</f>
        <v>#REF!</v>
      </c>
      <c r="IG37" t="e">
        <f>AND(#REF!,"AAAAACf9xfA=")</f>
        <v>#REF!</v>
      </c>
      <c r="IH37" t="e">
        <f>AND(#REF!,"AAAAACf9xfE=")</f>
        <v>#REF!</v>
      </c>
      <c r="II37" t="e">
        <f>AND(#REF!,"AAAAACf9xfI=")</f>
        <v>#REF!</v>
      </c>
      <c r="IJ37" t="e">
        <f>AND(#REF!,"AAAAACf9xfM=")</f>
        <v>#REF!</v>
      </c>
      <c r="IK37" t="e">
        <f>IF(#REF!,"AAAAACf9xfQ=",0)</f>
        <v>#REF!</v>
      </c>
      <c r="IL37" t="e">
        <f>AND(#REF!,"AAAAACf9xfU=")</f>
        <v>#REF!</v>
      </c>
      <c r="IM37" t="e">
        <f>AND(#REF!,"AAAAACf9xfY=")</f>
        <v>#REF!</v>
      </c>
      <c r="IN37" t="e">
        <f>AND(#REF!,"AAAAACf9xfc=")</f>
        <v>#REF!</v>
      </c>
      <c r="IO37" t="e">
        <f>AND(#REF!,"AAAAACf9xfg=")</f>
        <v>#REF!</v>
      </c>
      <c r="IP37" t="e">
        <f>AND(#REF!,"AAAAACf9xfk=")</f>
        <v>#REF!</v>
      </c>
      <c r="IQ37" t="e">
        <f>AND(#REF!,"AAAAACf9xfo=")</f>
        <v>#REF!</v>
      </c>
      <c r="IR37" t="e">
        <f>AND(#REF!,"AAAAACf9xfs=")</f>
        <v>#REF!</v>
      </c>
      <c r="IS37" t="e">
        <f>AND(#REF!,"AAAAACf9xfw=")</f>
        <v>#REF!</v>
      </c>
      <c r="IT37" t="e">
        <f>AND(#REF!,"AAAAACf9xf0=")</f>
        <v>#REF!</v>
      </c>
      <c r="IU37" t="e">
        <f>AND(#REF!,"AAAAACf9xf4=")</f>
        <v>#REF!</v>
      </c>
      <c r="IV37" t="e">
        <f>AND(#REF!,"AAAAACf9xf8=")</f>
        <v>#REF!</v>
      </c>
    </row>
    <row r="38" spans="1:256" x14ac:dyDescent="0.25">
      <c r="A38" t="e">
        <f>AND(#REF!,"AAAAAF9t3gA=")</f>
        <v>#REF!</v>
      </c>
      <c r="B38" t="e">
        <f>AND(#REF!,"AAAAAF9t3gE=")</f>
        <v>#REF!</v>
      </c>
      <c r="C38" t="e">
        <f>AND(#REF!,"AAAAAF9t3gI=")</f>
        <v>#REF!</v>
      </c>
      <c r="D38" t="e">
        <f>AND(#REF!,"AAAAAF9t3gM=")</f>
        <v>#REF!</v>
      </c>
      <c r="E38" t="e">
        <f>AND(#REF!,"AAAAAF9t3gQ=")</f>
        <v>#REF!</v>
      </c>
      <c r="F38" t="e">
        <f>AND(#REF!,"AAAAAF9t3gU=")</f>
        <v>#REF!</v>
      </c>
      <c r="G38" t="e">
        <f>AND(#REF!,"AAAAAF9t3gY=")</f>
        <v>#REF!</v>
      </c>
      <c r="H38" t="e">
        <f>AND(#REF!,"AAAAAF9t3gc=")</f>
        <v>#REF!</v>
      </c>
      <c r="I38" t="e">
        <f>AND(#REF!,"AAAAAF9t3gg=")</f>
        <v>#REF!</v>
      </c>
      <c r="J38" t="e">
        <f>AND(#REF!,"AAAAAF9t3gk=")</f>
        <v>#REF!</v>
      </c>
      <c r="K38" t="e">
        <f>AND(#REF!,"AAAAAF9t3go=")</f>
        <v>#REF!</v>
      </c>
      <c r="L38" t="e">
        <f>AND(#REF!,"AAAAAF9t3gs=")</f>
        <v>#REF!</v>
      </c>
      <c r="M38" t="e">
        <f>AND(#REF!,"AAAAAF9t3gw=")</f>
        <v>#REF!</v>
      </c>
      <c r="N38" t="e">
        <f>AND(#REF!,"AAAAAF9t3g0=")</f>
        <v>#REF!</v>
      </c>
      <c r="O38" t="e">
        <f>AND(#REF!,"AAAAAF9t3g4=")</f>
        <v>#REF!</v>
      </c>
      <c r="P38" t="e">
        <f>AND(#REF!,"AAAAAF9t3g8=")</f>
        <v>#REF!</v>
      </c>
      <c r="Q38" t="e">
        <f>AND(#REF!,"AAAAAF9t3hA=")</f>
        <v>#REF!</v>
      </c>
      <c r="R38" t="e">
        <f>AND(#REF!,"AAAAAF9t3hE=")</f>
        <v>#REF!</v>
      </c>
      <c r="S38" t="e">
        <f>AND(#REF!,"AAAAAF9t3hI=")</f>
        <v>#REF!</v>
      </c>
      <c r="T38" t="e">
        <f>AND(#REF!,"AAAAAF9t3hM=")</f>
        <v>#REF!</v>
      </c>
      <c r="U38" t="e">
        <f>AND(#REF!,"AAAAAF9t3hQ=")</f>
        <v>#REF!</v>
      </c>
      <c r="V38" t="e">
        <f>AND(#REF!,"AAAAAF9t3hU=")</f>
        <v>#REF!</v>
      </c>
      <c r="W38" t="e">
        <f>AND(#REF!,"AAAAAF9t3hY=")</f>
        <v>#REF!</v>
      </c>
      <c r="X38" t="e">
        <f>AND(#REF!,"AAAAAF9t3hc=")</f>
        <v>#REF!</v>
      </c>
      <c r="Y38" t="e">
        <f>AND(#REF!,"AAAAAF9t3hg=")</f>
        <v>#REF!</v>
      </c>
      <c r="Z38" t="e">
        <f>AND(#REF!,"AAAAAF9t3hk=")</f>
        <v>#REF!</v>
      </c>
      <c r="AA38" t="e">
        <f>AND(#REF!,"AAAAAF9t3ho=")</f>
        <v>#REF!</v>
      </c>
      <c r="AB38" t="e">
        <f>AND(#REF!,"AAAAAF9t3hs=")</f>
        <v>#REF!</v>
      </c>
      <c r="AC38" t="e">
        <f>AND(#REF!,"AAAAAF9t3hw=")</f>
        <v>#REF!</v>
      </c>
      <c r="AD38" t="e">
        <f>AND(#REF!,"AAAAAF9t3h0=")</f>
        <v>#REF!</v>
      </c>
      <c r="AE38" t="e">
        <f>AND(#REF!,"AAAAAF9t3h4=")</f>
        <v>#REF!</v>
      </c>
      <c r="AF38" t="e">
        <f>AND(#REF!,"AAAAAF9t3h8=")</f>
        <v>#REF!</v>
      </c>
      <c r="AG38" t="e">
        <f>IF(#REF!,"AAAAAF9t3iA=",0)</f>
        <v>#REF!</v>
      </c>
      <c r="AH38" t="e">
        <f>AND(#REF!,"AAAAAF9t3iE=")</f>
        <v>#REF!</v>
      </c>
      <c r="AI38" t="e">
        <f>AND(#REF!,"AAAAAF9t3iI=")</f>
        <v>#REF!</v>
      </c>
      <c r="AJ38" t="e">
        <f>AND(#REF!,"AAAAAF9t3iM=")</f>
        <v>#REF!</v>
      </c>
      <c r="AK38" t="e">
        <f>AND(#REF!,"AAAAAF9t3iQ=")</f>
        <v>#REF!</v>
      </c>
      <c r="AL38" t="e">
        <f>AND(#REF!,"AAAAAF9t3iU=")</f>
        <v>#REF!</v>
      </c>
      <c r="AM38" t="e">
        <f>AND(#REF!,"AAAAAF9t3iY=")</f>
        <v>#REF!</v>
      </c>
      <c r="AN38" t="e">
        <f>AND(#REF!,"AAAAAF9t3ic=")</f>
        <v>#REF!</v>
      </c>
      <c r="AO38" t="e">
        <f>AND(#REF!,"AAAAAF9t3ig=")</f>
        <v>#REF!</v>
      </c>
      <c r="AP38" t="e">
        <f>AND(#REF!,"AAAAAF9t3ik=")</f>
        <v>#REF!</v>
      </c>
      <c r="AQ38" t="e">
        <f>AND(#REF!,"AAAAAF9t3io=")</f>
        <v>#REF!</v>
      </c>
      <c r="AR38" t="e">
        <f>AND(#REF!,"AAAAAF9t3is=")</f>
        <v>#REF!</v>
      </c>
      <c r="AS38" t="e">
        <f>AND(#REF!,"AAAAAF9t3iw=")</f>
        <v>#REF!</v>
      </c>
      <c r="AT38" t="e">
        <f>AND(#REF!,"AAAAAF9t3i0=")</f>
        <v>#REF!</v>
      </c>
      <c r="AU38" t="e">
        <f>AND(#REF!,"AAAAAF9t3i4=")</f>
        <v>#REF!</v>
      </c>
      <c r="AV38" t="e">
        <f>AND(#REF!,"AAAAAF9t3i8=")</f>
        <v>#REF!</v>
      </c>
      <c r="AW38" t="e">
        <f>AND(#REF!,"AAAAAF9t3jA=")</f>
        <v>#REF!</v>
      </c>
      <c r="AX38" t="e">
        <f>AND(#REF!,"AAAAAF9t3jE=")</f>
        <v>#REF!</v>
      </c>
      <c r="AY38" t="e">
        <f>AND(#REF!,"AAAAAF9t3jI=")</f>
        <v>#REF!</v>
      </c>
      <c r="AZ38" t="e">
        <f>AND(#REF!,"AAAAAF9t3jM=")</f>
        <v>#REF!</v>
      </c>
      <c r="BA38" t="e">
        <f>AND(#REF!,"AAAAAF9t3jQ=")</f>
        <v>#REF!</v>
      </c>
      <c r="BB38" t="e">
        <f>AND(#REF!,"AAAAAF9t3jU=")</f>
        <v>#REF!</v>
      </c>
      <c r="BC38" t="e">
        <f>AND(#REF!,"AAAAAF9t3jY=")</f>
        <v>#REF!</v>
      </c>
      <c r="BD38" t="e">
        <f>AND(#REF!,"AAAAAF9t3jc=")</f>
        <v>#REF!</v>
      </c>
      <c r="BE38" t="e">
        <f>AND(#REF!,"AAAAAF9t3jg=")</f>
        <v>#REF!</v>
      </c>
      <c r="BF38" t="e">
        <f>AND(#REF!,"AAAAAF9t3jk=")</f>
        <v>#REF!</v>
      </c>
      <c r="BG38" t="e">
        <f>AND(#REF!,"AAAAAF9t3jo=")</f>
        <v>#REF!</v>
      </c>
      <c r="BH38" t="e">
        <f>AND(#REF!,"AAAAAF9t3js=")</f>
        <v>#REF!</v>
      </c>
      <c r="BI38" t="e">
        <f>AND(#REF!,"AAAAAF9t3jw=")</f>
        <v>#REF!</v>
      </c>
      <c r="BJ38" t="e">
        <f>AND(#REF!,"AAAAAF9t3j0=")</f>
        <v>#REF!</v>
      </c>
      <c r="BK38" t="e">
        <f>AND(#REF!,"AAAAAF9t3j4=")</f>
        <v>#REF!</v>
      </c>
      <c r="BL38" t="e">
        <f>AND(#REF!,"AAAAAF9t3j8=")</f>
        <v>#REF!</v>
      </c>
      <c r="BM38" t="e">
        <f>AND(#REF!,"AAAAAF9t3kA=")</f>
        <v>#REF!</v>
      </c>
      <c r="BN38" t="e">
        <f>AND(#REF!,"AAAAAF9t3kE=")</f>
        <v>#REF!</v>
      </c>
      <c r="BO38" t="e">
        <f>AND(#REF!,"AAAAAF9t3kI=")</f>
        <v>#REF!</v>
      </c>
      <c r="BP38" t="e">
        <f>AND(#REF!,"AAAAAF9t3kM=")</f>
        <v>#REF!</v>
      </c>
      <c r="BQ38" t="e">
        <f>AND(#REF!,"AAAAAF9t3kQ=")</f>
        <v>#REF!</v>
      </c>
      <c r="BR38" t="e">
        <f>AND(#REF!,"AAAAAF9t3kU=")</f>
        <v>#REF!</v>
      </c>
      <c r="BS38" t="e">
        <f>AND(#REF!,"AAAAAF9t3kY=")</f>
        <v>#REF!</v>
      </c>
      <c r="BT38" t="e">
        <f>AND(#REF!,"AAAAAF9t3kc=")</f>
        <v>#REF!</v>
      </c>
      <c r="BU38" t="e">
        <f>AND(#REF!,"AAAAAF9t3kg=")</f>
        <v>#REF!</v>
      </c>
      <c r="BV38" t="e">
        <f>AND(#REF!,"AAAAAF9t3kk=")</f>
        <v>#REF!</v>
      </c>
      <c r="BW38" t="e">
        <f>AND(#REF!,"AAAAAF9t3ko=")</f>
        <v>#REF!</v>
      </c>
      <c r="BX38" t="e">
        <f>AND(#REF!,"AAAAAF9t3ks=")</f>
        <v>#REF!</v>
      </c>
      <c r="BY38" t="e">
        <f>IF(#REF!,"AAAAAF9t3kw=",0)</f>
        <v>#REF!</v>
      </c>
      <c r="BZ38" t="e">
        <f>AND(#REF!,"AAAAAF9t3k0=")</f>
        <v>#REF!</v>
      </c>
      <c r="CA38" t="e">
        <f>AND(#REF!,"AAAAAF9t3k4=")</f>
        <v>#REF!</v>
      </c>
      <c r="CB38" t="e">
        <f>AND(#REF!,"AAAAAF9t3k8=")</f>
        <v>#REF!</v>
      </c>
      <c r="CC38" t="e">
        <f>AND(#REF!,"AAAAAF9t3lA=")</f>
        <v>#REF!</v>
      </c>
      <c r="CD38" t="e">
        <f>AND(#REF!,"AAAAAF9t3lE=")</f>
        <v>#REF!</v>
      </c>
      <c r="CE38" t="e">
        <f>AND(#REF!,"AAAAAF9t3lI=")</f>
        <v>#REF!</v>
      </c>
      <c r="CF38" t="e">
        <f>AND(#REF!,"AAAAAF9t3lM=")</f>
        <v>#REF!</v>
      </c>
      <c r="CG38" t="e">
        <f>AND(#REF!,"AAAAAF9t3lQ=")</f>
        <v>#REF!</v>
      </c>
      <c r="CH38" t="e">
        <f>AND(#REF!,"AAAAAF9t3lU=")</f>
        <v>#REF!</v>
      </c>
      <c r="CI38" t="e">
        <f>AND(#REF!,"AAAAAF9t3lY=")</f>
        <v>#REF!</v>
      </c>
      <c r="CJ38" t="e">
        <f>AND(#REF!,"AAAAAF9t3lc=")</f>
        <v>#REF!</v>
      </c>
      <c r="CK38" t="e">
        <f>AND(#REF!,"AAAAAF9t3lg=")</f>
        <v>#REF!</v>
      </c>
      <c r="CL38" t="e">
        <f>AND(#REF!,"AAAAAF9t3lk=")</f>
        <v>#REF!</v>
      </c>
      <c r="CM38" t="e">
        <f>AND(#REF!,"AAAAAF9t3lo=")</f>
        <v>#REF!</v>
      </c>
      <c r="CN38" t="e">
        <f>AND(#REF!,"AAAAAF9t3ls=")</f>
        <v>#REF!</v>
      </c>
      <c r="CO38" t="e">
        <f>AND(#REF!,"AAAAAF9t3lw=")</f>
        <v>#REF!</v>
      </c>
      <c r="CP38" t="e">
        <f>AND(#REF!,"AAAAAF9t3l0=")</f>
        <v>#REF!</v>
      </c>
      <c r="CQ38" t="e">
        <f>AND(#REF!,"AAAAAF9t3l4=")</f>
        <v>#REF!</v>
      </c>
      <c r="CR38" t="e">
        <f>AND(#REF!,"AAAAAF9t3l8=")</f>
        <v>#REF!</v>
      </c>
      <c r="CS38" t="e">
        <f>AND(#REF!,"AAAAAF9t3mA=")</f>
        <v>#REF!</v>
      </c>
      <c r="CT38" t="e">
        <f>AND(#REF!,"AAAAAF9t3mE=")</f>
        <v>#REF!</v>
      </c>
      <c r="CU38" t="e">
        <f>AND(#REF!,"AAAAAF9t3mI=")</f>
        <v>#REF!</v>
      </c>
      <c r="CV38" t="e">
        <f>AND(#REF!,"AAAAAF9t3mM=")</f>
        <v>#REF!</v>
      </c>
      <c r="CW38" t="e">
        <f>AND(#REF!,"AAAAAF9t3mQ=")</f>
        <v>#REF!</v>
      </c>
      <c r="CX38" t="e">
        <f>AND(#REF!,"AAAAAF9t3mU=")</f>
        <v>#REF!</v>
      </c>
      <c r="CY38" t="e">
        <f>AND(#REF!,"AAAAAF9t3mY=")</f>
        <v>#REF!</v>
      </c>
      <c r="CZ38" t="e">
        <f>AND(#REF!,"AAAAAF9t3mc=")</f>
        <v>#REF!</v>
      </c>
      <c r="DA38" t="e">
        <f>AND(#REF!,"AAAAAF9t3mg=")</f>
        <v>#REF!</v>
      </c>
      <c r="DB38" t="e">
        <f>AND(#REF!,"AAAAAF9t3mk=")</f>
        <v>#REF!</v>
      </c>
      <c r="DC38" t="e">
        <f>AND(#REF!,"AAAAAF9t3mo=")</f>
        <v>#REF!</v>
      </c>
      <c r="DD38" t="e">
        <f>AND(#REF!,"AAAAAF9t3ms=")</f>
        <v>#REF!</v>
      </c>
      <c r="DE38" t="e">
        <f>AND(#REF!,"AAAAAF9t3mw=")</f>
        <v>#REF!</v>
      </c>
      <c r="DF38" t="e">
        <f>AND(#REF!,"AAAAAF9t3m0=")</f>
        <v>#REF!</v>
      </c>
      <c r="DG38" t="e">
        <f>AND(#REF!,"AAAAAF9t3m4=")</f>
        <v>#REF!</v>
      </c>
      <c r="DH38" t="e">
        <f>AND(#REF!,"AAAAAF9t3m8=")</f>
        <v>#REF!</v>
      </c>
      <c r="DI38" t="e">
        <f>AND(#REF!,"AAAAAF9t3nA=")</f>
        <v>#REF!</v>
      </c>
      <c r="DJ38" t="e">
        <f>AND(#REF!,"AAAAAF9t3nE=")</f>
        <v>#REF!</v>
      </c>
      <c r="DK38" t="e">
        <f>AND(#REF!,"AAAAAF9t3nI=")</f>
        <v>#REF!</v>
      </c>
      <c r="DL38" t="e">
        <f>AND(#REF!,"AAAAAF9t3nM=")</f>
        <v>#REF!</v>
      </c>
      <c r="DM38" t="e">
        <f>AND(#REF!,"AAAAAF9t3nQ=")</f>
        <v>#REF!</v>
      </c>
      <c r="DN38" t="e">
        <f>AND(#REF!,"AAAAAF9t3nU=")</f>
        <v>#REF!</v>
      </c>
      <c r="DO38" t="e">
        <f>AND(#REF!,"AAAAAF9t3nY=")</f>
        <v>#REF!</v>
      </c>
      <c r="DP38" t="e">
        <f>AND(#REF!,"AAAAAF9t3nc=")</f>
        <v>#REF!</v>
      </c>
      <c r="DQ38" t="e">
        <f>IF(#REF!,"AAAAAF9t3ng=",0)</f>
        <v>#REF!</v>
      </c>
      <c r="DR38" t="e">
        <f>AND(#REF!,"AAAAAF9t3nk=")</f>
        <v>#REF!</v>
      </c>
      <c r="DS38" t="e">
        <f>AND(#REF!,"AAAAAF9t3no=")</f>
        <v>#REF!</v>
      </c>
      <c r="DT38" t="e">
        <f>AND(#REF!,"AAAAAF9t3ns=")</f>
        <v>#REF!</v>
      </c>
      <c r="DU38" t="e">
        <f>AND(#REF!,"AAAAAF9t3nw=")</f>
        <v>#REF!</v>
      </c>
      <c r="DV38" t="e">
        <f>AND(#REF!,"AAAAAF9t3n0=")</f>
        <v>#REF!</v>
      </c>
      <c r="DW38" t="e">
        <f>AND(#REF!,"AAAAAF9t3n4=")</f>
        <v>#REF!</v>
      </c>
      <c r="DX38" t="e">
        <f>AND(#REF!,"AAAAAF9t3n8=")</f>
        <v>#REF!</v>
      </c>
      <c r="DY38" t="e">
        <f>AND(#REF!,"AAAAAF9t3oA=")</f>
        <v>#REF!</v>
      </c>
      <c r="DZ38" t="e">
        <f>AND(#REF!,"AAAAAF9t3oE=")</f>
        <v>#REF!</v>
      </c>
      <c r="EA38" t="e">
        <f>AND(#REF!,"AAAAAF9t3oI=")</f>
        <v>#REF!</v>
      </c>
      <c r="EB38" t="e">
        <f>AND(#REF!,"AAAAAF9t3oM=")</f>
        <v>#REF!</v>
      </c>
      <c r="EC38" t="e">
        <f>AND(#REF!,"AAAAAF9t3oQ=")</f>
        <v>#REF!</v>
      </c>
      <c r="ED38" t="e">
        <f>AND(#REF!,"AAAAAF9t3oU=")</f>
        <v>#REF!</v>
      </c>
      <c r="EE38" t="e">
        <f>AND(#REF!,"AAAAAF9t3oY=")</f>
        <v>#REF!</v>
      </c>
      <c r="EF38" t="e">
        <f>AND(#REF!,"AAAAAF9t3oc=")</f>
        <v>#REF!</v>
      </c>
      <c r="EG38" t="e">
        <f>AND(#REF!,"AAAAAF9t3og=")</f>
        <v>#REF!</v>
      </c>
      <c r="EH38" t="e">
        <f>AND(#REF!,"AAAAAF9t3ok=")</f>
        <v>#REF!</v>
      </c>
      <c r="EI38" t="e">
        <f>AND(#REF!,"AAAAAF9t3oo=")</f>
        <v>#REF!</v>
      </c>
      <c r="EJ38" t="e">
        <f>AND(#REF!,"AAAAAF9t3os=")</f>
        <v>#REF!</v>
      </c>
      <c r="EK38" t="e">
        <f>AND(#REF!,"AAAAAF9t3ow=")</f>
        <v>#REF!</v>
      </c>
      <c r="EL38" t="e">
        <f>AND(#REF!,"AAAAAF9t3o0=")</f>
        <v>#REF!</v>
      </c>
      <c r="EM38" t="e">
        <f>AND(#REF!,"AAAAAF9t3o4=")</f>
        <v>#REF!</v>
      </c>
      <c r="EN38" t="e">
        <f>AND(#REF!,"AAAAAF9t3o8=")</f>
        <v>#REF!</v>
      </c>
      <c r="EO38" t="e">
        <f>AND(#REF!,"AAAAAF9t3pA=")</f>
        <v>#REF!</v>
      </c>
      <c r="EP38" t="e">
        <f>AND(#REF!,"AAAAAF9t3pE=")</f>
        <v>#REF!</v>
      </c>
      <c r="EQ38" t="e">
        <f>AND(#REF!,"AAAAAF9t3pI=")</f>
        <v>#REF!</v>
      </c>
      <c r="ER38" t="e">
        <f>AND(#REF!,"AAAAAF9t3pM=")</f>
        <v>#REF!</v>
      </c>
      <c r="ES38" t="e">
        <f>AND(#REF!,"AAAAAF9t3pQ=")</f>
        <v>#REF!</v>
      </c>
      <c r="ET38" t="e">
        <f>AND(#REF!,"AAAAAF9t3pU=")</f>
        <v>#REF!</v>
      </c>
      <c r="EU38" t="e">
        <f>AND(#REF!,"AAAAAF9t3pY=")</f>
        <v>#REF!</v>
      </c>
      <c r="EV38" t="e">
        <f>AND(#REF!,"AAAAAF9t3pc=")</f>
        <v>#REF!</v>
      </c>
      <c r="EW38" t="e">
        <f>AND(#REF!,"AAAAAF9t3pg=")</f>
        <v>#REF!</v>
      </c>
      <c r="EX38" t="e">
        <f>AND(#REF!,"AAAAAF9t3pk=")</f>
        <v>#REF!</v>
      </c>
      <c r="EY38" t="e">
        <f>AND(#REF!,"AAAAAF9t3po=")</f>
        <v>#REF!</v>
      </c>
      <c r="EZ38" t="e">
        <f>AND(#REF!,"AAAAAF9t3ps=")</f>
        <v>#REF!</v>
      </c>
      <c r="FA38" t="e">
        <f>AND(#REF!,"AAAAAF9t3pw=")</f>
        <v>#REF!</v>
      </c>
      <c r="FB38" t="e">
        <f>AND(#REF!,"AAAAAF9t3p0=")</f>
        <v>#REF!</v>
      </c>
      <c r="FC38" t="e">
        <f>AND(#REF!,"AAAAAF9t3p4=")</f>
        <v>#REF!</v>
      </c>
      <c r="FD38" t="e">
        <f>AND(#REF!,"AAAAAF9t3p8=")</f>
        <v>#REF!</v>
      </c>
      <c r="FE38" t="e">
        <f>AND(#REF!,"AAAAAF9t3qA=")</f>
        <v>#REF!</v>
      </c>
      <c r="FF38" t="e">
        <f>AND(#REF!,"AAAAAF9t3qE=")</f>
        <v>#REF!</v>
      </c>
      <c r="FG38" t="e">
        <f>AND(#REF!,"AAAAAF9t3qI=")</f>
        <v>#REF!</v>
      </c>
      <c r="FH38" t="e">
        <f>AND(#REF!,"AAAAAF9t3qM=")</f>
        <v>#REF!</v>
      </c>
      <c r="FI38" t="e">
        <f>IF(#REF!,"AAAAAF9t3qQ=",0)</f>
        <v>#REF!</v>
      </c>
      <c r="FJ38" t="e">
        <f>AND(#REF!,"AAAAAF9t3qU=")</f>
        <v>#REF!</v>
      </c>
      <c r="FK38" t="e">
        <f>AND(#REF!,"AAAAAF9t3qY=")</f>
        <v>#REF!</v>
      </c>
      <c r="FL38" t="e">
        <f>AND(#REF!,"AAAAAF9t3qc=")</f>
        <v>#REF!</v>
      </c>
      <c r="FM38" t="e">
        <f>AND(#REF!,"AAAAAF9t3qg=")</f>
        <v>#REF!</v>
      </c>
      <c r="FN38" t="e">
        <f>AND(#REF!,"AAAAAF9t3qk=")</f>
        <v>#REF!</v>
      </c>
      <c r="FO38" t="e">
        <f>AND(#REF!,"AAAAAF9t3qo=")</f>
        <v>#REF!</v>
      </c>
      <c r="FP38" t="e">
        <f>AND(#REF!,"AAAAAF9t3qs=")</f>
        <v>#REF!</v>
      </c>
      <c r="FQ38" t="e">
        <f>AND(#REF!,"AAAAAF9t3qw=")</f>
        <v>#REF!</v>
      </c>
      <c r="FR38" t="e">
        <f>AND(#REF!,"AAAAAF9t3q0=")</f>
        <v>#REF!</v>
      </c>
      <c r="FS38" t="e">
        <f>AND(#REF!,"AAAAAF9t3q4=")</f>
        <v>#REF!</v>
      </c>
      <c r="FT38" t="e">
        <f>AND(#REF!,"AAAAAF9t3q8=")</f>
        <v>#REF!</v>
      </c>
      <c r="FU38" t="e">
        <f>AND(#REF!,"AAAAAF9t3rA=")</f>
        <v>#REF!</v>
      </c>
      <c r="FV38" t="e">
        <f>AND(#REF!,"AAAAAF9t3rE=")</f>
        <v>#REF!</v>
      </c>
      <c r="FW38" t="e">
        <f>AND(#REF!,"AAAAAF9t3rI=")</f>
        <v>#REF!</v>
      </c>
      <c r="FX38" t="e">
        <f>AND(#REF!,"AAAAAF9t3rM=")</f>
        <v>#REF!</v>
      </c>
      <c r="FY38" t="e">
        <f>AND(#REF!,"AAAAAF9t3rQ=")</f>
        <v>#REF!</v>
      </c>
      <c r="FZ38" t="e">
        <f>AND(#REF!,"AAAAAF9t3rU=")</f>
        <v>#REF!</v>
      </c>
      <c r="GA38" t="e">
        <f>AND(#REF!,"AAAAAF9t3rY=")</f>
        <v>#REF!</v>
      </c>
      <c r="GB38" t="e">
        <f>AND(#REF!,"AAAAAF9t3rc=")</f>
        <v>#REF!</v>
      </c>
      <c r="GC38" t="e">
        <f>AND(#REF!,"AAAAAF9t3rg=")</f>
        <v>#REF!</v>
      </c>
      <c r="GD38" t="e">
        <f>AND(#REF!,"AAAAAF9t3rk=")</f>
        <v>#REF!</v>
      </c>
      <c r="GE38" t="e">
        <f>AND(#REF!,"AAAAAF9t3ro=")</f>
        <v>#REF!</v>
      </c>
      <c r="GF38" t="e">
        <f>AND(#REF!,"AAAAAF9t3rs=")</f>
        <v>#REF!</v>
      </c>
      <c r="GG38" t="e">
        <f>AND(#REF!,"AAAAAF9t3rw=")</f>
        <v>#REF!</v>
      </c>
      <c r="GH38" t="e">
        <f>AND(#REF!,"AAAAAF9t3r0=")</f>
        <v>#REF!</v>
      </c>
      <c r="GI38" t="e">
        <f>AND(#REF!,"AAAAAF9t3r4=")</f>
        <v>#REF!</v>
      </c>
      <c r="GJ38" t="e">
        <f>AND(#REF!,"AAAAAF9t3r8=")</f>
        <v>#REF!</v>
      </c>
      <c r="GK38" t="e">
        <f>AND(#REF!,"AAAAAF9t3sA=")</f>
        <v>#REF!</v>
      </c>
      <c r="GL38" t="e">
        <f>AND(#REF!,"AAAAAF9t3sE=")</f>
        <v>#REF!</v>
      </c>
      <c r="GM38" t="e">
        <f>AND(#REF!,"AAAAAF9t3sI=")</f>
        <v>#REF!</v>
      </c>
      <c r="GN38" t="e">
        <f>AND(#REF!,"AAAAAF9t3sM=")</f>
        <v>#REF!</v>
      </c>
      <c r="GO38" t="e">
        <f>AND(#REF!,"AAAAAF9t3sQ=")</f>
        <v>#REF!</v>
      </c>
      <c r="GP38" t="e">
        <f>AND(#REF!,"AAAAAF9t3sU=")</f>
        <v>#REF!</v>
      </c>
      <c r="GQ38" t="e">
        <f>AND(#REF!,"AAAAAF9t3sY=")</f>
        <v>#REF!</v>
      </c>
      <c r="GR38" t="e">
        <f>AND(#REF!,"AAAAAF9t3sc=")</f>
        <v>#REF!</v>
      </c>
      <c r="GS38" t="e">
        <f>AND(#REF!,"AAAAAF9t3sg=")</f>
        <v>#REF!</v>
      </c>
      <c r="GT38" t="e">
        <f>AND(#REF!,"AAAAAF9t3sk=")</f>
        <v>#REF!</v>
      </c>
      <c r="GU38" t="e">
        <f>AND(#REF!,"AAAAAF9t3so=")</f>
        <v>#REF!</v>
      </c>
      <c r="GV38" t="e">
        <f>AND(#REF!,"AAAAAF9t3ss=")</f>
        <v>#REF!</v>
      </c>
      <c r="GW38" t="e">
        <f>AND(#REF!,"AAAAAF9t3sw=")</f>
        <v>#REF!</v>
      </c>
      <c r="GX38" t="e">
        <f>AND(#REF!,"AAAAAF9t3s0=")</f>
        <v>#REF!</v>
      </c>
      <c r="GY38" t="e">
        <f>AND(#REF!,"AAAAAF9t3s4=")</f>
        <v>#REF!</v>
      </c>
      <c r="GZ38" t="e">
        <f>AND(#REF!,"AAAAAF9t3s8=")</f>
        <v>#REF!</v>
      </c>
      <c r="HA38" t="e">
        <f>IF(#REF!,"AAAAAF9t3tA=",0)</f>
        <v>#REF!</v>
      </c>
      <c r="HB38" t="e">
        <f>AND(#REF!,"AAAAAF9t3tE=")</f>
        <v>#REF!</v>
      </c>
      <c r="HC38" t="e">
        <f>AND(#REF!,"AAAAAF9t3tI=")</f>
        <v>#REF!</v>
      </c>
      <c r="HD38" t="e">
        <f>AND(#REF!,"AAAAAF9t3tM=")</f>
        <v>#REF!</v>
      </c>
      <c r="HE38" t="e">
        <f>AND(#REF!,"AAAAAF9t3tQ=")</f>
        <v>#REF!</v>
      </c>
      <c r="HF38" t="e">
        <f>AND(#REF!,"AAAAAF9t3tU=")</f>
        <v>#REF!</v>
      </c>
      <c r="HG38" t="e">
        <f>AND(#REF!,"AAAAAF9t3tY=")</f>
        <v>#REF!</v>
      </c>
      <c r="HH38" t="e">
        <f>AND(#REF!,"AAAAAF9t3tc=")</f>
        <v>#REF!</v>
      </c>
      <c r="HI38" t="e">
        <f>AND(#REF!,"AAAAAF9t3tg=")</f>
        <v>#REF!</v>
      </c>
      <c r="HJ38" t="e">
        <f>AND(#REF!,"AAAAAF9t3tk=")</f>
        <v>#REF!</v>
      </c>
      <c r="HK38" t="e">
        <f>AND(#REF!,"AAAAAF9t3to=")</f>
        <v>#REF!</v>
      </c>
      <c r="HL38" t="e">
        <f>AND(#REF!,"AAAAAF9t3ts=")</f>
        <v>#REF!</v>
      </c>
      <c r="HM38" t="e">
        <f>AND(#REF!,"AAAAAF9t3tw=")</f>
        <v>#REF!</v>
      </c>
      <c r="HN38" t="e">
        <f>AND(#REF!,"AAAAAF9t3t0=")</f>
        <v>#REF!</v>
      </c>
      <c r="HO38" t="e">
        <f>AND(#REF!,"AAAAAF9t3t4=")</f>
        <v>#REF!</v>
      </c>
      <c r="HP38" t="e">
        <f>AND(#REF!,"AAAAAF9t3t8=")</f>
        <v>#REF!</v>
      </c>
      <c r="HQ38" t="e">
        <f>AND(#REF!,"AAAAAF9t3uA=")</f>
        <v>#REF!</v>
      </c>
      <c r="HR38" t="e">
        <f>AND(#REF!,"AAAAAF9t3uE=")</f>
        <v>#REF!</v>
      </c>
      <c r="HS38" t="e">
        <f>AND(#REF!,"AAAAAF9t3uI=")</f>
        <v>#REF!</v>
      </c>
      <c r="HT38" t="e">
        <f>AND(#REF!,"AAAAAF9t3uM=")</f>
        <v>#REF!</v>
      </c>
      <c r="HU38" t="e">
        <f>AND(#REF!,"AAAAAF9t3uQ=")</f>
        <v>#REF!</v>
      </c>
      <c r="HV38" t="e">
        <f>AND(#REF!,"AAAAAF9t3uU=")</f>
        <v>#REF!</v>
      </c>
      <c r="HW38" t="e">
        <f>AND(#REF!,"AAAAAF9t3uY=")</f>
        <v>#REF!</v>
      </c>
      <c r="HX38" t="e">
        <f>AND(#REF!,"AAAAAF9t3uc=")</f>
        <v>#REF!</v>
      </c>
      <c r="HY38" t="e">
        <f>AND(#REF!,"AAAAAF9t3ug=")</f>
        <v>#REF!</v>
      </c>
      <c r="HZ38" t="e">
        <f>AND(#REF!,"AAAAAF9t3uk=")</f>
        <v>#REF!</v>
      </c>
      <c r="IA38" t="e">
        <f>AND(#REF!,"AAAAAF9t3uo=")</f>
        <v>#REF!</v>
      </c>
      <c r="IB38" t="e">
        <f>AND(#REF!,"AAAAAF9t3us=")</f>
        <v>#REF!</v>
      </c>
      <c r="IC38" t="e">
        <f>AND(#REF!,"AAAAAF9t3uw=")</f>
        <v>#REF!</v>
      </c>
      <c r="ID38" t="e">
        <f>AND(#REF!,"AAAAAF9t3u0=")</f>
        <v>#REF!</v>
      </c>
      <c r="IE38" t="e">
        <f>AND(#REF!,"AAAAAF9t3u4=")</f>
        <v>#REF!</v>
      </c>
      <c r="IF38" t="e">
        <f>AND(#REF!,"AAAAAF9t3u8=")</f>
        <v>#REF!</v>
      </c>
      <c r="IG38" t="e">
        <f>AND(#REF!,"AAAAAF9t3vA=")</f>
        <v>#REF!</v>
      </c>
      <c r="IH38" t="e">
        <f>AND(#REF!,"AAAAAF9t3vE=")</f>
        <v>#REF!</v>
      </c>
      <c r="II38" t="e">
        <f>AND(#REF!,"AAAAAF9t3vI=")</f>
        <v>#REF!</v>
      </c>
      <c r="IJ38" t="e">
        <f>AND(#REF!,"AAAAAF9t3vM=")</f>
        <v>#REF!</v>
      </c>
      <c r="IK38" t="e">
        <f>AND(#REF!,"AAAAAF9t3vQ=")</f>
        <v>#REF!</v>
      </c>
      <c r="IL38" t="e">
        <f>AND(#REF!,"AAAAAF9t3vU=")</f>
        <v>#REF!</v>
      </c>
      <c r="IM38" t="e">
        <f>AND(#REF!,"AAAAAF9t3vY=")</f>
        <v>#REF!</v>
      </c>
      <c r="IN38" t="e">
        <f>AND(#REF!,"AAAAAF9t3vc=")</f>
        <v>#REF!</v>
      </c>
      <c r="IO38" t="e">
        <f>AND(#REF!,"AAAAAF9t3vg=")</f>
        <v>#REF!</v>
      </c>
      <c r="IP38" t="e">
        <f>AND(#REF!,"AAAAAF9t3vk=")</f>
        <v>#REF!</v>
      </c>
      <c r="IQ38" t="e">
        <f>AND(#REF!,"AAAAAF9t3vo=")</f>
        <v>#REF!</v>
      </c>
      <c r="IR38" t="e">
        <f>AND(#REF!,"AAAAAF9t3vs=")</f>
        <v>#REF!</v>
      </c>
      <c r="IS38" t="e">
        <f>IF(#REF!,"AAAAAF9t3vw=",0)</f>
        <v>#REF!</v>
      </c>
      <c r="IT38" t="e">
        <f>AND(#REF!,"AAAAAF9t3v0=")</f>
        <v>#REF!</v>
      </c>
      <c r="IU38" t="e">
        <f>AND(#REF!,"AAAAAF9t3v4=")</f>
        <v>#REF!</v>
      </c>
      <c r="IV38" t="e">
        <f>AND(#REF!,"AAAAAF9t3v8=")</f>
        <v>#REF!</v>
      </c>
    </row>
    <row r="39" spans="1:256" x14ac:dyDescent="0.25">
      <c r="A39" t="e">
        <f>AND(#REF!,"AAAAAHf+BQA=")</f>
        <v>#REF!</v>
      </c>
      <c r="B39" t="e">
        <f>AND(#REF!,"AAAAAHf+BQE=")</f>
        <v>#REF!</v>
      </c>
      <c r="C39" t="e">
        <f>AND(#REF!,"AAAAAHf+BQI=")</f>
        <v>#REF!</v>
      </c>
      <c r="D39" t="e">
        <f>AND(#REF!,"AAAAAHf+BQM=")</f>
        <v>#REF!</v>
      </c>
      <c r="E39" t="e">
        <f>AND(#REF!,"AAAAAHf+BQQ=")</f>
        <v>#REF!</v>
      </c>
      <c r="F39" t="e">
        <f>AND(#REF!,"AAAAAHf+BQU=")</f>
        <v>#REF!</v>
      </c>
      <c r="G39" t="e">
        <f>AND(#REF!,"AAAAAHf+BQY=")</f>
        <v>#REF!</v>
      </c>
      <c r="H39" t="e">
        <f>AND(#REF!,"AAAAAHf+BQc=")</f>
        <v>#REF!</v>
      </c>
      <c r="I39" t="e">
        <f>AND(#REF!,"AAAAAHf+BQg=")</f>
        <v>#REF!</v>
      </c>
      <c r="J39" t="e">
        <f>AND(#REF!,"AAAAAHf+BQk=")</f>
        <v>#REF!</v>
      </c>
      <c r="K39" t="e">
        <f>AND(#REF!,"AAAAAHf+BQo=")</f>
        <v>#REF!</v>
      </c>
      <c r="L39" t="e">
        <f>AND(#REF!,"AAAAAHf+BQs=")</f>
        <v>#REF!</v>
      </c>
      <c r="M39" t="e">
        <f>AND(#REF!,"AAAAAHf+BQw=")</f>
        <v>#REF!</v>
      </c>
      <c r="N39" t="e">
        <f>AND(#REF!,"AAAAAHf+BQ0=")</f>
        <v>#REF!</v>
      </c>
      <c r="O39" t="e">
        <f>AND(#REF!,"AAAAAHf+BQ4=")</f>
        <v>#REF!</v>
      </c>
      <c r="P39" t="e">
        <f>AND(#REF!,"AAAAAHf+BQ8=")</f>
        <v>#REF!</v>
      </c>
      <c r="Q39" t="e">
        <f>AND(#REF!,"AAAAAHf+BRA=")</f>
        <v>#REF!</v>
      </c>
      <c r="R39" t="e">
        <f>AND(#REF!,"AAAAAHf+BRE=")</f>
        <v>#REF!</v>
      </c>
      <c r="S39" t="e">
        <f>AND(#REF!,"AAAAAHf+BRI=")</f>
        <v>#REF!</v>
      </c>
      <c r="T39" t="e">
        <f>AND(#REF!,"AAAAAHf+BRM=")</f>
        <v>#REF!</v>
      </c>
      <c r="U39" t="e">
        <f>AND(#REF!,"AAAAAHf+BRQ=")</f>
        <v>#REF!</v>
      </c>
      <c r="V39" t="e">
        <f>AND(#REF!,"AAAAAHf+BRU=")</f>
        <v>#REF!</v>
      </c>
      <c r="W39" t="e">
        <f>AND(#REF!,"AAAAAHf+BRY=")</f>
        <v>#REF!</v>
      </c>
      <c r="X39" t="e">
        <f>AND(#REF!,"AAAAAHf+BRc=")</f>
        <v>#REF!</v>
      </c>
      <c r="Y39" t="e">
        <f>AND(#REF!,"AAAAAHf+BRg=")</f>
        <v>#REF!</v>
      </c>
      <c r="Z39" t="e">
        <f>AND(#REF!,"AAAAAHf+BRk=")</f>
        <v>#REF!</v>
      </c>
      <c r="AA39" t="e">
        <f>AND(#REF!,"AAAAAHf+BRo=")</f>
        <v>#REF!</v>
      </c>
      <c r="AB39" t="e">
        <f>AND(#REF!,"AAAAAHf+BRs=")</f>
        <v>#REF!</v>
      </c>
      <c r="AC39" t="e">
        <f>AND(#REF!,"AAAAAHf+BRw=")</f>
        <v>#REF!</v>
      </c>
      <c r="AD39" t="e">
        <f>AND(#REF!,"AAAAAHf+BR0=")</f>
        <v>#REF!</v>
      </c>
      <c r="AE39" t="e">
        <f>AND(#REF!,"AAAAAHf+BR4=")</f>
        <v>#REF!</v>
      </c>
      <c r="AF39" t="e">
        <f>AND(#REF!,"AAAAAHf+BR8=")</f>
        <v>#REF!</v>
      </c>
      <c r="AG39" t="e">
        <f>AND(#REF!,"AAAAAHf+BSA=")</f>
        <v>#REF!</v>
      </c>
      <c r="AH39" t="e">
        <f>AND(#REF!,"AAAAAHf+BSE=")</f>
        <v>#REF!</v>
      </c>
      <c r="AI39" t="e">
        <f>AND(#REF!,"AAAAAHf+BSI=")</f>
        <v>#REF!</v>
      </c>
      <c r="AJ39" t="e">
        <f>AND(#REF!,"AAAAAHf+BSM=")</f>
        <v>#REF!</v>
      </c>
      <c r="AK39" t="e">
        <f>AND(#REF!,"AAAAAHf+BSQ=")</f>
        <v>#REF!</v>
      </c>
      <c r="AL39" t="e">
        <f>AND(#REF!,"AAAAAHf+BSU=")</f>
        <v>#REF!</v>
      </c>
      <c r="AM39" t="e">
        <f>AND(#REF!,"AAAAAHf+BSY=")</f>
        <v>#REF!</v>
      </c>
      <c r="AN39" t="e">
        <f>AND(#REF!,"AAAAAHf+BSc=")</f>
        <v>#REF!</v>
      </c>
      <c r="AO39" t="e">
        <f>IF(#REF!,"AAAAAHf+BSg=",0)</f>
        <v>#REF!</v>
      </c>
      <c r="AP39" t="e">
        <f>AND(#REF!,"AAAAAHf+BSk=")</f>
        <v>#REF!</v>
      </c>
      <c r="AQ39" t="e">
        <f>AND(#REF!,"AAAAAHf+BSo=")</f>
        <v>#REF!</v>
      </c>
      <c r="AR39" t="e">
        <f>AND(#REF!,"AAAAAHf+BSs=")</f>
        <v>#REF!</v>
      </c>
      <c r="AS39" t="e">
        <f>AND(#REF!,"AAAAAHf+BSw=")</f>
        <v>#REF!</v>
      </c>
      <c r="AT39" t="e">
        <f>AND(#REF!,"AAAAAHf+BS0=")</f>
        <v>#REF!</v>
      </c>
      <c r="AU39" t="e">
        <f>AND(#REF!,"AAAAAHf+BS4=")</f>
        <v>#REF!</v>
      </c>
      <c r="AV39" t="e">
        <f>AND(#REF!,"AAAAAHf+BS8=")</f>
        <v>#REF!</v>
      </c>
      <c r="AW39" t="e">
        <f>AND(#REF!,"AAAAAHf+BTA=")</f>
        <v>#REF!</v>
      </c>
      <c r="AX39" t="e">
        <f>AND(#REF!,"AAAAAHf+BTE=")</f>
        <v>#REF!</v>
      </c>
      <c r="AY39" t="e">
        <f>AND(#REF!,"AAAAAHf+BTI=")</f>
        <v>#REF!</v>
      </c>
      <c r="AZ39" t="e">
        <f>AND(#REF!,"AAAAAHf+BTM=")</f>
        <v>#REF!</v>
      </c>
      <c r="BA39" t="e">
        <f>AND(#REF!,"AAAAAHf+BTQ=")</f>
        <v>#REF!</v>
      </c>
      <c r="BB39" t="e">
        <f>AND(#REF!,"AAAAAHf+BTU=")</f>
        <v>#REF!</v>
      </c>
      <c r="BC39" t="e">
        <f>AND(#REF!,"AAAAAHf+BTY=")</f>
        <v>#REF!</v>
      </c>
      <c r="BD39" t="e">
        <f>AND(#REF!,"AAAAAHf+BTc=")</f>
        <v>#REF!</v>
      </c>
      <c r="BE39" t="e">
        <f>AND(#REF!,"AAAAAHf+BTg=")</f>
        <v>#REF!</v>
      </c>
      <c r="BF39" t="e">
        <f>AND(#REF!,"AAAAAHf+BTk=")</f>
        <v>#REF!</v>
      </c>
      <c r="BG39" t="e">
        <f>AND(#REF!,"AAAAAHf+BTo=")</f>
        <v>#REF!</v>
      </c>
      <c r="BH39" t="e">
        <f>AND(#REF!,"AAAAAHf+BTs=")</f>
        <v>#REF!</v>
      </c>
      <c r="BI39" t="e">
        <f>AND(#REF!,"AAAAAHf+BTw=")</f>
        <v>#REF!</v>
      </c>
      <c r="BJ39" t="e">
        <f>AND(#REF!,"AAAAAHf+BT0=")</f>
        <v>#REF!</v>
      </c>
      <c r="BK39" t="e">
        <f>AND(#REF!,"AAAAAHf+BT4=")</f>
        <v>#REF!</v>
      </c>
      <c r="BL39" t="e">
        <f>AND(#REF!,"AAAAAHf+BT8=")</f>
        <v>#REF!</v>
      </c>
      <c r="BM39" t="e">
        <f>AND(#REF!,"AAAAAHf+BUA=")</f>
        <v>#REF!</v>
      </c>
      <c r="BN39" t="e">
        <f>AND(#REF!,"AAAAAHf+BUE=")</f>
        <v>#REF!</v>
      </c>
      <c r="BO39" t="e">
        <f>AND(#REF!,"AAAAAHf+BUI=")</f>
        <v>#REF!</v>
      </c>
      <c r="BP39" t="e">
        <f>AND(#REF!,"AAAAAHf+BUM=")</f>
        <v>#REF!</v>
      </c>
      <c r="BQ39" t="e">
        <f>AND(#REF!,"AAAAAHf+BUQ=")</f>
        <v>#REF!</v>
      </c>
      <c r="BR39" t="e">
        <f>AND(#REF!,"AAAAAHf+BUU=")</f>
        <v>#REF!</v>
      </c>
      <c r="BS39" t="e">
        <f>AND(#REF!,"AAAAAHf+BUY=")</f>
        <v>#REF!</v>
      </c>
      <c r="BT39" t="e">
        <f>AND(#REF!,"AAAAAHf+BUc=")</f>
        <v>#REF!</v>
      </c>
      <c r="BU39" t="e">
        <f>AND(#REF!,"AAAAAHf+BUg=")</f>
        <v>#REF!</v>
      </c>
      <c r="BV39" t="e">
        <f>AND(#REF!,"AAAAAHf+BUk=")</f>
        <v>#REF!</v>
      </c>
      <c r="BW39" t="e">
        <f>AND(#REF!,"AAAAAHf+BUo=")</f>
        <v>#REF!</v>
      </c>
      <c r="BX39" t="e">
        <f>AND(#REF!,"AAAAAHf+BUs=")</f>
        <v>#REF!</v>
      </c>
      <c r="BY39" t="e">
        <f>AND(#REF!,"AAAAAHf+BUw=")</f>
        <v>#REF!</v>
      </c>
      <c r="BZ39" t="e">
        <f>AND(#REF!,"AAAAAHf+BU0=")</f>
        <v>#REF!</v>
      </c>
      <c r="CA39" t="e">
        <f>AND(#REF!,"AAAAAHf+BU4=")</f>
        <v>#REF!</v>
      </c>
      <c r="CB39" t="e">
        <f>AND(#REF!,"AAAAAHf+BU8=")</f>
        <v>#REF!</v>
      </c>
      <c r="CC39" t="e">
        <f>AND(#REF!,"AAAAAHf+BVA=")</f>
        <v>#REF!</v>
      </c>
      <c r="CD39" t="e">
        <f>AND(#REF!,"AAAAAHf+BVE=")</f>
        <v>#REF!</v>
      </c>
      <c r="CE39" t="e">
        <f>AND(#REF!,"AAAAAHf+BVI=")</f>
        <v>#REF!</v>
      </c>
      <c r="CF39" t="e">
        <f>AND(#REF!,"AAAAAHf+BVM=")</f>
        <v>#REF!</v>
      </c>
      <c r="CG39" t="e">
        <f>IF(#REF!,"AAAAAHf+BVQ=",0)</f>
        <v>#REF!</v>
      </c>
      <c r="CH39" t="e">
        <f>AND(#REF!,"AAAAAHf+BVU=")</f>
        <v>#REF!</v>
      </c>
      <c r="CI39" t="e">
        <f>AND(#REF!,"AAAAAHf+BVY=")</f>
        <v>#REF!</v>
      </c>
      <c r="CJ39" t="e">
        <f>AND(#REF!,"AAAAAHf+BVc=")</f>
        <v>#REF!</v>
      </c>
      <c r="CK39" t="e">
        <f>AND(#REF!,"AAAAAHf+BVg=")</f>
        <v>#REF!</v>
      </c>
      <c r="CL39" t="e">
        <f>AND(#REF!,"AAAAAHf+BVk=")</f>
        <v>#REF!</v>
      </c>
      <c r="CM39" t="e">
        <f>AND(#REF!,"AAAAAHf+BVo=")</f>
        <v>#REF!</v>
      </c>
      <c r="CN39" t="e">
        <f>AND(#REF!,"AAAAAHf+BVs=")</f>
        <v>#REF!</v>
      </c>
      <c r="CO39" t="e">
        <f>AND(#REF!,"AAAAAHf+BVw=")</f>
        <v>#REF!</v>
      </c>
      <c r="CP39" t="e">
        <f>AND(#REF!,"AAAAAHf+BV0=")</f>
        <v>#REF!</v>
      </c>
      <c r="CQ39" t="e">
        <f>AND(#REF!,"AAAAAHf+BV4=")</f>
        <v>#REF!</v>
      </c>
      <c r="CR39" t="e">
        <f>AND(#REF!,"AAAAAHf+BV8=")</f>
        <v>#REF!</v>
      </c>
      <c r="CS39" t="e">
        <f>AND(#REF!,"AAAAAHf+BWA=")</f>
        <v>#REF!</v>
      </c>
      <c r="CT39" t="e">
        <f>AND(#REF!,"AAAAAHf+BWE=")</f>
        <v>#REF!</v>
      </c>
      <c r="CU39" t="e">
        <f>AND(#REF!,"AAAAAHf+BWI=")</f>
        <v>#REF!</v>
      </c>
      <c r="CV39" t="e">
        <f>AND(#REF!,"AAAAAHf+BWM=")</f>
        <v>#REF!</v>
      </c>
      <c r="CW39" t="e">
        <f>AND(#REF!,"AAAAAHf+BWQ=")</f>
        <v>#REF!</v>
      </c>
      <c r="CX39" t="e">
        <f>AND(#REF!,"AAAAAHf+BWU=")</f>
        <v>#REF!</v>
      </c>
      <c r="CY39" t="e">
        <f>AND(#REF!,"AAAAAHf+BWY=")</f>
        <v>#REF!</v>
      </c>
      <c r="CZ39" t="e">
        <f>AND(#REF!,"AAAAAHf+BWc=")</f>
        <v>#REF!</v>
      </c>
      <c r="DA39" t="e">
        <f>AND(#REF!,"AAAAAHf+BWg=")</f>
        <v>#REF!</v>
      </c>
      <c r="DB39" t="e">
        <f>AND(#REF!,"AAAAAHf+BWk=")</f>
        <v>#REF!</v>
      </c>
      <c r="DC39" t="e">
        <f>AND(#REF!,"AAAAAHf+BWo=")</f>
        <v>#REF!</v>
      </c>
      <c r="DD39" t="e">
        <f>AND(#REF!,"AAAAAHf+BWs=")</f>
        <v>#REF!</v>
      </c>
      <c r="DE39" t="e">
        <f>AND(#REF!,"AAAAAHf+BWw=")</f>
        <v>#REF!</v>
      </c>
      <c r="DF39" t="e">
        <f>AND(#REF!,"AAAAAHf+BW0=")</f>
        <v>#REF!</v>
      </c>
      <c r="DG39" t="e">
        <f>AND(#REF!,"AAAAAHf+BW4=")</f>
        <v>#REF!</v>
      </c>
      <c r="DH39" t="e">
        <f>AND(#REF!,"AAAAAHf+BW8=")</f>
        <v>#REF!</v>
      </c>
      <c r="DI39" t="e">
        <f>AND(#REF!,"AAAAAHf+BXA=")</f>
        <v>#REF!</v>
      </c>
      <c r="DJ39" t="e">
        <f>AND(#REF!,"AAAAAHf+BXE=")</f>
        <v>#REF!</v>
      </c>
      <c r="DK39" t="e">
        <f>AND(#REF!,"AAAAAHf+BXI=")</f>
        <v>#REF!</v>
      </c>
      <c r="DL39" t="e">
        <f>AND(#REF!,"AAAAAHf+BXM=")</f>
        <v>#REF!</v>
      </c>
      <c r="DM39" t="e">
        <f>AND(#REF!,"AAAAAHf+BXQ=")</f>
        <v>#REF!</v>
      </c>
      <c r="DN39" t="e">
        <f>AND(#REF!,"AAAAAHf+BXU=")</f>
        <v>#REF!</v>
      </c>
      <c r="DO39" t="e">
        <f>AND(#REF!,"AAAAAHf+BXY=")</f>
        <v>#REF!</v>
      </c>
      <c r="DP39" t="e">
        <f>AND(#REF!,"AAAAAHf+BXc=")</f>
        <v>#REF!</v>
      </c>
      <c r="DQ39" t="e">
        <f>AND(#REF!,"AAAAAHf+BXg=")</f>
        <v>#REF!</v>
      </c>
      <c r="DR39" t="e">
        <f>AND(#REF!,"AAAAAHf+BXk=")</f>
        <v>#REF!</v>
      </c>
      <c r="DS39" t="e">
        <f>AND(#REF!,"AAAAAHf+BXo=")</f>
        <v>#REF!</v>
      </c>
      <c r="DT39" t="e">
        <f>AND(#REF!,"AAAAAHf+BXs=")</f>
        <v>#REF!</v>
      </c>
      <c r="DU39" t="e">
        <f>AND(#REF!,"AAAAAHf+BXw=")</f>
        <v>#REF!</v>
      </c>
      <c r="DV39" t="e">
        <f>AND(#REF!,"AAAAAHf+BX0=")</f>
        <v>#REF!</v>
      </c>
      <c r="DW39" t="e">
        <f>AND(#REF!,"AAAAAHf+BX4=")</f>
        <v>#REF!</v>
      </c>
      <c r="DX39" t="e">
        <f>AND(#REF!,"AAAAAHf+BX8=")</f>
        <v>#REF!</v>
      </c>
      <c r="DY39" t="e">
        <f>IF(#REF!,"AAAAAHf+BYA=",0)</f>
        <v>#REF!</v>
      </c>
      <c r="DZ39" t="e">
        <f>AND(#REF!,"AAAAAHf+BYE=")</f>
        <v>#REF!</v>
      </c>
      <c r="EA39" t="e">
        <f>AND(#REF!,"AAAAAHf+BYI=")</f>
        <v>#REF!</v>
      </c>
      <c r="EB39" t="e">
        <f>AND(#REF!,"AAAAAHf+BYM=")</f>
        <v>#REF!</v>
      </c>
      <c r="EC39" t="e">
        <f>AND(#REF!,"AAAAAHf+BYQ=")</f>
        <v>#REF!</v>
      </c>
      <c r="ED39" t="e">
        <f>AND(#REF!,"AAAAAHf+BYU=")</f>
        <v>#REF!</v>
      </c>
      <c r="EE39" t="e">
        <f>AND(#REF!,"AAAAAHf+BYY=")</f>
        <v>#REF!</v>
      </c>
      <c r="EF39" t="e">
        <f>AND(#REF!,"AAAAAHf+BYc=")</f>
        <v>#REF!</v>
      </c>
      <c r="EG39" t="e">
        <f>AND(#REF!,"AAAAAHf+BYg=")</f>
        <v>#REF!</v>
      </c>
      <c r="EH39" t="e">
        <f>AND(#REF!,"AAAAAHf+BYk=")</f>
        <v>#REF!</v>
      </c>
      <c r="EI39" t="e">
        <f>AND(#REF!,"AAAAAHf+BYo=")</f>
        <v>#REF!</v>
      </c>
      <c r="EJ39" t="e">
        <f>AND(#REF!,"AAAAAHf+BYs=")</f>
        <v>#REF!</v>
      </c>
      <c r="EK39" t="e">
        <f>AND(#REF!,"AAAAAHf+BYw=")</f>
        <v>#REF!</v>
      </c>
      <c r="EL39" t="e">
        <f>AND(#REF!,"AAAAAHf+BY0=")</f>
        <v>#REF!</v>
      </c>
      <c r="EM39" t="e">
        <f>AND(#REF!,"AAAAAHf+BY4=")</f>
        <v>#REF!</v>
      </c>
      <c r="EN39" t="e">
        <f>AND(#REF!,"AAAAAHf+BY8=")</f>
        <v>#REF!</v>
      </c>
      <c r="EO39" t="e">
        <f>AND(#REF!,"AAAAAHf+BZA=")</f>
        <v>#REF!</v>
      </c>
      <c r="EP39" t="e">
        <f>AND(#REF!,"AAAAAHf+BZE=")</f>
        <v>#REF!</v>
      </c>
      <c r="EQ39" t="e">
        <f>AND(#REF!,"AAAAAHf+BZI=")</f>
        <v>#REF!</v>
      </c>
      <c r="ER39" t="e">
        <f>AND(#REF!,"AAAAAHf+BZM=")</f>
        <v>#REF!</v>
      </c>
      <c r="ES39" t="e">
        <f>AND(#REF!,"AAAAAHf+BZQ=")</f>
        <v>#REF!</v>
      </c>
      <c r="ET39" t="e">
        <f>AND(#REF!,"AAAAAHf+BZU=")</f>
        <v>#REF!</v>
      </c>
      <c r="EU39" t="e">
        <f>AND(#REF!,"AAAAAHf+BZY=")</f>
        <v>#REF!</v>
      </c>
      <c r="EV39" t="e">
        <f>AND(#REF!,"AAAAAHf+BZc=")</f>
        <v>#REF!</v>
      </c>
      <c r="EW39" t="e">
        <f>AND(#REF!,"AAAAAHf+BZg=")</f>
        <v>#REF!</v>
      </c>
      <c r="EX39" t="e">
        <f>AND(#REF!,"AAAAAHf+BZk=")</f>
        <v>#REF!</v>
      </c>
      <c r="EY39" t="e">
        <f>AND(#REF!,"AAAAAHf+BZo=")</f>
        <v>#REF!</v>
      </c>
      <c r="EZ39" t="e">
        <f>AND(#REF!,"AAAAAHf+BZs=")</f>
        <v>#REF!</v>
      </c>
      <c r="FA39" t="e">
        <f>AND(#REF!,"AAAAAHf+BZw=")</f>
        <v>#REF!</v>
      </c>
      <c r="FB39" t="e">
        <f>AND(#REF!,"AAAAAHf+BZ0=")</f>
        <v>#REF!</v>
      </c>
      <c r="FC39" t="e">
        <f>AND(#REF!,"AAAAAHf+BZ4=")</f>
        <v>#REF!</v>
      </c>
      <c r="FD39" t="e">
        <f>AND(#REF!,"AAAAAHf+BZ8=")</f>
        <v>#REF!</v>
      </c>
      <c r="FE39" t="e">
        <f>AND(#REF!,"AAAAAHf+BaA=")</f>
        <v>#REF!</v>
      </c>
      <c r="FF39" t="e">
        <f>AND(#REF!,"AAAAAHf+BaE=")</f>
        <v>#REF!</v>
      </c>
      <c r="FG39" t="e">
        <f>AND(#REF!,"AAAAAHf+BaI=")</f>
        <v>#REF!</v>
      </c>
      <c r="FH39" t="e">
        <f>AND(#REF!,"AAAAAHf+BaM=")</f>
        <v>#REF!</v>
      </c>
      <c r="FI39" t="e">
        <f>AND(#REF!,"AAAAAHf+BaQ=")</f>
        <v>#REF!</v>
      </c>
      <c r="FJ39" t="e">
        <f>AND(#REF!,"AAAAAHf+BaU=")</f>
        <v>#REF!</v>
      </c>
      <c r="FK39" t="e">
        <f>AND(#REF!,"AAAAAHf+BaY=")</f>
        <v>#REF!</v>
      </c>
      <c r="FL39" t="e">
        <f>AND(#REF!,"AAAAAHf+Bac=")</f>
        <v>#REF!</v>
      </c>
      <c r="FM39" t="e">
        <f>AND(#REF!,"AAAAAHf+Bag=")</f>
        <v>#REF!</v>
      </c>
      <c r="FN39" t="e">
        <f>AND(#REF!,"AAAAAHf+Bak=")</f>
        <v>#REF!</v>
      </c>
      <c r="FO39" t="e">
        <f>AND(#REF!,"AAAAAHf+Bao=")</f>
        <v>#REF!</v>
      </c>
      <c r="FP39" t="e">
        <f>AND(#REF!,"AAAAAHf+Bas=")</f>
        <v>#REF!</v>
      </c>
      <c r="FQ39" t="e">
        <f>IF(#REF!,"AAAAAHf+Baw=",0)</f>
        <v>#REF!</v>
      </c>
      <c r="FR39" t="e">
        <f>AND(#REF!,"AAAAAHf+Ba0=")</f>
        <v>#REF!</v>
      </c>
      <c r="FS39" t="e">
        <f>AND(#REF!,"AAAAAHf+Ba4=")</f>
        <v>#REF!</v>
      </c>
      <c r="FT39" t="e">
        <f>AND(#REF!,"AAAAAHf+Ba8=")</f>
        <v>#REF!</v>
      </c>
      <c r="FU39" t="e">
        <f>AND(#REF!,"AAAAAHf+BbA=")</f>
        <v>#REF!</v>
      </c>
      <c r="FV39" t="e">
        <f>AND(#REF!,"AAAAAHf+BbE=")</f>
        <v>#REF!</v>
      </c>
      <c r="FW39" t="e">
        <f>AND(#REF!,"AAAAAHf+BbI=")</f>
        <v>#REF!</v>
      </c>
      <c r="FX39" t="e">
        <f>AND(#REF!,"AAAAAHf+BbM=")</f>
        <v>#REF!</v>
      </c>
      <c r="FY39" t="e">
        <f>AND(#REF!,"AAAAAHf+BbQ=")</f>
        <v>#REF!</v>
      </c>
      <c r="FZ39" t="e">
        <f>AND(#REF!,"AAAAAHf+BbU=")</f>
        <v>#REF!</v>
      </c>
      <c r="GA39" t="e">
        <f>AND(#REF!,"AAAAAHf+BbY=")</f>
        <v>#REF!</v>
      </c>
      <c r="GB39" t="e">
        <f>AND(#REF!,"AAAAAHf+Bbc=")</f>
        <v>#REF!</v>
      </c>
      <c r="GC39" t="e">
        <f>AND(#REF!,"AAAAAHf+Bbg=")</f>
        <v>#REF!</v>
      </c>
      <c r="GD39" t="e">
        <f>AND(#REF!,"AAAAAHf+Bbk=")</f>
        <v>#REF!</v>
      </c>
      <c r="GE39" t="e">
        <f>AND(#REF!,"AAAAAHf+Bbo=")</f>
        <v>#REF!</v>
      </c>
      <c r="GF39" t="e">
        <f>AND(#REF!,"AAAAAHf+Bbs=")</f>
        <v>#REF!</v>
      </c>
      <c r="GG39" t="e">
        <f>AND(#REF!,"AAAAAHf+Bbw=")</f>
        <v>#REF!</v>
      </c>
      <c r="GH39" t="e">
        <f>AND(#REF!,"AAAAAHf+Bb0=")</f>
        <v>#REF!</v>
      </c>
      <c r="GI39" t="e">
        <f>AND(#REF!,"AAAAAHf+Bb4=")</f>
        <v>#REF!</v>
      </c>
      <c r="GJ39" t="e">
        <f>AND(#REF!,"AAAAAHf+Bb8=")</f>
        <v>#REF!</v>
      </c>
      <c r="GK39" t="e">
        <f>AND(#REF!,"AAAAAHf+BcA=")</f>
        <v>#REF!</v>
      </c>
      <c r="GL39" t="e">
        <f>AND(#REF!,"AAAAAHf+BcE=")</f>
        <v>#REF!</v>
      </c>
      <c r="GM39" t="e">
        <f>AND(#REF!,"AAAAAHf+BcI=")</f>
        <v>#REF!</v>
      </c>
      <c r="GN39" t="e">
        <f>AND(#REF!,"AAAAAHf+BcM=")</f>
        <v>#REF!</v>
      </c>
      <c r="GO39" t="e">
        <f>AND(#REF!,"AAAAAHf+BcQ=")</f>
        <v>#REF!</v>
      </c>
      <c r="GP39" t="e">
        <f>AND(#REF!,"AAAAAHf+BcU=")</f>
        <v>#REF!</v>
      </c>
      <c r="GQ39" t="e">
        <f>AND(#REF!,"AAAAAHf+BcY=")</f>
        <v>#REF!</v>
      </c>
      <c r="GR39" t="e">
        <f>AND(#REF!,"AAAAAHf+Bcc=")</f>
        <v>#REF!</v>
      </c>
      <c r="GS39" t="e">
        <f>AND(#REF!,"AAAAAHf+Bcg=")</f>
        <v>#REF!</v>
      </c>
      <c r="GT39" t="e">
        <f>AND(#REF!,"AAAAAHf+Bck=")</f>
        <v>#REF!</v>
      </c>
      <c r="GU39" t="e">
        <f>AND(#REF!,"AAAAAHf+Bco=")</f>
        <v>#REF!</v>
      </c>
      <c r="GV39" t="e">
        <f>AND(#REF!,"AAAAAHf+Bcs=")</f>
        <v>#REF!</v>
      </c>
      <c r="GW39" t="e">
        <f>AND(#REF!,"AAAAAHf+Bcw=")</f>
        <v>#REF!</v>
      </c>
      <c r="GX39" t="e">
        <f>AND(#REF!,"AAAAAHf+Bc0=")</f>
        <v>#REF!</v>
      </c>
      <c r="GY39" t="e">
        <f>AND(#REF!,"AAAAAHf+Bc4=")</f>
        <v>#REF!</v>
      </c>
      <c r="GZ39" t="e">
        <f>AND(#REF!,"AAAAAHf+Bc8=")</f>
        <v>#REF!</v>
      </c>
      <c r="HA39" t="e">
        <f>AND(#REF!,"AAAAAHf+BdA=")</f>
        <v>#REF!</v>
      </c>
      <c r="HB39" t="e">
        <f>AND(#REF!,"AAAAAHf+BdE=")</f>
        <v>#REF!</v>
      </c>
      <c r="HC39" t="e">
        <f>AND(#REF!,"AAAAAHf+BdI=")</f>
        <v>#REF!</v>
      </c>
      <c r="HD39" t="e">
        <f>AND(#REF!,"AAAAAHf+BdM=")</f>
        <v>#REF!</v>
      </c>
      <c r="HE39" t="e">
        <f>AND(#REF!,"AAAAAHf+BdQ=")</f>
        <v>#REF!</v>
      </c>
      <c r="HF39" t="e">
        <f>AND(#REF!,"AAAAAHf+BdU=")</f>
        <v>#REF!</v>
      </c>
      <c r="HG39" t="e">
        <f>AND(#REF!,"AAAAAHf+BdY=")</f>
        <v>#REF!</v>
      </c>
      <c r="HH39" t="e">
        <f>AND(#REF!,"AAAAAHf+Bdc=")</f>
        <v>#REF!</v>
      </c>
      <c r="HI39" t="e">
        <f>IF(#REF!,"AAAAAHf+Bdg=",0)</f>
        <v>#REF!</v>
      </c>
      <c r="HJ39" t="e">
        <f>AND(#REF!,"AAAAAHf+Bdk=")</f>
        <v>#REF!</v>
      </c>
      <c r="HK39" t="e">
        <f>AND(#REF!,"AAAAAHf+Bdo=")</f>
        <v>#REF!</v>
      </c>
      <c r="HL39" t="e">
        <f>AND(#REF!,"AAAAAHf+Bds=")</f>
        <v>#REF!</v>
      </c>
      <c r="HM39" t="e">
        <f>AND(#REF!,"AAAAAHf+Bdw=")</f>
        <v>#REF!</v>
      </c>
      <c r="HN39" t="e">
        <f>AND(#REF!,"AAAAAHf+Bd0=")</f>
        <v>#REF!</v>
      </c>
      <c r="HO39" t="e">
        <f>AND(#REF!,"AAAAAHf+Bd4=")</f>
        <v>#REF!</v>
      </c>
      <c r="HP39" t="e">
        <f>AND(#REF!,"AAAAAHf+Bd8=")</f>
        <v>#REF!</v>
      </c>
      <c r="HQ39" t="e">
        <f>AND(#REF!,"AAAAAHf+BeA=")</f>
        <v>#REF!</v>
      </c>
      <c r="HR39" t="e">
        <f>AND(#REF!,"AAAAAHf+BeE=")</f>
        <v>#REF!</v>
      </c>
      <c r="HS39" t="e">
        <f>AND(#REF!,"AAAAAHf+BeI=")</f>
        <v>#REF!</v>
      </c>
      <c r="HT39" t="e">
        <f>AND(#REF!,"AAAAAHf+BeM=")</f>
        <v>#REF!</v>
      </c>
      <c r="HU39" t="e">
        <f>AND(#REF!,"AAAAAHf+BeQ=")</f>
        <v>#REF!</v>
      </c>
      <c r="HV39" t="e">
        <f>AND(#REF!,"AAAAAHf+BeU=")</f>
        <v>#REF!</v>
      </c>
      <c r="HW39" t="e">
        <f>AND(#REF!,"AAAAAHf+BeY=")</f>
        <v>#REF!</v>
      </c>
      <c r="HX39" t="e">
        <f>AND(#REF!,"AAAAAHf+Bec=")</f>
        <v>#REF!</v>
      </c>
      <c r="HY39" t="e">
        <f>AND(#REF!,"AAAAAHf+Beg=")</f>
        <v>#REF!</v>
      </c>
      <c r="HZ39" t="e">
        <f>AND(#REF!,"AAAAAHf+Bek=")</f>
        <v>#REF!</v>
      </c>
      <c r="IA39" t="e">
        <f>AND(#REF!,"AAAAAHf+Beo=")</f>
        <v>#REF!</v>
      </c>
      <c r="IB39" t="e">
        <f>AND(#REF!,"AAAAAHf+Bes=")</f>
        <v>#REF!</v>
      </c>
      <c r="IC39" t="e">
        <f>AND(#REF!,"AAAAAHf+Bew=")</f>
        <v>#REF!</v>
      </c>
      <c r="ID39" t="e">
        <f>AND(#REF!,"AAAAAHf+Be0=")</f>
        <v>#REF!</v>
      </c>
      <c r="IE39" t="e">
        <f>AND(#REF!,"AAAAAHf+Be4=")</f>
        <v>#REF!</v>
      </c>
      <c r="IF39" t="e">
        <f>AND(#REF!,"AAAAAHf+Be8=")</f>
        <v>#REF!</v>
      </c>
      <c r="IG39" t="e">
        <f>AND(#REF!,"AAAAAHf+BfA=")</f>
        <v>#REF!</v>
      </c>
      <c r="IH39" t="e">
        <f>AND(#REF!,"AAAAAHf+BfE=")</f>
        <v>#REF!</v>
      </c>
      <c r="II39" t="e">
        <f>AND(#REF!,"AAAAAHf+BfI=")</f>
        <v>#REF!</v>
      </c>
      <c r="IJ39" t="e">
        <f>AND(#REF!,"AAAAAHf+BfM=")</f>
        <v>#REF!</v>
      </c>
      <c r="IK39" t="e">
        <f>AND(#REF!,"AAAAAHf+BfQ=")</f>
        <v>#REF!</v>
      </c>
      <c r="IL39" t="e">
        <f>AND(#REF!,"AAAAAHf+BfU=")</f>
        <v>#REF!</v>
      </c>
      <c r="IM39" t="e">
        <f>AND(#REF!,"AAAAAHf+BfY=")</f>
        <v>#REF!</v>
      </c>
      <c r="IN39" t="e">
        <f>AND(#REF!,"AAAAAHf+Bfc=")</f>
        <v>#REF!</v>
      </c>
      <c r="IO39" t="e">
        <f>AND(#REF!,"AAAAAHf+Bfg=")</f>
        <v>#REF!</v>
      </c>
      <c r="IP39" t="e">
        <f>AND(#REF!,"AAAAAHf+Bfk=")</f>
        <v>#REF!</v>
      </c>
      <c r="IQ39" t="e">
        <f>AND(#REF!,"AAAAAHf+Bfo=")</f>
        <v>#REF!</v>
      </c>
      <c r="IR39" t="e">
        <f>AND(#REF!,"AAAAAHf+Bfs=")</f>
        <v>#REF!</v>
      </c>
      <c r="IS39" t="e">
        <f>AND(#REF!,"AAAAAHf+Bfw=")</f>
        <v>#REF!</v>
      </c>
      <c r="IT39" t="e">
        <f>AND(#REF!,"AAAAAHf+Bf0=")</f>
        <v>#REF!</v>
      </c>
      <c r="IU39" t="e">
        <f>AND(#REF!,"AAAAAHf+Bf4=")</f>
        <v>#REF!</v>
      </c>
      <c r="IV39" t="e">
        <f>AND(#REF!,"AAAAAHf+Bf8=")</f>
        <v>#REF!</v>
      </c>
    </row>
    <row r="40" spans="1:256" x14ac:dyDescent="0.25">
      <c r="A40" t="e">
        <f>AND(#REF!,"AAAAAHn+fwA=")</f>
        <v>#REF!</v>
      </c>
      <c r="B40" t="e">
        <f>AND(#REF!,"AAAAAHn+fwE=")</f>
        <v>#REF!</v>
      </c>
      <c r="C40" t="e">
        <f>AND(#REF!,"AAAAAHn+fwI=")</f>
        <v>#REF!</v>
      </c>
      <c r="D40" t="e">
        <f>AND(#REF!,"AAAAAHn+fwM=")</f>
        <v>#REF!</v>
      </c>
      <c r="E40" t="e">
        <f>IF(#REF!,"AAAAAHn+fwQ=",0)</f>
        <v>#REF!</v>
      </c>
      <c r="F40" t="e">
        <f>AND(#REF!,"AAAAAHn+fwU=")</f>
        <v>#REF!</v>
      </c>
      <c r="G40" t="e">
        <f>AND(#REF!,"AAAAAHn+fwY=")</f>
        <v>#REF!</v>
      </c>
      <c r="H40" t="e">
        <f>AND(#REF!,"AAAAAHn+fwc=")</f>
        <v>#REF!</v>
      </c>
      <c r="I40" t="e">
        <f>AND(#REF!,"AAAAAHn+fwg=")</f>
        <v>#REF!</v>
      </c>
      <c r="J40" t="e">
        <f>AND(#REF!,"AAAAAHn+fwk=")</f>
        <v>#REF!</v>
      </c>
      <c r="K40" t="e">
        <f>AND(#REF!,"AAAAAHn+fwo=")</f>
        <v>#REF!</v>
      </c>
      <c r="L40" t="e">
        <f>AND(#REF!,"AAAAAHn+fws=")</f>
        <v>#REF!</v>
      </c>
      <c r="M40" t="e">
        <f>AND(#REF!,"AAAAAHn+fww=")</f>
        <v>#REF!</v>
      </c>
      <c r="N40" t="e">
        <f>AND(#REF!,"AAAAAHn+fw0=")</f>
        <v>#REF!</v>
      </c>
      <c r="O40" t="e">
        <f>AND(#REF!,"AAAAAHn+fw4=")</f>
        <v>#REF!</v>
      </c>
      <c r="P40" t="e">
        <f>AND(#REF!,"AAAAAHn+fw8=")</f>
        <v>#REF!</v>
      </c>
      <c r="Q40" t="e">
        <f>AND(#REF!,"AAAAAHn+fxA=")</f>
        <v>#REF!</v>
      </c>
      <c r="R40" t="e">
        <f>AND(#REF!,"AAAAAHn+fxE=")</f>
        <v>#REF!</v>
      </c>
      <c r="S40" t="e">
        <f>AND(#REF!,"AAAAAHn+fxI=")</f>
        <v>#REF!</v>
      </c>
      <c r="T40" t="e">
        <f>AND(#REF!,"AAAAAHn+fxM=")</f>
        <v>#REF!</v>
      </c>
      <c r="U40" t="e">
        <f>AND(#REF!,"AAAAAHn+fxQ=")</f>
        <v>#REF!</v>
      </c>
      <c r="V40" t="e">
        <f>AND(#REF!,"AAAAAHn+fxU=")</f>
        <v>#REF!</v>
      </c>
      <c r="W40" t="e">
        <f>AND(#REF!,"AAAAAHn+fxY=")</f>
        <v>#REF!</v>
      </c>
      <c r="X40" t="e">
        <f>AND(#REF!,"AAAAAHn+fxc=")</f>
        <v>#REF!</v>
      </c>
      <c r="Y40" t="e">
        <f>AND(#REF!,"AAAAAHn+fxg=")</f>
        <v>#REF!</v>
      </c>
      <c r="Z40" t="e">
        <f>AND(#REF!,"AAAAAHn+fxk=")</f>
        <v>#REF!</v>
      </c>
      <c r="AA40" t="e">
        <f>AND(#REF!,"AAAAAHn+fxo=")</f>
        <v>#REF!</v>
      </c>
      <c r="AB40" t="e">
        <f>AND(#REF!,"AAAAAHn+fxs=")</f>
        <v>#REF!</v>
      </c>
      <c r="AC40" t="e">
        <f>AND(#REF!,"AAAAAHn+fxw=")</f>
        <v>#REF!</v>
      </c>
      <c r="AD40" t="e">
        <f>AND(#REF!,"AAAAAHn+fx0=")</f>
        <v>#REF!</v>
      </c>
      <c r="AE40" t="e">
        <f>AND(#REF!,"AAAAAHn+fx4=")</f>
        <v>#REF!</v>
      </c>
      <c r="AF40" t="e">
        <f>AND(#REF!,"AAAAAHn+fx8=")</f>
        <v>#REF!</v>
      </c>
      <c r="AG40" t="e">
        <f>AND(#REF!,"AAAAAHn+fyA=")</f>
        <v>#REF!</v>
      </c>
      <c r="AH40" t="e">
        <f>AND(#REF!,"AAAAAHn+fyE=")</f>
        <v>#REF!</v>
      </c>
      <c r="AI40" t="e">
        <f>AND(#REF!,"AAAAAHn+fyI=")</f>
        <v>#REF!</v>
      </c>
      <c r="AJ40" t="e">
        <f>AND(#REF!,"AAAAAHn+fyM=")</f>
        <v>#REF!</v>
      </c>
      <c r="AK40" t="e">
        <f>AND(#REF!,"AAAAAHn+fyQ=")</f>
        <v>#REF!</v>
      </c>
      <c r="AL40" t="e">
        <f>AND(#REF!,"AAAAAHn+fyU=")</f>
        <v>#REF!</v>
      </c>
      <c r="AM40" t="e">
        <f>AND(#REF!,"AAAAAHn+fyY=")</f>
        <v>#REF!</v>
      </c>
      <c r="AN40" t="e">
        <f>AND(#REF!,"AAAAAHn+fyc=")</f>
        <v>#REF!</v>
      </c>
      <c r="AO40" t="e">
        <f>AND(#REF!,"AAAAAHn+fyg=")</f>
        <v>#REF!</v>
      </c>
      <c r="AP40" t="e">
        <f>AND(#REF!,"AAAAAHn+fyk=")</f>
        <v>#REF!</v>
      </c>
      <c r="AQ40" t="e">
        <f>AND(#REF!,"AAAAAHn+fyo=")</f>
        <v>#REF!</v>
      </c>
      <c r="AR40" t="e">
        <f>AND(#REF!,"AAAAAHn+fys=")</f>
        <v>#REF!</v>
      </c>
      <c r="AS40" t="e">
        <f>AND(#REF!,"AAAAAHn+fyw=")</f>
        <v>#REF!</v>
      </c>
      <c r="AT40" t="e">
        <f>AND(#REF!,"AAAAAHn+fy0=")</f>
        <v>#REF!</v>
      </c>
      <c r="AU40" t="e">
        <f>AND(#REF!,"AAAAAHn+fy4=")</f>
        <v>#REF!</v>
      </c>
      <c r="AV40" t="e">
        <f>AND(#REF!,"AAAAAHn+fy8=")</f>
        <v>#REF!</v>
      </c>
      <c r="AW40" t="e">
        <f>IF(#REF!,"AAAAAHn+fzA=",0)</f>
        <v>#REF!</v>
      </c>
      <c r="AX40" t="e">
        <f>AND(#REF!,"AAAAAHn+fzE=")</f>
        <v>#REF!</v>
      </c>
      <c r="AY40" t="e">
        <f>AND(#REF!,"AAAAAHn+fzI=")</f>
        <v>#REF!</v>
      </c>
      <c r="AZ40" t="e">
        <f>AND(#REF!,"AAAAAHn+fzM=")</f>
        <v>#REF!</v>
      </c>
      <c r="BA40" t="e">
        <f>AND(#REF!,"AAAAAHn+fzQ=")</f>
        <v>#REF!</v>
      </c>
      <c r="BB40" t="e">
        <f>AND(#REF!,"AAAAAHn+fzU=")</f>
        <v>#REF!</v>
      </c>
      <c r="BC40" t="e">
        <f>AND(#REF!,"AAAAAHn+fzY=")</f>
        <v>#REF!</v>
      </c>
      <c r="BD40" t="e">
        <f>AND(#REF!,"AAAAAHn+fzc=")</f>
        <v>#REF!</v>
      </c>
      <c r="BE40" t="e">
        <f>AND(#REF!,"AAAAAHn+fzg=")</f>
        <v>#REF!</v>
      </c>
      <c r="BF40" t="e">
        <f>AND(#REF!,"AAAAAHn+fzk=")</f>
        <v>#REF!</v>
      </c>
      <c r="BG40" t="e">
        <f>AND(#REF!,"AAAAAHn+fzo=")</f>
        <v>#REF!</v>
      </c>
      <c r="BH40" t="e">
        <f>AND(#REF!,"AAAAAHn+fzs=")</f>
        <v>#REF!</v>
      </c>
      <c r="BI40" t="e">
        <f>AND(#REF!,"AAAAAHn+fzw=")</f>
        <v>#REF!</v>
      </c>
      <c r="BJ40" t="e">
        <f>AND(#REF!,"AAAAAHn+fz0=")</f>
        <v>#REF!</v>
      </c>
      <c r="BK40" t="e">
        <f>AND(#REF!,"AAAAAHn+fz4=")</f>
        <v>#REF!</v>
      </c>
      <c r="BL40" t="e">
        <f>AND(#REF!,"AAAAAHn+fz8=")</f>
        <v>#REF!</v>
      </c>
      <c r="BM40" t="e">
        <f>AND(#REF!,"AAAAAHn+f0A=")</f>
        <v>#REF!</v>
      </c>
      <c r="BN40" t="e">
        <f>AND(#REF!,"AAAAAHn+f0E=")</f>
        <v>#REF!</v>
      </c>
      <c r="BO40" t="e">
        <f>AND(#REF!,"AAAAAHn+f0I=")</f>
        <v>#REF!</v>
      </c>
      <c r="BP40" t="e">
        <f>AND(#REF!,"AAAAAHn+f0M=")</f>
        <v>#REF!</v>
      </c>
      <c r="BQ40" t="e">
        <f>AND(#REF!,"AAAAAHn+f0Q=")</f>
        <v>#REF!</v>
      </c>
      <c r="BR40" t="e">
        <f>AND(#REF!,"AAAAAHn+f0U=")</f>
        <v>#REF!</v>
      </c>
      <c r="BS40" t="e">
        <f>AND(#REF!,"AAAAAHn+f0Y=")</f>
        <v>#REF!</v>
      </c>
      <c r="BT40" t="e">
        <f>AND(#REF!,"AAAAAHn+f0c=")</f>
        <v>#REF!</v>
      </c>
      <c r="BU40" t="e">
        <f>AND(#REF!,"AAAAAHn+f0g=")</f>
        <v>#REF!</v>
      </c>
      <c r="BV40" t="e">
        <f>AND(#REF!,"AAAAAHn+f0k=")</f>
        <v>#REF!</v>
      </c>
      <c r="BW40" t="e">
        <f>AND(#REF!,"AAAAAHn+f0o=")</f>
        <v>#REF!</v>
      </c>
      <c r="BX40" t="e">
        <f>AND(#REF!,"AAAAAHn+f0s=")</f>
        <v>#REF!</v>
      </c>
      <c r="BY40" t="e">
        <f>AND(#REF!,"AAAAAHn+f0w=")</f>
        <v>#REF!</v>
      </c>
      <c r="BZ40" t="e">
        <f>AND(#REF!,"AAAAAHn+f00=")</f>
        <v>#REF!</v>
      </c>
      <c r="CA40" t="e">
        <f>AND(#REF!,"AAAAAHn+f04=")</f>
        <v>#REF!</v>
      </c>
      <c r="CB40" t="e">
        <f>AND(#REF!,"AAAAAHn+f08=")</f>
        <v>#REF!</v>
      </c>
      <c r="CC40" t="e">
        <f>AND(#REF!,"AAAAAHn+f1A=")</f>
        <v>#REF!</v>
      </c>
      <c r="CD40" t="e">
        <f>AND(#REF!,"AAAAAHn+f1E=")</f>
        <v>#REF!</v>
      </c>
      <c r="CE40" t="e">
        <f>AND(#REF!,"AAAAAHn+f1I=")</f>
        <v>#REF!</v>
      </c>
      <c r="CF40" t="e">
        <f>AND(#REF!,"AAAAAHn+f1M=")</f>
        <v>#REF!</v>
      </c>
      <c r="CG40" t="e">
        <f>AND(#REF!,"AAAAAHn+f1Q=")</f>
        <v>#REF!</v>
      </c>
      <c r="CH40" t="e">
        <f>AND(#REF!,"AAAAAHn+f1U=")</f>
        <v>#REF!</v>
      </c>
      <c r="CI40" t="e">
        <f>AND(#REF!,"AAAAAHn+f1Y=")</f>
        <v>#REF!</v>
      </c>
      <c r="CJ40" t="e">
        <f>AND(#REF!,"AAAAAHn+f1c=")</f>
        <v>#REF!</v>
      </c>
      <c r="CK40" t="e">
        <f>AND(#REF!,"AAAAAHn+f1g=")</f>
        <v>#REF!</v>
      </c>
      <c r="CL40" t="e">
        <f>AND(#REF!,"AAAAAHn+f1k=")</f>
        <v>#REF!</v>
      </c>
      <c r="CM40" t="e">
        <f>AND(#REF!,"AAAAAHn+f1o=")</f>
        <v>#REF!</v>
      </c>
      <c r="CN40" t="e">
        <f>AND(#REF!,"AAAAAHn+f1s=")</f>
        <v>#REF!</v>
      </c>
      <c r="CO40" t="e">
        <f>IF(#REF!,"AAAAAHn+f1w=",0)</f>
        <v>#REF!</v>
      </c>
      <c r="CP40" t="e">
        <f>AND(#REF!,"AAAAAHn+f10=")</f>
        <v>#REF!</v>
      </c>
      <c r="CQ40" t="e">
        <f>AND(#REF!,"AAAAAHn+f14=")</f>
        <v>#REF!</v>
      </c>
      <c r="CR40" t="e">
        <f>AND(#REF!,"AAAAAHn+f18=")</f>
        <v>#REF!</v>
      </c>
      <c r="CS40" t="e">
        <f>AND(#REF!,"AAAAAHn+f2A=")</f>
        <v>#REF!</v>
      </c>
      <c r="CT40" t="e">
        <f>AND(#REF!,"AAAAAHn+f2E=")</f>
        <v>#REF!</v>
      </c>
      <c r="CU40" t="e">
        <f>AND(#REF!,"AAAAAHn+f2I=")</f>
        <v>#REF!</v>
      </c>
      <c r="CV40" t="e">
        <f>AND(#REF!,"AAAAAHn+f2M=")</f>
        <v>#REF!</v>
      </c>
      <c r="CW40" t="e">
        <f>AND(#REF!,"AAAAAHn+f2Q=")</f>
        <v>#REF!</v>
      </c>
      <c r="CX40" t="e">
        <f>AND(#REF!,"AAAAAHn+f2U=")</f>
        <v>#REF!</v>
      </c>
      <c r="CY40" t="e">
        <f>AND(#REF!,"AAAAAHn+f2Y=")</f>
        <v>#REF!</v>
      </c>
      <c r="CZ40" t="e">
        <f>AND(#REF!,"AAAAAHn+f2c=")</f>
        <v>#REF!</v>
      </c>
      <c r="DA40" t="e">
        <f>AND(#REF!,"AAAAAHn+f2g=")</f>
        <v>#REF!</v>
      </c>
      <c r="DB40" t="e">
        <f>AND(#REF!,"AAAAAHn+f2k=")</f>
        <v>#REF!</v>
      </c>
      <c r="DC40" t="e">
        <f>AND(#REF!,"AAAAAHn+f2o=")</f>
        <v>#REF!</v>
      </c>
      <c r="DD40" t="e">
        <f>AND(#REF!,"AAAAAHn+f2s=")</f>
        <v>#REF!</v>
      </c>
      <c r="DE40" t="e">
        <f>AND(#REF!,"AAAAAHn+f2w=")</f>
        <v>#REF!</v>
      </c>
      <c r="DF40" t="e">
        <f>AND(#REF!,"AAAAAHn+f20=")</f>
        <v>#REF!</v>
      </c>
      <c r="DG40" t="e">
        <f>AND(#REF!,"AAAAAHn+f24=")</f>
        <v>#REF!</v>
      </c>
      <c r="DH40" t="e">
        <f>AND(#REF!,"AAAAAHn+f28=")</f>
        <v>#REF!</v>
      </c>
      <c r="DI40" t="e">
        <f>AND(#REF!,"AAAAAHn+f3A=")</f>
        <v>#REF!</v>
      </c>
      <c r="DJ40" t="e">
        <f>AND(#REF!,"AAAAAHn+f3E=")</f>
        <v>#REF!</v>
      </c>
      <c r="DK40" t="e">
        <f>AND(#REF!,"AAAAAHn+f3I=")</f>
        <v>#REF!</v>
      </c>
      <c r="DL40" t="e">
        <f>AND(#REF!,"AAAAAHn+f3M=")</f>
        <v>#REF!</v>
      </c>
      <c r="DM40" t="e">
        <f>AND(#REF!,"AAAAAHn+f3Q=")</f>
        <v>#REF!</v>
      </c>
      <c r="DN40" t="e">
        <f>AND(#REF!,"AAAAAHn+f3U=")</f>
        <v>#REF!</v>
      </c>
      <c r="DO40" t="e">
        <f>AND(#REF!,"AAAAAHn+f3Y=")</f>
        <v>#REF!</v>
      </c>
      <c r="DP40" t="e">
        <f>AND(#REF!,"AAAAAHn+f3c=")</f>
        <v>#REF!</v>
      </c>
      <c r="DQ40" t="e">
        <f>AND(#REF!,"AAAAAHn+f3g=")</f>
        <v>#REF!</v>
      </c>
      <c r="DR40" t="e">
        <f>AND(#REF!,"AAAAAHn+f3k=")</f>
        <v>#REF!</v>
      </c>
      <c r="DS40" t="e">
        <f>AND(#REF!,"AAAAAHn+f3o=")</f>
        <v>#REF!</v>
      </c>
      <c r="DT40" t="e">
        <f>AND(#REF!,"AAAAAHn+f3s=")</f>
        <v>#REF!</v>
      </c>
      <c r="DU40" t="e">
        <f>AND(#REF!,"AAAAAHn+f3w=")</f>
        <v>#REF!</v>
      </c>
      <c r="DV40" t="e">
        <f>AND(#REF!,"AAAAAHn+f30=")</f>
        <v>#REF!</v>
      </c>
      <c r="DW40" t="e">
        <f>AND(#REF!,"AAAAAHn+f34=")</f>
        <v>#REF!</v>
      </c>
      <c r="DX40" t="e">
        <f>AND(#REF!,"AAAAAHn+f38=")</f>
        <v>#REF!</v>
      </c>
      <c r="DY40" t="e">
        <f>AND(#REF!,"AAAAAHn+f4A=")</f>
        <v>#REF!</v>
      </c>
      <c r="DZ40" t="e">
        <f>AND(#REF!,"AAAAAHn+f4E=")</f>
        <v>#REF!</v>
      </c>
      <c r="EA40" t="e">
        <f>AND(#REF!,"AAAAAHn+f4I=")</f>
        <v>#REF!</v>
      </c>
      <c r="EB40" t="e">
        <f>AND(#REF!,"AAAAAHn+f4M=")</f>
        <v>#REF!</v>
      </c>
      <c r="EC40" t="e">
        <f>AND(#REF!,"AAAAAHn+f4Q=")</f>
        <v>#REF!</v>
      </c>
      <c r="ED40" t="e">
        <f>AND(#REF!,"AAAAAHn+f4U=")</f>
        <v>#REF!</v>
      </c>
      <c r="EE40" t="e">
        <f>AND(#REF!,"AAAAAHn+f4Y=")</f>
        <v>#REF!</v>
      </c>
      <c r="EF40" t="e">
        <f>AND(#REF!,"AAAAAHn+f4c=")</f>
        <v>#REF!</v>
      </c>
      <c r="EG40" t="e">
        <f>IF(#REF!,"AAAAAHn+f4g=",0)</f>
        <v>#REF!</v>
      </c>
      <c r="EH40" t="e">
        <f>AND(#REF!,"AAAAAHn+f4k=")</f>
        <v>#REF!</v>
      </c>
      <c r="EI40" t="e">
        <f>AND(#REF!,"AAAAAHn+f4o=")</f>
        <v>#REF!</v>
      </c>
      <c r="EJ40" t="e">
        <f>AND(#REF!,"AAAAAHn+f4s=")</f>
        <v>#REF!</v>
      </c>
      <c r="EK40" t="e">
        <f>AND(#REF!,"AAAAAHn+f4w=")</f>
        <v>#REF!</v>
      </c>
      <c r="EL40" t="e">
        <f>AND(#REF!,"AAAAAHn+f40=")</f>
        <v>#REF!</v>
      </c>
      <c r="EM40" t="e">
        <f>AND(#REF!,"AAAAAHn+f44=")</f>
        <v>#REF!</v>
      </c>
      <c r="EN40" t="e">
        <f>AND(#REF!,"AAAAAHn+f48=")</f>
        <v>#REF!</v>
      </c>
      <c r="EO40" t="e">
        <f>AND(#REF!,"AAAAAHn+f5A=")</f>
        <v>#REF!</v>
      </c>
      <c r="EP40" t="e">
        <f>AND(#REF!,"AAAAAHn+f5E=")</f>
        <v>#REF!</v>
      </c>
      <c r="EQ40" t="e">
        <f>AND(#REF!,"AAAAAHn+f5I=")</f>
        <v>#REF!</v>
      </c>
      <c r="ER40" t="e">
        <f>AND(#REF!,"AAAAAHn+f5M=")</f>
        <v>#REF!</v>
      </c>
      <c r="ES40" t="e">
        <f>AND(#REF!,"AAAAAHn+f5Q=")</f>
        <v>#REF!</v>
      </c>
      <c r="ET40" t="e">
        <f>AND(#REF!,"AAAAAHn+f5U=")</f>
        <v>#REF!</v>
      </c>
      <c r="EU40" t="e">
        <f>AND(#REF!,"AAAAAHn+f5Y=")</f>
        <v>#REF!</v>
      </c>
      <c r="EV40" t="e">
        <f>AND(#REF!,"AAAAAHn+f5c=")</f>
        <v>#REF!</v>
      </c>
      <c r="EW40" t="e">
        <f>AND(#REF!,"AAAAAHn+f5g=")</f>
        <v>#REF!</v>
      </c>
      <c r="EX40" t="e">
        <f>AND(#REF!,"AAAAAHn+f5k=")</f>
        <v>#REF!</v>
      </c>
      <c r="EY40" t="e">
        <f>AND(#REF!,"AAAAAHn+f5o=")</f>
        <v>#REF!</v>
      </c>
      <c r="EZ40" t="e">
        <f>AND(#REF!,"AAAAAHn+f5s=")</f>
        <v>#REF!</v>
      </c>
      <c r="FA40" t="e">
        <f>AND(#REF!,"AAAAAHn+f5w=")</f>
        <v>#REF!</v>
      </c>
      <c r="FB40" t="e">
        <f>AND(#REF!,"AAAAAHn+f50=")</f>
        <v>#REF!</v>
      </c>
      <c r="FC40" t="e">
        <f>AND(#REF!,"AAAAAHn+f54=")</f>
        <v>#REF!</v>
      </c>
      <c r="FD40" t="e">
        <f>AND(#REF!,"AAAAAHn+f58=")</f>
        <v>#REF!</v>
      </c>
      <c r="FE40" t="e">
        <f>AND(#REF!,"AAAAAHn+f6A=")</f>
        <v>#REF!</v>
      </c>
      <c r="FF40" t="e">
        <f>AND(#REF!,"AAAAAHn+f6E=")</f>
        <v>#REF!</v>
      </c>
      <c r="FG40" t="e">
        <f>AND(#REF!,"AAAAAHn+f6I=")</f>
        <v>#REF!</v>
      </c>
      <c r="FH40" t="e">
        <f>AND(#REF!,"AAAAAHn+f6M=")</f>
        <v>#REF!</v>
      </c>
      <c r="FI40" t="e">
        <f>AND(#REF!,"AAAAAHn+f6Q=")</f>
        <v>#REF!</v>
      </c>
      <c r="FJ40" t="e">
        <f>AND(#REF!,"AAAAAHn+f6U=")</f>
        <v>#REF!</v>
      </c>
      <c r="FK40" t="e">
        <f>AND(#REF!,"AAAAAHn+f6Y=")</f>
        <v>#REF!</v>
      </c>
      <c r="FL40" t="e">
        <f>AND(#REF!,"AAAAAHn+f6c=")</f>
        <v>#REF!</v>
      </c>
      <c r="FM40" t="e">
        <f>AND(#REF!,"AAAAAHn+f6g=")</f>
        <v>#REF!</v>
      </c>
      <c r="FN40" t="e">
        <f>AND(#REF!,"AAAAAHn+f6k=")</f>
        <v>#REF!</v>
      </c>
      <c r="FO40" t="e">
        <f>AND(#REF!,"AAAAAHn+f6o=")</f>
        <v>#REF!</v>
      </c>
      <c r="FP40" t="e">
        <f>AND(#REF!,"AAAAAHn+f6s=")</f>
        <v>#REF!</v>
      </c>
      <c r="FQ40" t="e">
        <f>AND(#REF!,"AAAAAHn+f6w=")</f>
        <v>#REF!</v>
      </c>
      <c r="FR40" t="e">
        <f>AND(#REF!,"AAAAAHn+f60=")</f>
        <v>#REF!</v>
      </c>
      <c r="FS40" t="e">
        <f>AND(#REF!,"AAAAAHn+f64=")</f>
        <v>#REF!</v>
      </c>
      <c r="FT40" t="e">
        <f>AND(#REF!,"AAAAAHn+f68=")</f>
        <v>#REF!</v>
      </c>
      <c r="FU40" t="e">
        <f>AND(#REF!,"AAAAAHn+f7A=")</f>
        <v>#REF!</v>
      </c>
      <c r="FV40" t="e">
        <f>AND(#REF!,"AAAAAHn+f7E=")</f>
        <v>#REF!</v>
      </c>
      <c r="FW40" t="e">
        <f>AND(#REF!,"AAAAAHn+f7I=")</f>
        <v>#REF!</v>
      </c>
      <c r="FX40" t="e">
        <f>AND(#REF!,"AAAAAHn+f7M=")</f>
        <v>#REF!</v>
      </c>
      <c r="FY40" t="e">
        <f>IF(#REF!,"AAAAAHn+f7Q=",0)</f>
        <v>#REF!</v>
      </c>
      <c r="FZ40" t="e">
        <f>AND(#REF!,"AAAAAHn+f7U=")</f>
        <v>#REF!</v>
      </c>
      <c r="GA40" t="e">
        <f>AND(#REF!,"AAAAAHn+f7Y=")</f>
        <v>#REF!</v>
      </c>
      <c r="GB40" t="e">
        <f>AND(#REF!,"AAAAAHn+f7c=")</f>
        <v>#REF!</v>
      </c>
      <c r="GC40" t="e">
        <f>AND(#REF!,"AAAAAHn+f7g=")</f>
        <v>#REF!</v>
      </c>
      <c r="GD40" t="e">
        <f>AND(#REF!,"AAAAAHn+f7k=")</f>
        <v>#REF!</v>
      </c>
      <c r="GE40" t="e">
        <f>AND(#REF!,"AAAAAHn+f7o=")</f>
        <v>#REF!</v>
      </c>
      <c r="GF40" t="e">
        <f>AND(#REF!,"AAAAAHn+f7s=")</f>
        <v>#REF!</v>
      </c>
      <c r="GG40" t="e">
        <f>AND(#REF!,"AAAAAHn+f7w=")</f>
        <v>#REF!</v>
      </c>
      <c r="GH40" t="e">
        <f>AND(#REF!,"AAAAAHn+f70=")</f>
        <v>#REF!</v>
      </c>
      <c r="GI40" t="e">
        <f>AND(#REF!,"AAAAAHn+f74=")</f>
        <v>#REF!</v>
      </c>
      <c r="GJ40" t="e">
        <f>AND(#REF!,"AAAAAHn+f78=")</f>
        <v>#REF!</v>
      </c>
      <c r="GK40" t="e">
        <f>AND(#REF!,"AAAAAHn+f8A=")</f>
        <v>#REF!</v>
      </c>
      <c r="GL40" t="e">
        <f>AND(#REF!,"AAAAAHn+f8E=")</f>
        <v>#REF!</v>
      </c>
      <c r="GM40" t="e">
        <f>AND(#REF!,"AAAAAHn+f8I=")</f>
        <v>#REF!</v>
      </c>
      <c r="GN40" t="e">
        <f>AND(#REF!,"AAAAAHn+f8M=")</f>
        <v>#REF!</v>
      </c>
      <c r="GO40" t="e">
        <f>AND(#REF!,"AAAAAHn+f8Q=")</f>
        <v>#REF!</v>
      </c>
      <c r="GP40" t="e">
        <f>AND(#REF!,"AAAAAHn+f8U=")</f>
        <v>#REF!</v>
      </c>
      <c r="GQ40" t="e">
        <f>AND(#REF!,"AAAAAHn+f8Y=")</f>
        <v>#REF!</v>
      </c>
      <c r="GR40" t="e">
        <f>AND(#REF!,"AAAAAHn+f8c=")</f>
        <v>#REF!</v>
      </c>
      <c r="GS40" t="e">
        <f>AND(#REF!,"AAAAAHn+f8g=")</f>
        <v>#REF!</v>
      </c>
      <c r="GT40" t="e">
        <f>AND(#REF!,"AAAAAHn+f8k=")</f>
        <v>#REF!</v>
      </c>
      <c r="GU40" t="e">
        <f>AND(#REF!,"AAAAAHn+f8o=")</f>
        <v>#REF!</v>
      </c>
      <c r="GV40" t="e">
        <f>AND(#REF!,"AAAAAHn+f8s=")</f>
        <v>#REF!</v>
      </c>
      <c r="GW40" t="e">
        <f>AND(#REF!,"AAAAAHn+f8w=")</f>
        <v>#REF!</v>
      </c>
      <c r="GX40" t="e">
        <f>AND(#REF!,"AAAAAHn+f80=")</f>
        <v>#REF!</v>
      </c>
      <c r="GY40" t="e">
        <f>AND(#REF!,"AAAAAHn+f84=")</f>
        <v>#REF!</v>
      </c>
      <c r="GZ40" t="e">
        <f>AND(#REF!,"AAAAAHn+f88=")</f>
        <v>#REF!</v>
      </c>
      <c r="HA40" t="e">
        <f>AND(#REF!,"AAAAAHn+f9A=")</f>
        <v>#REF!</v>
      </c>
      <c r="HB40" t="e">
        <f>AND(#REF!,"AAAAAHn+f9E=")</f>
        <v>#REF!</v>
      </c>
      <c r="HC40" t="e">
        <f>AND(#REF!,"AAAAAHn+f9I=")</f>
        <v>#REF!</v>
      </c>
      <c r="HD40" t="e">
        <f>AND(#REF!,"AAAAAHn+f9M=")</f>
        <v>#REF!</v>
      </c>
      <c r="HE40" t="e">
        <f>AND(#REF!,"AAAAAHn+f9Q=")</f>
        <v>#REF!</v>
      </c>
      <c r="HF40" t="e">
        <f>AND(#REF!,"AAAAAHn+f9U=")</f>
        <v>#REF!</v>
      </c>
      <c r="HG40" t="e">
        <f>AND(#REF!,"AAAAAHn+f9Y=")</f>
        <v>#REF!</v>
      </c>
      <c r="HH40" t="e">
        <f>AND(#REF!,"AAAAAHn+f9c=")</f>
        <v>#REF!</v>
      </c>
      <c r="HI40" t="e">
        <f>AND(#REF!,"AAAAAHn+f9g=")</f>
        <v>#REF!</v>
      </c>
      <c r="HJ40" t="e">
        <f>AND(#REF!,"AAAAAHn+f9k=")</f>
        <v>#REF!</v>
      </c>
      <c r="HK40" t="e">
        <f>AND(#REF!,"AAAAAHn+f9o=")</f>
        <v>#REF!</v>
      </c>
      <c r="HL40" t="e">
        <f>AND(#REF!,"AAAAAHn+f9s=")</f>
        <v>#REF!</v>
      </c>
      <c r="HM40" t="e">
        <f>AND(#REF!,"AAAAAHn+f9w=")</f>
        <v>#REF!</v>
      </c>
      <c r="HN40" t="e">
        <f>AND(#REF!,"AAAAAHn+f90=")</f>
        <v>#REF!</v>
      </c>
      <c r="HO40" t="e">
        <f>AND(#REF!,"AAAAAHn+f94=")</f>
        <v>#REF!</v>
      </c>
      <c r="HP40" t="e">
        <f>AND(#REF!,"AAAAAHn+f98=")</f>
        <v>#REF!</v>
      </c>
      <c r="HQ40" t="e">
        <f>IF(#REF!,"AAAAAHn+f+A=",0)</f>
        <v>#REF!</v>
      </c>
      <c r="HR40" t="e">
        <f>AND(#REF!,"AAAAAHn+f+E=")</f>
        <v>#REF!</v>
      </c>
      <c r="HS40" t="e">
        <f>AND(#REF!,"AAAAAHn+f+I=")</f>
        <v>#REF!</v>
      </c>
      <c r="HT40" t="e">
        <f>AND(#REF!,"AAAAAHn+f+M=")</f>
        <v>#REF!</v>
      </c>
      <c r="HU40" t="e">
        <f>AND(#REF!,"AAAAAHn+f+Q=")</f>
        <v>#REF!</v>
      </c>
      <c r="HV40" t="e">
        <f>AND(#REF!,"AAAAAHn+f+U=")</f>
        <v>#REF!</v>
      </c>
      <c r="HW40" t="e">
        <f>AND(#REF!,"AAAAAHn+f+Y=")</f>
        <v>#REF!</v>
      </c>
      <c r="HX40" t="e">
        <f>AND(#REF!,"AAAAAHn+f+c=")</f>
        <v>#REF!</v>
      </c>
      <c r="HY40" t="e">
        <f>AND(#REF!,"AAAAAHn+f+g=")</f>
        <v>#REF!</v>
      </c>
      <c r="HZ40" t="e">
        <f>AND(#REF!,"AAAAAHn+f+k=")</f>
        <v>#REF!</v>
      </c>
      <c r="IA40" t="e">
        <f>AND(#REF!,"AAAAAHn+f+o=")</f>
        <v>#REF!</v>
      </c>
      <c r="IB40" t="e">
        <f>AND(#REF!,"AAAAAHn+f+s=")</f>
        <v>#REF!</v>
      </c>
      <c r="IC40" t="e">
        <f>AND(#REF!,"AAAAAHn+f+w=")</f>
        <v>#REF!</v>
      </c>
      <c r="ID40" t="e">
        <f>AND(#REF!,"AAAAAHn+f+0=")</f>
        <v>#REF!</v>
      </c>
      <c r="IE40" t="e">
        <f>AND(#REF!,"AAAAAHn+f+4=")</f>
        <v>#REF!</v>
      </c>
      <c r="IF40" t="e">
        <f>AND(#REF!,"AAAAAHn+f+8=")</f>
        <v>#REF!</v>
      </c>
      <c r="IG40" t="e">
        <f>AND(#REF!,"AAAAAHn+f/A=")</f>
        <v>#REF!</v>
      </c>
      <c r="IH40" t="e">
        <f>AND(#REF!,"AAAAAHn+f/E=")</f>
        <v>#REF!</v>
      </c>
      <c r="II40" t="e">
        <f>AND(#REF!,"AAAAAHn+f/I=")</f>
        <v>#REF!</v>
      </c>
      <c r="IJ40" t="e">
        <f>AND(#REF!,"AAAAAHn+f/M=")</f>
        <v>#REF!</v>
      </c>
      <c r="IK40" t="e">
        <f>AND(#REF!,"AAAAAHn+f/Q=")</f>
        <v>#REF!</v>
      </c>
      <c r="IL40" t="e">
        <f>AND(#REF!,"AAAAAHn+f/U=")</f>
        <v>#REF!</v>
      </c>
      <c r="IM40" t="e">
        <f>AND(#REF!,"AAAAAHn+f/Y=")</f>
        <v>#REF!</v>
      </c>
      <c r="IN40" t="e">
        <f>AND(#REF!,"AAAAAHn+f/c=")</f>
        <v>#REF!</v>
      </c>
      <c r="IO40" t="e">
        <f>AND(#REF!,"AAAAAHn+f/g=")</f>
        <v>#REF!</v>
      </c>
      <c r="IP40" t="e">
        <f>AND(#REF!,"AAAAAHn+f/k=")</f>
        <v>#REF!</v>
      </c>
      <c r="IQ40" t="e">
        <f>AND(#REF!,"AAAAAHn+f/o=")</f>
        <v>#REF!</v>
      </c>
      <c r="IR40" t="e">
        <f>AND(#REF!,"AAAAAHn+f/s=")</f>
        <v>#REF!</v>
      </c>
      <c r="IS40" t="e">
        <f>AND(#REF!,"AAAAAHn+f/w=")</f>
        <v>#REF!</v>
      </c>
      <c r="IT40" t="e">
        <f>AND(#REF!,"AAAAAHn+f/0=")</f>
        <v>#REF!</v>
      </c>
      <c r="IU40" t="e">
        <f>AND(#REF!,"AAAAAHn+f/4=")</f>
        <v>#REF!</v>
      </c>
      <c r="IV40" t="e">
        <f>AND(#REF!,"AAAAAHn+f/8=")</f>
        <v>#REF!</v>
      </c>
    </row>
    <row r="41" spans="1:256" x14ac:dyDescent="0.25">
      <c r="A41" t="e">
        <f>AND(#REF!,"AAAAADO+/QA=")</f>
        <v>#REF!</v>
      </c>
      <c r="B41" t="e">
        <f>AND(#REF!,"AAAAADO+/QE=")</f>
        <v>#REF!</v>
      </c>
      <c r="C41" t="e">
        <f>AND(#REF!,"AAAAADO+/QI=")</f>
        <v>#REF!</v>
      </c>
      <c r="D41" t="e">
        <f>AND(#REF!,"AAAAADO+/QM=")</f>
        <v>#REF!</v>
      </c>
      <c r="E41" t="e">
        <f>AND(#REF!,"AAAAADO+/QQ=")</f>
        <v>#REF!</v>
      </c>
      <c r="F41" t="e">
        <f>AND(#REF!,"AAAAADO+/QU=")</f>
        <v>#REF!</v>
      </c>
      <c r="G41" t="e">
        <f>AND(#REF!,"AAAAADO+/QY=")</f>
        <v>#REF!</v>
      </c>
      <c r="H41" t="e">
        <f>AND(#REF!,"AAAAADO+/Qc=")</f>
        <v>#REF!</v>
      </c>
      <c r="I41" t="e">
        <f>AND(#REF!,"AAAAADO+/Qg=")</f>
        <v>#REF!</v>
      </c>
      <c r="J41" t="e">
        <f>AND(#REF!,"AAAAADO+/Qk=")</f>
        <v>#REF!</v>
      </c>
      <c r="K41" t="e">
        <f>AND(#REF!,"AAAAADO+/Qo=")</f>
        <v>#REF!</v>
      </c>
      <c r="L41" t="e">
        <f>AND(#REF!,"AAAAADO+/Qs=")</f>
        <v>#REF!</v>
      </c>
      <c r="M41" t="e">
        <f>IF(#REF!,"AAAAADO+/Qw=",0)</f>
        <v>#REF!</v>
      </c>
      <c r="N41" t="e">
        <f>AND(#REF!,"AAAAADO+/Q0=")</f>
        <v>#REF!</v>
      </c>
      <c r="O41" t="e">
        <f>AND(#REF!,"AAAAADO+/Q4=")</f>
        <v>#REF!</v>
      </c>
      <c r="P41" t="e">
        <f>AND(#REF!,"AAAAADO+/Q8=")</f>
        <v>#REF!</v>
      </c>
      <c r="Q41" t="e">
        <f>AND(#REF!,"AAAAADO+/RA=")</f>
        <v>#REF!</v>
      </c>
      <c r="R41" t="e">
        <f>AND(#REF!,"AAAAADO+/RE=")</f>
        <v>#REF!</v>
      </c>
      <c r="S41" t="e">
        <f>AND(#REF!,"AAAAADO+/RI=")</f>
        <v>#REF!</v>
      </c>
      <c r="T41" t="e">
        <f>AND(#REF!,"AAAAADO+/RM=")</f>
        <v>#REF!</v>
      </c>
      <c r="U41" t="e">
        <f>AND(#REF!,"AAAAADO+/RQ=")</f>
        <v>#REF!</v>
      </c>
      <c r="V41" t="e">
        <f>AND(#REF!,"AAAAADO+/RU=")</f>
        <v>#REF!</v>
      </c>
      <c r="W41" t="e">
        <f>AND(#REF!,"AAAAADO+/RY=")</f>
        <v>#REF!</v>
      </c>
      <c r="X41" t="e">
        <f>AND(#REF!,"AAAAADO+/Rc=")</f>
        <v>#REF!</v>
      </c>
      <c r="Y41" t="e">
        <f>AND(#REF!,"AAAAADO+/Rg=")</f>
        <v>#REF!</v>
      </c>
      <c r="Z41" t="e">
        <f>AND(#REF!,"AAAAADO+/Rk=")</f>
        <v>#REF!</v>
      </c>
      <c r="AA41" t="e">
        <f>AND(#REF!,"AAAAADO+/Ro=")</f>
        <v>#REF!</v>
      </c>
      <c r="AB41" t="e">
        <f>AND(#REF!,"AAAAADO+/Rs=")</f>
        <v>#REF!</v>
      </c>
      <c r="AC41" t="e">
        <f>AND(#REF!,"AAAAADO+/Rw=")</f>
        <v>#REF!</v>
      </c>
      <c r="AD41" t="e">
        <f>AND(#REF!,"AAAAADO+/R0=")</f>
        <v>#REF!</v>
      </c>
      <c r="AE41" t="e">
        <f>AND(#REF!,"AAAAADO+/R4=")</f>
        <v>#REF!</v>
      </c>
      <c r="AF41" t="e">
        <f>AND(#REF!,"AAAAADO+/R8=")</f>
        <v>#REF!</v>
      </c>
      <c r="AG41" t="e">
        <f>AND(#REF!,"AAAAADO+/SA=")</f>
        <v>#REF!</v>
      </c>
      <c r="AH41" t="e">
        <f>AND(#REF!,"AAAAADO+/SE=")</f>
        <v>#REF!</v>
      </c>
      <c r="AI41" t="e">
        <f>AND(#REF!,"AAAAADO+/SI=")</f>
        <v>#REF!</v>
      </c>
      <c r="AJ41" t="e">
        <f>AND(#REF!,"AAAAADO+/SM=")</f>
        <v>#REF!</v>
      </c>
      <c r="AK41" t="e">
        <f>AND(#REF!,"AAAAADO+/SQ=")</f>
        <v>#REF!</v>
      </c>
      <c r="AL41" t="e">
        <f>AND(#REF!,"AAAAADO+/SU=")</f>
        <v>#REF!</v>
      </c>
      <c r="AM41" t="e">
        <f>AND(#REF!,"AAAAADO+/SY=")</f>
        <v>#REF!</v>
      </c>
      <c r="AN41" t="e">
        <f>AND(#REF!,"AAAAADO+/Sc=")</f>
        <v>#REF!</v>
      </c>
      <c r="AO41" t="e">
        <f>AND(#REF!,"AAAAADO+/Sg=")</f>
        <v>#REF!</v>
      </c>
      <c r="AP41" t="e">
        <f>AND(#REF!,"AAAAADO+/Sk=")</f>
        <v>#REF!</v>
      </c>
      <c r="AQ41" t="e">
        <f>AND(#REF!,"AAAAADO+/So=")</f>
        <v>#REF!</v>
      </c>
      <c r="AR41" t="e">
        <f>AND(#REF!,"AAAAADO+/Ss=")</f>
        <v>#REF!</v>
      </c>
      <c r="AS41" t="e">
        <f>AND(#REF!,"AAAAADO+/Sw=")</f>
        <v>#REF!</v>
      </c>
      <c r="AT41" t="e">
        <f>AND(#REF!,"AAAAADO+/S0=")</f>
        <v>#REF!</v>
      </c>
      <c r="AU41" t="e">
        <f>AND(#REF!,"AAAAADO+/S4=")</f>
        <v>#REF!</v>
      </c>
      <c r="AV41" t="e">
        <f>AND(#REF!,"AAAAADO+/S8=")</f>
        <v>#REF!</v>
      </c>
      <c r="AW41" t="e">
        <f>AND(#REF!,"AAAAADO+/TA=")</f>
        <v>#REF!</v>
      </c>
      <c r="AX41" t="e">
        <f>AND(#REF!,"AAAAADO+/TE=")</f>
        <v>#REF!</v>
      </c>
      <c r="AY41" t="e">
        <f>AND(#REF!,"AAAAADO+/TI=")</f>
        <v>#REF!</v>
      </c>
      <c r="AZ41" t="e">
        <f>AND(#REF!,"AAAAADO+/TM=")</f>
        <v>#REF!</v>
      </c>
      <c r="BA41" t="e">
        <f>AND(#REF!,"AAAAADO+/TQ=")</f>
        <v>#REF!</v>
      </c>
      <c r="BB41" t="e">
        <f>AND(#REF!,"AAAAADO+/TU=")</f>
        <v>#REF!</v>
      </c>
      <c r="BC41" t="e">
        <f>AND(#REF!,"AAAAADO+/TY=")</f>
        <v>#REF!</v>
      </c>
      <c r="BD41" t="e">
        <f>AND(#REF!,"AAAAADO+/Tc=")</f>
        <v>#REF!</v>
      </c>
      <c r="BE41" t="e">
        <f>IF(#REF!,"AAAAADO+/Tg=",0)</f>
        <v>#REF!</v>
      </c>
      <c r="BF41" t="e">
        <f>AND(#REF!,"AAAAADO+/Tk=")</f>
        <v>#REF!</v>
      </c>
      <c r="BG41" t="e">
        <f>AND(#REF!,"AAAAADO+/To=")</f>
        <v>#REF!</v>
      </c>
      <c r="BH41" t="e">
        <f>AND(#REF!,"AAAAADO+/Ts=")</f>
        <v>#REF!</v>
      </c>
      <c r="BI41" t="e">
        <f>AND(#REF!,"AAAAADO+/Tw=")</f>
        <v>#REF!</v>
      </c>
      <c r="BJ41" t="e">
        <f>AND(#REF!,"AAAAADO+/T0=")</f>
        <v>#REF!</v>
      </c>
      <c r="BK41" t="e">
        <f>AND(#REF!,"AAAAADO+/T4=")</f>
        <v>#REF!</v>
      </c>
      <c r="BL41" t="e">
        <f>AND(#REF!,"AAAAADO+/T8=")</f>
        <v>#REF!</v>
      </c>
      <c r="BM41" t="e">
        <f>AND(#REF!,"AAAAADO+/UA=")</f>
        <v>#REF!</v>
      </c>
      <c r="BN41" t="e">
        <f>AND(#REF!,"AAAAADO+/UE=")</f>
        <v>#REF!</v>
      </c>
      <c r="BO41" t="e">
        <f>AND(#REF!,"AAAAADO+/UI=")</f>
        <v>#REF!</v>
      </c>
      <c r="BP41" t="e">
        <f>AND(#REF!,"AAAAADO+/UM=")</f>
        <v>#REF!</v>
      </c>
      <c r="BQ41" t="e">
        <f>AND(#REF!,"AAAAADO+/UQ=")</f>
        <v>#REF!</v>
      </c>
      <c r="BR41" t="e">
        <f>AND(#REF!,"AAAAADO+/UU=")</f>
        <v>#REF!</v>
      </c>
      <c r="BS41" t="e">
        <f>AND(#REF!,"AAAAADO+/UY=")</f>
        <v>#REF!</v>
      </c>
      <c r="BT41" t="e">
        <f>AND(#REF!,"AAAAADO+/Uc=")</f>
        <v>#REF!</v>
      </c>
      <c r="BU41" t="e">
        <f>AND(#REF!,"AAAAADO+/Ug=")</f>
        <v>#REF!</v>
      </c>
      <c r="BV41" t="e">
        <f>AND(#REF!,"AAAAADO+/Uk=")</f>
        <v>#REF!</v>
      </c>
      <c r="BW41" t="e">
        <f>AND(#REF!,"AAAAADO+/Uo=")</f>
        <v>#REF!</v>
      </c>
      <c r="BX41" t="e">
        <f>AND(#REF!,"AAAAADO+/Us=")</f>
        <v>#REF!</v>
      </c>
      <c r="BY41" t="e">
        <f>AND(#REF!,"AAAAADO+/Uw=")</f>
        <v>#REF!</v>
      </c>
      <c r="BZ41" t="e">
        <f>AND(#REF!,"AAAAADO+/U0=")</f>
        <v>#REF!</v>
      </c>
      <c r="CA41" t="e">
        <f>AND(#REF!,"AAAAADO+/U4=")</f>
        <v>#REF!</v>
      </c>
      <c r="CB41" t="e">
        <f>AND(#REF!,"AAAAADO+/U8=")</f>
        <v>#REF!</v>
      </c>
      <c r="CC41" t="e">
        <f>AND(#REF!,"AAAAADO+/VA=")</f>
        <v>#REF!</v>
      </c>
      <c r="CD41" t="e">
        <f>AND(#REF!,"AAAAADO+/VE=")</f>
        <v>#REF!</v>
      </c>
      <c r="CE41" t="e">
        <f>AND(#REF!,"AAAAADO+/VI=")</f>
        <v>#REF!</v>
      </c>
      <c r="CF41" t="e">
        <f>AND(#REF!,"AAAAADO+/VM=")</f>
        <v>#REF!</v>
      </c>
      <c r="CG41" t="e">
        <f>AND(#REF!,"AAAAADO+/VQ=")</f>
        <v>#REF!</v>
      </c>
      <c r="CH41" t="e">
        <f>AND(#REF!,"AAAAADO+/VU=")</f>
        <v>#REF!</v>
      </c>
      <c r="CI41" t="e">
        <f>AND(#REF!,"AAAAADO+/VY=")</f>
        <v>#REF!</v>
      </c>
      <c r="CJ41" t="e">
        <f>AND(#REF!,"AAAAADO+/Vc=")</f>
        <v>#REF!</v>
      </c>
      <c r="CK41" t="e">
        <f>AND(#REF!,"AAAAADO+/Vg=")</f>
        <v>#REF!</v>
      </c>
      <c r="CL41" t="e">
        <f>AND(#REF!,"AAAAADO+/Vk=")</f>
        <v>#REF!</v>
      </c>
      <c r="CM41" t="e">
        <f>AND(#REF!,"AAAAADO+/Vo=")</f>
        <v>#REF!</v>
      </c>
      <c r="CN41" t="e">
        <f>AND(#REF!,"AAAAADO+/Vs=")</f>
        <v>#REF!</v>
      </c>
      <c r="CO41" t="e">
        <f>AND(#REF!,"AAAAADO+/Vw=")</f>
        <v>#REF!</v>
      </c>
      <c r="CP41" t="e">
        <f>AND(#REF!,"AAAAADO+/V0=")</f>
        <v>#REF!</v>
      </c>
      <c r="CQ41" t="e">
        <f>AND(#REF!,"AAAAADO+/V4=")</f>
        <v>#REF!</v>
      </c>
      <c r="CR41" t="e">
        <f>AND(#REF!,"AAAAADO+/V8=")</f>
        <v>#REF!</v>
      </c>
      <c r="CS41" t="e">
        <f>AND(#REF!,"AAAAADO+/WA=")</f>
        <v>#REF!</v>
      </c>
      <c r="CT41" t="e">
        <f>AND(#REF!,"AAAAADO+/WE=")</f>
        <v>#REF!</v>
      </c>
      <c r="CU41" t="e">
        <f>AND(#REF!,"AAAAADO+/WI=")</f>
        <v>#REF!</v>
      </c>
      <c r="CV41" t="e">
        <f>AND(#REF!,"AAAAADO+/WM=")</f>
        <v>#REF!</v>
      </c>
      <c r="CW41" t="e">
        <f>IF(#REF!,"AAAAADO+/WQ=",0)</f>
        <v>#REF!</v>
      </c>
      <c r="CX41" t="e">
        <f>AND(#REF!,"AAAAADO+/WU=")</f>
        <v>#REF!</v>
      </c>
      <c r="CY41" t="e">
        <f>AND(#REF!,"AAAAADO+/WY=")</f>
        <v>#REF!</v>
      </c>
      <c r="CZ41" t="e">
        <f>AND(#REF!,"AAAAADO+/Wc=")</f>
        <v>#REF!</v>
      </c>
      <c r="DA41" t="e">
        <f>AND(#REF!,"AAAAADO+/Wg=")</f>
        <v>#REF!</v>
      </c>
      <c r="DB41" t="e">
        <f>AND(#REF!,"AAAAADO+/Wk=")</f>
        <v>#REF!</v>
      </c>
      <c r="DC41" t="e">
        <f>AND(#REF!,"AAAAADO+/Wo=")</f>
        <v>#REF!</v>
      </c>
      <c r="DD41" t="e">
        <f>AND(#REF!,"AAAAADO+/Ws=")</f>
        <v>#REF!</v>
      </c>
      <c r="DE41" t="e">
        <f>AND(#REF!,"AAAAADO+/Ww=")</f>
        <v>#REF!</v>
      </c>
      <c r="DF41" t="e">
        <f>AND(#REF!,"AAAAADO+/W0=")</f>
        <v>#REF!</v>
      </c>
      <c r="DG41" t="e">
        <f>AND(#REF!,"AAAAADO+/W4=")</f>
        <v>#REF!</v>
      </c>
      <c r="DH41" t="e">
        <f>AND(#REF!,"AAAAADO+/W8=")</f>
        <v>#REF!</v>
      </c>
      <c r="DI41" t="e">
        <f>AND(#REF!,"AAAAADO+/XA=")</f>
        <v>#REF!</v>
      </c>
      <c r="DJ41" t="e">
        <f>AND(#REF!,"AAAAADO+/XE=")</f>
        <v>#REF!</v>
      </c>
      <c r="DK41" t="e">
        <f>AND(#REF!,"AAAAADO+/XI=")</f>
        <v>#REF!</v>
      </c>
      <c r="DL41" t="e">
        <f>AND(#REF!,"AAAAADO+/XM=")</f>
        <v>#REF!</v>
      </c>
      <c r="DM41" t="e">
        <f>AND(#REF!,"AAAAADO+/XQ=")</f>
        <v>#REF!</v>
      </c>
      <c r="DN41" t="e">
        <f>AND(#REF!,"AAAAADO+/XU=")</f>
        <v>#REF!</v>
      </c>
      <c r="DO41" t="e">
        <f>AND(#REF!,"AAAAADO+/XY=")</f>
        <v>#REF!</v>
      </c>
      <c r="DP41" t="e">
        <f>AND(#REF!,"AAAAADO+/Xc=")</f>
        <v>#REF!</v>
      </c>
      <c r="DQ41" t="e">
        <f>AND(#REF!,"AAAAADO+/Xg=")</f>
        <v>#REF!</v>
      </c>
      <c r="DR41" t="e">
        <f>AND(#REF!,"AAAAADO+/Xk=")</f>
        <v>#REF!</v>
      </c>
      <c r="DS41" t="e">
        <f>AND(#REF!,"AAAAADO+/Xo=")</f>
        <v>#REF!</v>
      </c>
      <c r="DT41" t="e">
        <f>AND(#REF!,"AAAAADO+/Xs=")</f>
        <v>#REF!</v>
      </c>
      <c r="DU41" t="e">
        <f>AND(#REF!,"AAAAADO+/Xw=")</f>
        <v>#REF!</v>
      </c>
      <c r="DV41" t="e">
        <f>AND(#REF!,"AAAAADO+/X0=")</f>
        <v>#REF!</v>
      </c>
      <c r="DW41" t="e">
        <f>AND(#REF!,"AAAAADO+/X4=")</f>
        <v>#REF!</v>
      </c>
      <c r="DX41" t="e">
        <f>AND(#REF!,"AAAAADO+/X8=")</f>
        <v>#REF!</v>
      </c>
      <c r="DY41" t="e">
        <f>AND(#REF!,"AAAAADO+/YA=")</f>
        <v>#REF!</v>
      </c>
      <c r="DZ41" t="e">
        <f>AND(#REF!,"AAAAADO+/YE=")</f>
        <v>#REF!</v>
      </c>
      <c r="EA41" t="e">
        <f>AND(#REF!,"AAAAADO+/YI=")</f>
        <v>#REF!</v>
      </c>
      <c r="EB41" t="e">
        <f>AND(#REF!,"AAAAADO+/YM=")</f>
        <v>#REF!</v>
      </c>
      <c r="EC41" t="e">
        <f>AND(#REF!,"AAAAADO+/YQ=")</f>
        <v>#REF!</v>
      </c>
      <c r="ED41" t="e">
        <f>AND(#REF!,"AAAAADO+/YU=")</f>
        <v>#REF!</v>
      </c>
      <c r="EE41" t="e">
        <f>AND(#REF!,"AAAAADO+/YY=")</f>
        <v>#REF!</v>
      </c>
      <c r="EF41" t="e">
        <f>AND(#REF!,"AAAAADO+/Yc=")</f>
        <v>#REF!</v>
      </c>
      <c r="EG41" t="e">
        <f>AND(#REF!,"AAAAADO+/Yg=")</f>
        <v>#REF!</v>
      </c>
      <c r="EH41" t="e">
        <f>AND(#REF!,"AAAAADO+/Yk=")</f>
        <v>#REF!</v>
      </c>
      <c r="EI41" t="e">
        <f>AND(#REF!,"AAAAADO+/Yo=")</f>
        <v>#REF!</v>
      </c>
      <c r="EJ41" t="e">
        <f>AND(#REF!,"AAAAADO+/Ys=")</f>
        <v>#REF!</v>
      </c>
      <c r="EK41" t="e">
        <f>AND(#REF!,"AAAAADO+/Yw=")</f>
        <v>#REF!</v>
      </c>
      <c r="EL41" t="e">
        <f>AND(#REF!,"AAAAADO+/Y0=")</f>
        <v>#REF!</v>
      </c>
      <c r="EM41" t="e">
        <f>AND(#REF!,"AAAAADO+/Y4=")</f>
        <v>#REF!</v>
      </c>
      <c r="EN41" t="e">
        <f>AND(#REF!,"AAAAADO+/Y8=")</f>
        <v>#REF!</v>
      </c>
      <c r="EO41" t="e">
        <f>IF(#REF!,"AAAAADO+/ZA=",0)</f>
        <v>#REF!</v>
      </c>
      <c r="EP41" t="e">
        <f>AND(#REF!,"AAAAADO+/ZE=")</f>
        <v>#REF!</v>
      </c>
      <c r="EQ41" t="e">
        <f>AND(#REF!,"AAAAADO+/ZI=")</f>
        <v>#REF!</v>
      </c>
      <c r="ER41" t="e">
        <f>AND(#REF!,"AAAAADO+/ZM=")</f>
        <v>#REF!</v>
      </c>
      <c r="ES41" t="e">
        <f>AND(#REF!,"AAAAADO+/ZQ=")</f>
        <v>#REF!</v>
      </c>
      <c r="ET41" t="e">
        <f>AND(#REF!,"AAAAADO+/ZU=")</f>
        <v>#REF!</v>
      </c>
      <c r="EU41" t="e">
        <f>AND(#REF!,"AAAAADO+/ZY=")</f>
        <v>#REF!</v>
      </c>
      <c r="EV41" t="e">
        <f>AND(#REF!,"AAAAADO+/Zc=")</f>
        <v>#REF!</v>
      </c>
      <c r="EW41" t="e">
        <f>AND(#REF!,"AAAAADO+/Zg=")</f>
        <v>#REF!</v>
      </c>
      <c r="EX41" t="e">
        <f>AND(#REF!,"AAAAADO+/Zk=")</f>
        <v>#REF!</v>
      </c>
      <c r="EY41" t="e">
        <f>AND(#REF!,"AAAAADO+/Zo=")</f>
        <v>#REF!</v>
      </c>
      <c r="EZ41" t="e">
        <f>AND(#REF!,"AAAAADO+/Zs=")</f>
        <v>#REF!</v>
      </c>
      <c r="FA41" t="e">
        <f>AND(#REF!,"AAAAADO+/Zw=")</f>
        <v>#REF!</v>
      </c>
      <c r="FB41" t="e">
        <f>AND(#REF!,"AAAAADO+/Z0=")</f>
        <v>#REF!</v>
      </c>
      <c r="FC41" t="e">
        <f>AND(#REF!,"AAAAADO+/Z4=")</f>
        <v>#REF!</v>
      </c>
      <c r="FD41" t="e">
        <f>AND(#REF!,"AAAAADO+/Z8=")</f>
        <v>#REF!</v>
      </c>
      <c r="FE41" t="e">
        <f>AND(#REF!,"AAAAADO+/aA=")</f>
        <v>#REF!</v>
      </c>
      <c r="FF41" t="e">
        <f>AND(#REF!,"AAAAADO+/aE=")</f>
        <v>#REF!</v>
      </c>
      <c r="FG41" t="e">
        <f>AND(#REF!,"AAAAADO+/aI=")</f>
        <v>#REF!</v>
      </c>
      <c r="FH41" t="e">
        <f>AND(#REF!,"AAAAADO+/aM=")</f>
        <v>#REF!</v>
      </c>
      <c r="FI41" t="e">
        <f>AND(#REF!,"AAAAADO+/aQ=")</f>
        <v>#REF!</v>
      </c>
      <c r="FJ41" t="e">
        <f>AND(#REF!,"AAAAADO+/aU=")</f>
        <v>#REF!</v>
      </c>
      <c r="FK41" t="e">
        <f>AND(#REF!,"AAAAADO+/aY=")</f>
        <v>#REF!</v>
      </c>
      <c r="FL41" t="e">
        <f>AND(#REF!,"AAAAADO+/ac=")</f>
        <v>#REF!</v>
      </c>
      <c r="FM41" t="e">
        <f>AND(#REF!,"AAAAADO+/ag=")</f>
        <v>#REF!</v>
      </c>
      <c r="FN41" t="e">
        <f>AND(#REF!,"AAAAADO+/ak=")</f>
        <v>#REF!</v>
      </c>
      <c r="FO41" t="e">
        <f>AND(#REF!,"AAAAADO+/ao=")</f>
        <v>#REF!</v>
      </c>
      <c r="FP41" t="e">
        <f>AND(#REF!,"AAAAADO+/as=")</f>
        <v>#REF!</v>
      </c>
      <c r="FQ41" t="e">
        <f>AND(#REF!,"AAAAADO+/aw=")</f>
        <v>#REF!</v>
      </c>
      <c r="FR41" t="e">
        <f>AND(#REF!,"AAAAADO+/a0=")</f>
        <v>#REF!</v>
      </c>
      <c r="FS41" t="e">
        <f>AND(#REF!,"AAAAADO+/a4=")</f>
        <v>#REF!</v>
      </c>
      <c r="FT41" t="e">
        <f>AND(#REF!,"AAAAADO+/a8=")</f>
        <v>#REF!</v>
      </c>
      <c r="FU41" t="e">
        <f>AND(#REF!,"AAAAADO+/bA=")</f>
        <v>#REF!</v>
      </c>
      <c r="FV41" t="e">
        <f>AND(#REF!,"AAAAADO+/bE=")</f>
        <v>#REF!</v>
      </c>
      <c r="FW41" t="e">
        <f>AND(#REF!,"AAAAADO+/bI=")</f>
        <v>#REF!</v>
      </c>
      <c r="FX41" t="e">
        <f>AND(#REF!,"AAAAADO+/bM=")</f>
        <v>#REF!</v>
      </c>
      <c r="FY41" t="e">
        <f>AND(#REF!,"AAAAADO+/bQ=")</f>
        <v>#REF!</v>
      </c>
      <c r="FZ41" t="e">
        <f>AND(#REF!,"AAAAADO+/bU=")</f>
        <v>#REF!</v>
      </c>
      <c r="GA41" t="e">
        <f>AND(#REF!,"AAAAADO+/bY=")</f>
        <v>#REF!</v>
      </c>
      <c r="GB41" t="e">
        <f>AND(#REF!,"AAAAADO+/bc=")</f>
        <v>#REF!</v>
      </c>
      <c r="GC41" t="e">
        <f>AND(#REF!,"AAAAADO+/bg=")</f>
        <v>#REF!</v>
      </c>
      <c r="GD41" t="e">
        <f>AND(#REF!,"AAAAADO+/bk=")</f>
        <v>#REF!</v>
      </c>
      <c r="GE41" t="e">
        <f>AND(#REF!,"AAAAADO+/bo=")</f>
        <v>#REF!</v>
      </c>
      <c r="GF41" t="e">
        <f>AND(#REF!,"AAAAADO+/bs=")</f>
        <v>#REF!</v>
      </c>
      <c r="GG41" t="e">
        <f>IF(#REF!,"AAAAADO+/bw=",0)</f>
        <v>#REF!</v>
      </c>
      <c r="GH41" t="e">
        <f>AND(#REF!,"AAAAADO+/b0=")</f>
        <v>#REF!</v>
      </c>
      <c r="GI41" t="e">
        <f>AND(#REF!,"AAAAADO+/b4=")</f>
        <v>#REF!</v>
      </c>
      <c r="GJ41" t="e">
        <f>AND(#REF!,"AAAAADO+/b8=")</f>
        <v>#REF!</v>
      </c>
      <c r="GK41" t="e">
        <f>AND(#REF!,"AAAAADO+/cA=")</f>
        <v>#REF!</v>
      </c>
      <c r="GL41" t="e">
        <f>AND(#REF!,"AAAAADO+/cE=")</f>
        <v>#REF!</v>
      </c>
      <c r="GM41" t="e">
        <f>AND(#REF!,"AAAAADO+/cI=")</f>
        <v>#REF!</v>
      </c>
      <c r="GN41" t="e">
        <f>AND(#REF!,"AAAAADO+/cM=")</f>
        <v>#REF!</v>
      </c>
      <c r="GO41" t="e">
        <f>AND(#REF!,"AAAAADO+/cQ=")</f>
        <v>#REF!</v>
      </c>
      <c r="GP41" t="e">
        <f>AND(#REF!,"AAAAADO+/cU=")</f>
        <v>#REF!</v>
      </c>
      <c r="GQ41" t="e">
        <f>AND(#REF!,"AAAAADO+/cY=")</f>
        <v>#REF!</v>
      </c>
      <c r="GR41" t="e">
        <f>AND(#REF!,"AAAAADO+/cc=")</f>
        <v>#REF!</v>
      </c>
      <c r="GS41" t="e">
        <f>AND(#REF!,"AAAAADO+/cg=")</f>
        <v>#REF!</v>
      </c>
      <c r="GT41" t="e">
        <f>AND(#REF!,"AAAAADO+/ck=")</f>
        <v>#REF!</v>
      </c>
      <c r="GU41" t="e">
        <f>AND(#REF!,"AAAAADO+/co=")</f>
        <v>#REF!</v>
      </c>
      <c r="GV41" t="e">
        <f>AND(#REF!,"AAAAADO+/cs=")</f>
        <v>#REF!</v>
      </c>
      <c r="GW41" t="e">
        <f>AND(#REF!,"AAAAADO+/cw=")</f>
        <v>#REF!</v>
      </c>
      <c r="GX41" t="e">
        <f>AND(#REF!,"AAAAADO+/c0=")</f>
        <v>#REF!</v>
      </c>
      <c r="GY41" t="e">
        <f>AND(#REF!,"AAAAADO+/c4=")</f>
        <v>#REF!</v>
      </c>
      <c r="GZ41" t="e">
        <f>AND(#REF!,"AAAAADO+/c8=")</f>
        <v>#REF!</v>
      </c>
      <c r="HA41" t="e">
        <f>AND(#REF!,"AAAAADO+/dA=")</f>
        <v>#REF!</v>
      </c>
      <c r="HB41" t="e">
        <f>AND(#REF!,"AAAAADO+/dE=")</f>
        <v>#REF!</v>
      </c>
      <c r="HC41" t="e">
        <f>AND(#REF!,"AAAAADO+/dI=")</f>
        <v>#REF!</v>
      </c>
      <c r="HD41" t="e">
        <f>AND(#REF!,"AAAAADO+/dM=")</f>
        <v>#REF!</v>
      </c>
      <c r="HE41" t="e">
        <f>AND(#REF!,"AAAAADO+/dQ=")</f>
        <v>#REF!</v>
      </c>
      <c r="HF41" t="e">
        <f>AND(#REF!,"AAAAADO+/dU=")</f>
        <v>#REF!</v>
      </c>
      <c r="HG41" t="e">
        <f>AND(#REF!,"AAAAADO+/dY=")</f>
        <v>#REF!</v>
      </c>
      <c r="HH41" t="e">
        <f>AND(#REF!,"AAAAADO+/dc=")</f>
        <v>#REF!</v>
      </c>
      <c r="HI41" t="e">
        <f>AND(#REF!,"AAAAADO+/dg=")</f>
        <v>#REF!</v>
      </c>
      <c r="HJ41" t="e">
        <f>AND(#REF!,"AAAAADO+/dk=")</f>
        <v>#REF!</v>
      </c>
      <c r="HK41" t="e">
        <f>AND(#REF!,"AAAAADO+/do=")</f>
        <v>#REF!</v>
      </c>
      <c r="HL41" t="e">
        <f>AND(#REF!,"AAAAADO+/ds=")</f>
        <v>#REF!</v>
      </c>
      <c r="HM41" t="e">
        <f>AND(#REF!,"AAAAADO+/dw=")</f>
        <v>#REF!</v>
      </c>
      <c r="HN41" t="e">
        <f>AND(#REF!,"AAAAADO+/d0=")</f>
        <v>#REF!</v>
      </c>
      <c r="HO41" t="e">
        <f>AND(#REF!,"AAAAADO+/d4=")</f>
        <v>#REF!</v>
      </c>
      <c r="HP41" t="e">
        <f>AND(#REF!,"AAAAADO+/d8=")</f>
        <v>#REF!</v>
      </c>
      <c r="HQ41" t="e">
        <f>AND(#REF!,"AAAAADO+/eA=")</f>
        <v>#REF!</v>
      </c>
      <c r="HR41" t="e">
        <f>AND(#REF!,"AAAAADO+/eE=")</f>
        <v>#REF!</v>
      </c>
      <c r="HS41" t="e">
        <f>AND(#REF!,"AAAAADO+/eI=")</f>
        <v>#REF!</v>
      </c>
      <c r="HT41" t="e">
        <f>AND(#REF!,"AAAAADO+/eM=")</f>
        <v>#REF!</v>
      </c>
      <c r="HU41" t="e">
        <f>AND(#REF!,"AAAAADO+/eQ=")</f>
        <v>#REF!</v>
      </c>
      <c r="HV41" t="e">
        <f>AND(#REF!,"AAAAADO+/eU=")</f>
        <v>#REF!</v>
      </c>
      <c r="HW41" t="e">
        <f>AND(#REF!,"AAAAADO+/eY=")</f>
        <v>#REF!</v>
      </c>
      <c r="HX41" t="e">
        <f>AND(#REF!,"AAAAADO+/ec=")</f>
        <v>#REF!</v>
      </c>
      <c r="HY41" t="e">
        <f>IF(#REF!,"AAAAADO+/eg=",0)</f>
        <v>#REF!</v>
      </c>
      <c r="HZ41" t="e">
        <f>AND(#REF!,"AAAAADO+/ek=")</f>
        <v>#REF!</v>
      </c>
      <c r="IA41" t="e">
        <f>AND(#REF!,"AAAAADO+/eo=")</f>
        <v>#REF!</v>
      </c>
      <c r="IB41" t="e">
        <f>AND(#REF!,"AAAAADO+/es=")</f>
        <v>#REF!</v>
      </c>
      <c r="IC41" t="e">
        <f>AND(#REF!,"AAAAADO+/ew=")</f>
        <v>#REF!</v>
      </c>
      <c r="ID41" t="e">
        <f>AND(#REF!,"AAAAADO+/e0=")</f>
        <v>#REF!</v>
      </c>
      <c r="IE41" t="e">
        <f>AND(#REF!,"AAAAADO+/e4=")</f>
        <v>#REF!</v>
      </c>
      <c r="IF41" t="e">
        <f>AND(#REF!,"AAAAADO+/e8=")</f>
        <v>#REF!</v>
      </c>
      <c r="IG41" t="e">
        <f>AND(#REF!,"AAAAADO+/fA=")</f>
        <v>#REF!</v>
      </c>
      <c r="IH41" t="e">
        <f>AND(#REF!,"AAAAADO+/fE=")</f>
        <v>#REF!</v>
      </c>
      <c r="II41" t="e">
        <f>AND(#REF!,"AAAAADO+/fI=")</f>
        <v>#REF!</v>
      </c>
      <c r="IJ41" t="e">
        <f>AND(#REF!,"AAAAADO+/fM=")</f>
        <v>#REF!</v>
      </c>
      <c r="IK41" t="e">
        <f>AND(#REF!,"AAAAADO+/fQ=")</f>
        <v>#REF!</v>
      </c>
      <c r="IL41" t="e">
        <f>AND(#REF!,"AAAAADO+/fU=")</f>
        <v>#REF!</v>
      </c>
      <c r="IM41" t="e">
        <f>AND(#REF!,"AAAAADO+/fY=")</f>
        <v>#REF!</v>
      </c>
      <c r="IN41" t="e">
        <f>AND(#REF!,"AAAAADO+/fc=")</f>
        <v>#REF!</v>
      </c>
      <c r="IO41" t="e">
        <f>AND(#REF!,"AAAAADO+/fg=")</f>
        <v>#REF!</v>
      </c>
      <c r="IP41" t="e">
        <f>AND(#REF!,"AAAAADO+/fk=")</f>
        <v>#REF!</v>
      </c>
      <c r="IQ41" t="e">
        <f>AND(#REF!,"AAAAADO+/fo=")</f>
        <v>#REF!</v>
      </c>
      <c r="IR41" t="e">
        <f>AND(#REF!,"AAAAADO+/fs=")</f>
        <v>#REF!</v>
      </c>
      <c r="IS41" t="e">
        <f>AND(#REF!,"AAAAADO+/fw=")</f>
        <v>#REF!</v>
      </c>
      <c r="IT41" t="e">
        <f>AND(#REF!,"AAAAADO+/f0=")</f>
        <v>#REF!</v>
      </c>
      <c r="IU41" t="e">
        <f>AND(#REF!,"AAAAADO+/f4=")</f>
        <v>#REF!</v>
      </c>
      <c r="IV41" t="e">
        <f>AND(#REF!,"AAAAADO+/f8=")</f>
        <v>#REF!</v>
      </c>
    </row>
    <row r="42" spans="1:256" x14ac:dyDescent="0.25">
      <c r="A42" t="e">
        <f>AND(#REF!,"AAAAAHP7/wA=")</f>
        <v>#REF!</v>
      </c>
      <c r="B42" t="e">
        <f>AND(#REF!,"AAAAAHP7/wE=")</f>
        <v>#REF!</v>
      </c>
      <c r="C42" t="e">
        <f>AND(#REF!,"AAAAAHP7/wI=")</f>
        <v>#REF!</v>
      </c>
      <c r="D42" t="e">
        <f>AND(#REF!,"AAAAAHP7/wM=")</f>
        <v>#REF!</v>
      </c>
      <c r="E42" t="e">
        <f>AND(#REF!,"AAAAAHP7/wQ=")</f>
        <v>#REF!</v>
      </c>
      <c r="F42" t="e">
        <f>AND(#REF!,"AAAAAHP7/wU=")</f>
        <v>#REF!</v>
      </c>
      <c r="G42" t="e">
        <f>AND(#REF!,"AAAAAHP7/wY=")</f>
        <v>#REF!</v>
      </c>
      <c r="H42" t="e">
        <f>AND(#REF!,"AAAAAHP7/wc=")</f>
        <v>#REF!</v>
      </c>
      <c r="I42" t="e">
        <f>AND(#REF!,"AAAAAHP7/wg=")</f>
        <v>#REF!</v>
      </c>
      <c r="J42" t="e">
        <f>AND(#REF!,"AAAAAHP7/wk=")</f>
        <v>#REF!</v>
      </c>
      <c r="K42" t="e">
        <f>AND(#REF!,"AAAAAHP7/wo=")</f>
        <v>#REF!</v>
      </c>
      <c r="L42" t="e">
        <f>AND(#REF!,"AAAAAHP7/ws=")</f>
        <v>#REF!</v>
      </c>
      <c r="M42" t="e">
        <f>AND(#REF!,"AAAAAHP7/ww=")</f>
        <v>#REF!</v>
      </c>
      <c r="N42" t="e">
        <f>AND(#REF!,"AAAAAHP7/w0=")</f>
        <v>#REF!</v>
      </c>
      <c r="O42" t="e">
        <f>AND(#REF!,"AAAAAHP7/w4=")</f>
        <v>#REF!</v>
      </c>
      <c r="P42" t="e">
        <f>AND(#REF!,"AAAAAHP7/w8=")</f>
        <v>#REF!</v>
      </c>
      <c r="Q42" t="e">
        <f>AND(#REF!,"AAAAAHP7/xA=")</f>
        <v>#REF!</v>
      </c>
      <c r="R42" t="e">
        <f>AND(#REF!,"AAAAAHP7/xE=")</f>
        <v>#REF!</v>
      </c>
      <c r="S42" t="e">
        <f>AND(#REF!,"AAAAAHP7/xI=")</f>
        <v>#REF!</v>
      </c>
      <c r="T42" t="e">
        <f>AND(#REF!,"AAAAAHP7/xM=")</f>
        <v>#REF!</v>
      </c>
      <c r="U42" t="e">
        <f>IF(#REF!,"AAAAAHP7/xQ=",0)</f>
        <v>#REF!</v>
      </c>
      <c r="V42" t="e">
        <f>AND(#REF!,"AAAAAHP7/xU=")</f>
        <v>#REF!</v>
      </c>
      <c r="W42" t="e">
        <f>AND(#REF!,"AAAAAHP7/xY=")</f>
        <v>#REF!</v>
      </c>
      <c r="X42" t="e">
        <f>AND(#REF!,"AAAAAHP7/xc=")</f>
        <v>#REF!</v>
      </c>
      <c r="Y42" t="e">
        <f>AND(#REF!,"AAAAAHP7/xg=")</f>
        <v>#REF!</v>
      </c>
      <c r="Z42" t="e">
        <f>AND(#REF!,"AAAAAHP7/xk=")</f>
        <v>#REF!</v>
      </c>
      <c r="AA42" t="e">
        <f>AND(#REF!,"AAAAAHP7/xo=")</f>
        <v>#REF!</v>
      </c>
      <c r="AB42" t="e">
        <f>AND(#REF!,"AAAAAHP7/xs=")</f>
        <v>#REF!</v>
      </c>
      <c r="AC42" t="e">
        <f>AND(#REF!,"AAAAAHP7/xw=")</f>
        <v>#REF!</v>
      </c>
      <c r="AD42" t="e">
        <f>AND(#REF!,"AAAAAHP7/x0=")</f>
        <v>#REF!</v>
      </c>
      <c r="AE42" t="e">
        <f>AND(#REF!,"AAAAAHP7/x4=")</f>
        <v>#REF!</v>
      </c>
      <c r="AF42" t="e">
        <f>AND(#REF!,"AAAAAHP7/x8=")</f>
        <v>#REF!</v>
      </c>
      <c r="AG42" t="e">
        <f>AND(#REF!,"AAAAAHP7/yA=")</f>
        <v>#REF!</v>
      </c>
      <c r="AH42" t="e">
        <f>AND(#REF!,"AAAAAHP7/yE=")</f>
        <v>#REF!</v>
      </c>
      <c r="AI42" t="e">
        <f>AND(#REF!,"AAAAAHP7/yI=")</f>
        <v>#REF!</v>
      </c>
      <c r="AJ42" t="e">
        <f>AND(#REF!,"AAAAAHP7/yM=")</f>
        <v>#REF!</v>
      </c>
      <c r="AK42" t="e">
        <f>AND(#REF!,"AAAAAHP7/yQ=")</f>
        <v>#REF!</v>
      </c>
      <c r="AL42" t="e">
        <f>AND(#REF!,"AAAAAHP7/yU=")</f>
        <v>#REF!</v>
      </c>
      <c r="AM42" t="e">
        <f>AND(#REF!,"AAAAAHP7/yY=")</f>
        <v>#REF!</v>
      </c>
      <c r="AN42" t="e">
        <f>AND(#REF!,"AAAAAHP7/yc=")</f>
        <v>#REF!</v>
      </c>
      <c r="AO42" t="e">
        <f>AND(#REF!,"AAAAAHP7/yg=")</f>
        <v>#REF!</v>
      </c>
      <c r="AP42" t="e">
        <f>AND(#REF!,"AAAAAHP7/yk=")</f>
        <v>#REF!</v>
      </c>
      <c r="AQ42" t="e">
        <f>AND(#REF!,"AAAAAHP7/yo=")</f>
        <v>#REF!</v>
      </c>
      <c r="AR42" t="e">
        <f>AND(#REF!,"AAAAAHP7/ys=")</f>
        <v>#REF!</v>
      </c>
      <c r="AS42" t="e">
        <f>AND(#REF!,"AAAAAHP7/yw=")</f>
        <v>#REF!</v>
      </c>
      <c r="AT42" t="e">
        <f>AND(#REF!,"AAAAAHP7/y0=")</f>
        <v>#REF!</v>
      </c>
      <c r="AU42" t="e">
        <f>AND(#REF!,"AAAAAHP7/y4=")</f>
        <v>#REF!</v>
      </c>
      <c r="AV42" t="e">
        <f>AND(#REF!,"AAAAAHP7/y8=")</f>
        <v>#REF!</v>
      </c>
      <c r="AW42" t="e">
        <f>AND(#REF!,"AAAAAHP7/zA=")</f>
        <v>#REF!</v>
      </c>
      <c r="AX42" t="e">
        <f>AND(#REF!,"AAAAAHP7/zE=")</f>
        <v>#REF!</v>
      </c>
      <c r="AY42" t="e">
        <f>AND(#REF!,"AAAAAHP7/zI=")</f>
        <v>#REF!</v>
      </c>
      <c r="AZ42" t="e">
        <f>AND(#REF!,"AAAAAHP7/zM=")</f>
        <v>#REF!</v>
      </c>
      <c r="BA42" t="e">
        <f>AND(#REF!,"AAAAAHP7/zQ=")</f>
        <v>#REF!</v>
      </c>
      <c r="BB42" t="e">
        <f>AND(#REF!,"AAAAAHP7/zU=")</f>
        <v>#REF!</v>
      </c>
      <c r="BC42" t="e">
        <f>AND(#REF!,"AAAAAHP7/zY=")</f>
        <v>#REF!</v>
      </c>
      <c r="BD42" t="e">
        <f>AND(#REF!,"AAAAAHP7/zc=")</f>
        <v>#REF!</v>
      </c>
      <c r="BE42" t="e">
        <f>AND(#REF!,"AAAAAHP7/zg=")</f>
        <v>#REF!</v>
      </c>
      <c r="BF42" t="e">
        <f>AND(#REF!,"AAAAAHP7/zk=")</f>
        <v>#REF!</v>
      </c>
      <c r="BG42" t="e">
        <f>AND(#REF!,"AAAAAHP7/zo=")</f>
        <v>#REF!</v>
      </c>
      <c r="BH42" t="e">
        <f>AND(#REF!,"AAAAAHP7/zs=")</f>
        <v>#REF!</v>
      </c>
      <c r="BI42" t="e">
        <f>AND(#REF!,"AAAAAHP7/zw=")</f>
        <v>#REF!</v>
      </c>
      <c r="BJ42" t="e">
        <f>AND(#REF!,"AAAAAHP7/z0=")</f>
        <v>#REF!</v>
      </c>
      <c r="BK42" t="e">
        <f>AND(#REF!,"AAAAAHP7/z4=")</f>
        <v>#REF!</v>
      </c>
      <c r="BL42" t="e">
        <f>AND(#REF!,"AAAAAHP7/z8=")</f>
        <v>#REF!</v>
      </c>
      <c r="BM42" t="e">
        <f>IF(#REF!,"AAAAAHP7/0A=",0)</f>
        <v>#REF!</v>
      </c>
      <c r="BN42" t="e">
        <f>AND(#REF!,"AAAAAHP7/0E=")</f>
        <v>#REF!</v>
      </c>
      <c r="BO42" t="e">
        <f>AND(#REF!,"AAAAAHP7/0I=")</f>
        <v>#REF!</v>
      </c>
      <c r="BP42" t="e">
        <f>AND(#REF!,"AAAAAHP7/0M=")</f>
        <v>#REF!</v>
      </c>
      <c r="BQ42" t="e">
        <f>AND(#REF!,"AAAAAHP7/0Q=")</f>
        <v>#REF!</v>
      </c>
      <c r="BR42" t="e">
        <f>AND(#REF!,"AAAAAHP7/0U=")</f>
        <v>#REF!</v>
      </c>
      <c r="BS42" t="e">
        <f>AND(#REF!,"AAAAAHP7/0Y=")</f>
        <v>#REF!</v>
      </c>
      <c r="BT42" t="e">
        <f>AND(#REF!,"AAAAAHP7/0c=")</f>
        <v>#REF!</v>
      </c>
      <c r="BU42" t="e">
        <f>AND(#REF!,"AAAAAHP7/0g=")</f>
        <v>#REF!</v>
      </c>
      <c r="BV42" t="e">
        <f>AND(#REF!,"AAAAAHP7/0k=")</f>
        <v>#REF!</v>
      </c>
      <c r="BW42" t="e">
        <f>AND(#REF!,"AAAAAHP7/0o=")</f>
        <v>#REF!</v>
      </c>
      <c r="BX42" t="e">
        <f>AND(#REF!,"AAAAAHP7/0s=")</f>
        <v>#REF!</v>
      </c>
      <c r="BY42" t="e">
        <f>AND(#REF!,"AAAAAHP7/0w=")</f>
        <v>#REF!</v>
      </c>
      <c r="BZ42" t="e">
        <f>AND(#REF!,"AAAAAHP7/00=")</f>
        <v>#REF!</v>
      </c>
      <c r="CA42" t="e">
        <f>AND(#REF!,"AAAAAHP7/04=")</f>
        <v>#REF!</v>
      </c>
      <c r="CB42" t="e">
        <f>AND(#REF!,"AAAAAHP7/08=")</f>
        <v>#REF!</v>
      </c>
      <c r="CC42" t="e">
        <f>AND(#REF!,"AAAAAHP7/1A=")</f>
        <v>#REF!</v>
      </c>
      <c r="CD42" t="e">
        <f>AND(#REF!,"AAAAAHP7/1E=")</f>
        <v>#REF!</v>
      </c>
      <c r="CE42" t="e">
        <f>AND(#REF!,"AAAAAHP7/1I=")</f>
        <v>#REF!</v>
      </c>
      <c r="CF42" t="e">
        <f>AND(#REF!,"AAAAAHP7/1M=")</f>
        <v>#REF!</v>
      </c>
      <c r="CG42" t="e">
        <f>AND(#REF!,"AAAAAHP7/1Q=")</f>
        <v>#REF!</v>
      </c>
      <c r="CH42" t="e">
        <f>AND(#REF!,"AAAAAHP7/1U=")</f>
        <v>#REF!</v>
      </c>
      <c r="CI42" t="e">
        <f>AND(#REF!,"AAAAAHP7/1Y=")</f>
        <v>#REF!</v>
      </c>
      <c r="CJ42" t="e">
        <f>AND(#REF!,"AAAAAHP7/1c=")</f>
        <v>#REF!</v>
      </c>
      <c r="CK42" t="e">
        <f>AND(#REF!,"AAAAAHP7/1g=")</f>
        <v>#REF!</v>
      </c>
      <c r="CL42" t="e">
        <f>AND(#REF!,"AAAAAHP7/1k=")</f>
        <v>#REF!</v>
      </c>
      <c r="CM42" t="e">
        <f>AND(#REF!,"AAAAAHP7/1o=")</f>
        <v>#REF!</v>
      </c>
      <c r="CN42" t="e">
        <f>AND(#REF!,"AAAAAHP7/1s=")</f>
        <v>#REF!</v>
      </c>
      <c r="CO42" t="e">
        <f>AND(#REF!,"AAAAAHP7/1w=")</f>
        <v>#REF!</v>
      </c>
      <c r="CP42" t="e">
        <f>AND(#REF!,"AAAAAHP7/10=")</f>
        <v>#REF!</v>
      </c>
      <c r="CQ42" t="e">
        <f>AND(#REF!,"AAAAAHP7/14=")</f>
        <v>#REF!</v>
      </c>
      <c r="CR42" t="e">
        <f>AND(#REF!,"AAAAAHP7/18=")</f>
        <v>#REF!</v>
      </c>
      <c r="CS42" t="e">
        <f>AND(#REF!,"AAAAAHP7/2A=")</f>
        <v>#REF!</v>
      </c>
      <c r="CT42" t="e">
        <f>AND(#REF!,"AAAAAHP7/2E=")</f>
        <v>#REF!</v>
      </c>
      <c r="CU42" t="e">
        <f>AND(#REF!,"AAAAAHP7/2I=")</f>
        <v>#REF!</v>
      </c>
      <c r="CV42" t="e">
        <f>AND(#REF!,"AAAAAHP7/2M=")</f>
        <v>#REF!</v>
      </c>
      <c r="CW42" t="e">
        <f>AND(#REF!,"AAAAAHP7/2Q=")</f>
        <v>#REF!</v>
      </c>
      <c r="CX42" t="e">
        <f>AND(#REF!,"AAAAAHP7/2U=")</f>
        <v>#REF!</v>
      </c>
      <c r="CY42" t="e">
        <f>AND(#REF!,"AAAAAHP7/2Y=")</f>
        <v>#REF!</v>
      </c>
      <c r="CZ42" t="e">
        <f>AND(#REF!,"AAAAAHP7/2c=")</f>
        <v>#REF!</v>
      </c>
      <c r="DA42" t="e">
        <f>AND(#REF!,"AAAAAHP7/2g=")</f>
        <v>#REF!</v>
      </c>
      <c r="DB42" t="e">
        <f>AND(#REF!,"AAAAAHP7/2k=")</f>
        <v>#REF!</v>
      </c>
      <c r="DC42" t="e">
        <f>AND(#REF!,"AAAAAHP7/2o=")</f>
        <v>#REF!</v>
      </c>
      <c r="DD42" t="e">
        <f>AND(#REF!,"AAAAAHP7/2s=")</f>
        <v>#REF!</v>
      </c>
      <c r="DE42" t="e">
        <f>IF(#REF!,"AAAAAHP7/2w=",0)</f>
        <v>#REF!</v>
      </c>
      <c r="DF42" t="e">
        <f>AND(#REF!,"AAAAAHP7/20=")</f>
        <v>#REF!</v>
      </c>
      <c r="DG42" t="e">
        <f>AND(#REF!,"AAAAAHP7/24=")</f>
        <v>#REF!</v>
      </c>
      <c r="DH42" t="e">
        <f>AND(#REF!,"AAAAAHP7/28=")</f>
        <v>#REF!</v>
      </c>
      <c r="DI42" t="e">
        <f>AND(#REF!,"AAAAAHP7/3A=")</f>
        <v>#REF!</v>
      </c>
      <c r="DJ42" t="e">
        <f>AND(#REF!,"AAAAAHP7/3E=")</f>
        <v>#REF!</v>
      </c>
      <c r="DK42" t="e">
        <f>AND(#REF!,"AAAAAHP7/3I=")</f>
        <v>#REF!</v>
      </c>
      <c r="DL42" t="e">
        <f>AND(#REF!,"AAAAAHP7/3M=")</f>
        <v>#REF!</v>
      </c>
      <c r="DM42" t="e">
        <f>AND(#REF!,"AAAAAHP7/3Q=")</f>
        <v>#REF!</v>
      </c>
      <c r="DN42" t="e">
        <f>AND(#REF!,"AAAAAHP7/3U=")</f>
        <v>#REF!</v>
      </c>
      <c r="DO42" t="e">
        <f>AND(#REF!,"AAAAAHP7/3Y=")</f>
        <v>#REF!</v>
      </c>
      <c r="DP42" t="e">
        <f>AND(#REF!,"AAAAAHP7/3c=")</f>
        <v>#REF!</v>
      </c>
      <c r="DQ42" t="e">
        <f>AND(#REF!,"AAAAAHP7/3g=")</f>
        <v>#REF!</v>
      </c>
      <c r="DR42" t="e">
        <f>AND(#REF!,"AAAAAHP7/3k=")</f>
        <v>#REF!</v>
      </c>
      <c r="DS42" t="e">
        <f>AND(#REF!,"AAAAAHP7/3o=")</f>
        <v>#REF!</v>
      </c>
      <c r="DT42" t="e">
        <f>AND(#REF!,"AAAAAHP7/3s=")</f>
        <v>#REF!</v>
      </c>
      <c r="DU42" t="e">
        <f>AND(#REF!,"AAAAAHP7/3w=")</f>
        <v>#REF!</v>
      </c>
      <c r="DV42" t="e">
        <f>AND(#REF!,"AAAAAHP7/30=")</f>
        <v>#REF!</v>
      </c>
      <c r="DW42" t="e">
        <f>AND(#REF!,"AAAAAHP7/34=")</f>
        <v>#REF!</v>
      </c>
      <c r="DX42" t="e">
        <f>AND(#REF!,"AAAAAHP7/38=")</f>
        <v>#REF!</v>
      </c>
      <c r="DY42" t="e">
        <f>AND(#REF!,"AAAAAHP7/4A=")</f>
        <v>#REF!</v>
      </c>
      <c r="DZ42" t="e">
        <f>AND(#REF!,"AAAAAHP7/4E=")</f>
        <v>#REF!</v>
      </c>
      <c r="EA42" t="e">
        <f>AND(#REF!,"AAAAAHP7/4I=")</f>
        <v>#REF!</v>
      </c>
      <c r="EB42" t="e">
        <f>AND(#REF!,"AAAAAHP7/4M=")</f>
        <v>#REF!</v>
      </c>
      <c r="EC42" t="e">
        <f>AND(#REF!,"AAAAAHP7/4Q=")</f>
        <v>#REF!</v>
      </c>
      <c r="ED42" t="e">
        <f>AND(#REF!,"AAAAAHP7/4U=")</f>
        <v>#REF!</v>
      </c>
      <c r="EE42" t="e">
        <f>AND(#REF!,"AAAAAHP7/4Y=")</f>
        <v>#REF!</v>
      </c>
      <c r="EF42" t="e">
        <f>AND(#REF!,"AAAAAHP7/4c=")</f>
        <v>#REF!</v>
      </c>
      <c r="EG42" t="e">
        <f>AND(#REF!,"AAAAAHP7/4g=")</f>
        <v>#REF!</v>
      </c>
      <c r="EH42" t="e">
        <f>AND(#REF!,"AAAAAHP7/4k=")</f>
        <v>#REF!</v>
      </c>
      <c r="EI42" t="e">
        <f>AND(#REF!,"AAAAAHP7/4o=")</f>
        <v>#REF!</v>
      </c>
      <c r="EJ42" t="e">
        <f>AND(#REF!,"AAAAAHP7/4s=")</f>
        <v>#REF!</v>
      </c>
      <c r="EK42" t="e">
        <f>AND(#REF!,"AAAAAHP7/4w=")</f>
        <v>#REF!</v>
      </c>
      <c r="EL42" t="e">
        <f>AND(#REF!,"AAAAAHP7/40=")</f>
        <v>#REF!</v>
      </c>
      <c r="EM42" t="e">
        <f>AND(#REF!,"AAAAAHP7/44=")</f>
        <v>#REF!</v>
      </c>
      <c r="EN42" t="e">
        <f>AND(#REF!,"AAAAAHP7/48=")</f>
        <v>#REF!</v>
      </c>
      <c r="EO42" t="e">
        <f>AND(#REF!,"AAAAAHP7/5A=")</f>
        <v>#REF!</v>
      </c>
      <c r="EP42" t="e">
        <f>AND(#REF!,"AAAAAHP7/5E=")</f>
        <v>#REF!</v>
      </c>
      <c r="EQ42" t="e">
        <f>AND(#REF!,"AAAAAHP7/5I=")</f>
        <v>#REF!</v>
      </c>
      <c r="ER42" t="e">
        <f>AND(#REF!,"AAAAAHP7/5M=")</f>
        <v>#REF!</v>
      </c>
      <c r="ES42" t="e">
        <f>AND(#REF!,"AAAAAHP7/5Q=")</f>
        <v>#REF!</v>
      </c>
      <c r="ET42" t="e">
        <f>AND(#REF!,"AAAAAHP7/5U=")</f>
        <v>#REF!</v>
      </c>
      <c r="EU42" t="e">
        <f>AND(#REF!,"AAAAAHP7/5Y=")</f>
        <v>#REF!</v>
      </c>
      <c r="EV42" t="e">
        <f>AND(#REF!,"AAAAAHP7/5c=")</f>
        <v>#REF!</v>
      </c>
      <c r="EW42" t="e">
        <f>IF(#REF!,"AAAAAHP7/5g=",0)</f>
        <v>#REF!</v>
      </c>
      <c r="EX42" t="e">
        <f>AND(#REF!,"AAAAAHP7/5k=")</f>
        <v>#REF!</v>
      </c>
      <c r="EY42" t="e">
        <f>AND(#REF!,"AAAAAHP7/5o=")</f>
        <v>#REF!</v>
      </c>
      <c r="EZ42" t="e">
        <f>AND(#REF!,"AAAAAHP7/5s=")</f>
        <v>#REF!</v>
      </c>
      <c r="FA42" t="e">
        <f>AND(#REF!,"AAAAAHP7/5w=")</f>
        <v>#REF!</v>
      </c>
      <c r="FB42" t="e">
        <f>AND(#REF!,"AAAAAHP7/50=")</f>
        <v>#REF!</v>
      </c>
      <c r="FC42" t="e">
        <f>AND(#REF!,"AAAAAHP7/54=")</f>
        <v>#REF!</v>
      </c>
      <c r="FD42" t="e">
        <f>AND(#REF!,"AAAAAHP7/58=")</f>
        <v>#REF!</v>
      </c>
      <c r="FE42" t="e">
        <f>AND(#REF!,"AAAAAHP7/6A=")</f>
        <v>#REF!</v>
      </c>
      <c r="FF42" t="e">
        <f>AND(#REF!,"AAAAAHP7/6E=")</f>
        <v>#REF!</v>
      </c>
      <c r="FG42" t="e">
        <f>AND(#REF!,"AAAAAHP7/6I=")</f>
        <v>#REF!</v>
      </c>
      <c r="FH42" t="e">
        <f>AND(#REF!,"AAAAAHP7/6M=")</f>
        <v>#REF!</v>
      </c>
      <c r="FI42" t="e">
        <f>AND(#REF!,"AAAAAHP7/6Q=")</f>
        <v>#REF!</v>
      </c>
      <c r="FJ42" t="e">
        <f>AND(#REF!,"AAAAAHP7/6U=")</f>
        <v>#REF!</v>
      </c>
      <c r="FK42" t="e">
        <f>AND(#REF!,"AAAAAHP7/6Y=")</f>
        <v>#REF!</v>
      </c>
      <c r="FL42" t="e">
        <f>AND(#REF!,"AAAAAHP7/6c=")</f>
        <v>#REF!</v>
      </c>
      <c r="FM42" t="e">
        <f>AND(#REF!,"AAAAAHP7/6g=")</f>
        <v>#REF!</v>
      </c>
      <c r="FN42" t="e">
        <f>AND(#REF!,"AAAAAHP7/6k=")</f>
        <v>#REF!</v>
      </c>
      <c r="FO42" t="e">
        <f>AND(#REF!,"AAAAAHP7/6o=")</f>
        <v>#REF!</v>
      </c>
      <c r="FP42" t="e">
        <f>AND(#REF!,"AAAAAHP7/6s=")</f>
        <v>#REF!</v>
      </c>
      <c r="FQ42" t="e">
        <f>AND(#REF!,"AAAAAHP7/6w=")</f>
        <v>#REF!</v>
      </c>
      <c r="FR42" t="e">
        <f>AND(#REF!,"AAAAAHP7/60=")</f>
        <v>#REF!</v>
      </c>
      <c r="FS42" t="e">
        <f>AND(#REF!,"AAAAAHP7/64=")</f>
        <v>#REF!</v>
      </c>
      <c r="FT42" t="e">
        <f>AND(#REF!,"AAAAAHP7/68=")</f>
        <v>#REF!</v>
      </c>
      <c r="FU42" t="e">
        <f>AND(#REF!,"AAAAAHP7/7A=")</f>
        <v>#REF!</v>
      </c>
      <c r="FV42" t="e">
        <f>AND(#REF!,"AAAAAHP7/7E=")</f>
        <v>#REF!</v>
      </c>
      <c r="FW42" t="e">
        <f>AND(#REF!,"AAAAAHP7/7I=")</f>
        <v>#REF!</v>
      </c>
      <c r="FX42" t="e">
        <f>AND(#REF!,"AAAAAHP7/7M=")</f>
        <v>#REF!</v>
      </c>
      <c r="FY42" t="e">
        <f>AND(#REF!,"AAAAAHP7/7Q=")</f>
        <v>#REF!</v>
      </c>
      <c r="FZ42" t="e">
        <f>AND(#REF!,"AAAAAHP7/7U=")</f>
        <v>#REF!</v>
      </c>
      <c r="GA42" t="e">
        <f>AND(#REF!,"AAAAAHP7/7Y=")</f>
        <v>#REF!</v>
      </c>
      <c r="GB42" t="e">
        <f>AND(#REF!,"AAAAAHP7/7c=")</f>
        <v>#REF!</v>
      </c>
      <c r="GC42" t="e">
        <f>AND(#REF!,"AAAAAHP7/7g=")</f>
        <v>#REF!</v>
      </c>
      <c r="GD42" t="e">
        <f>AND(#REF!,"AAAAAHP7/7k=")</f>
        <v>#REF!</v>
      </c>
      <c r="GE42" t="e">
        <f>AND(#REF!,"AAAAAHP7/7o=")</f>
        <v>#REF!</v>
      </c>
      <c r="GF42" t="e">
        <f>AND(#REF!,"AAAAAHP7/7s=")</f>
        <v>#REF!</v>
      </c>
      <c r="GG42" t="e">
        <f>AND(#REF!,"AAAAAHP7/7w=")</f>
        <v>#REF!</v>
      </c>
      <c r="GH42" t="e">
        <f>AND(#REF!,"AAAAAHP7/70=")</f>
        <v>#REF!</v>
      </c>
      <c r="GI42" t="e">
        <f>AND(#REF!,"AAAAAHP7/74=")</f>
        <v>#REF!</v>
      </c>
      <c r="GJ42" t="e">
        <f>AND(#REF!,"AAAAAHP7/78=")</f>
        <v>#REF!</v>
      </c>
      <c r="GK42" t="e">
        <f>AND(#REF!,"AAAAAHP7/8A=")</f>
        <v>#REF!</v>
      </c>
      <c r="GL42" t="e">
        <f>AND(#REF!,"AAAAAHP7/8E=")</f>
        <v>#REF!</v>
      </c>
      <c r="GM42" t="e">
        <f>AND(#REF!,"AAAAAHP7/8I=")</f>
        <v>#REF!</v>
      </c>
      <c r="GN42" t="e">
        <f>AND(#REF!,"AAAAAHP7/8M=")</f>
        <v>#REF!</v>
      </c>
      <c r="GO42" t="e">
        <f>IF(#REF!,"AAAAAHP7/8Q=",0)</f>
        <v>#REF!</v>
      </c>
      <c r="GP42" t="e">
        <f>AND(#REF!,"AAAAAHP7/8U=")</f>
        <v>#REF!</v>
      </c>
      <c r="GQ42" t="e">
        <f>AND(#REF!,"AAAAAHP7/8Y=")</f>
        <v>#REF!</v>
      </c>
      <c r="GR42" t="e">
        <f>AND(#REF!,"AAAAAHP7/8c=")</f>
        <v>#REF!</v>
      </c>
      <c r="GS42" t="e">
        <f>AND(#REF!,"AAAAAHP7/8g=")</f>
        <v>#REF!</v>
      </c>
      <c r="GT42" t="e">
        <f>AND(#REF!,"AAAAAHP7/8k=")</f>
        <v>#REF!</v>
      </c>
      <c r="GU42" t="e">
        <f>AND(#REF!,"AAAAAHP7/8o=")</f>
        <v>#REF!</v>
      </c>
      <c r="GV42" t="e">
        <f>AND(#REF!,"AAAAAHP7/8s=")</f>
        <v>#REF!</v>
      </c>
      <c r="GW42" t="e">
        <f>AND(#REF!,"AAAAAHP7/8w=")</f>
        <v>#REF!</v>
      </c>
      <c r="GX42" t="e">
        <f>AND(#REF!,"AAAAAHP7/80=")</f>
        <v>#REF!</v>
      </c>
      <c r="GY42" t="e">
        <f>AND(#REF!,"AAAAAHP7/84=")</f>
        <v>#REF!</v>
      </c>
      <c r="GZ42" t="e">
        <f>AND(#REF!,"AAAAAHP7/88=")</f>
        <v>#REF!</v>
      </c>
      <c r="HA42" t="e">
        <f>AND(#REF!,"AAAAAHP7/9A=")</f>
        <v>#REF!</v>
      </c>
      <c r="HB42" t="e">
        <f>AND(#REF!,"AAAAAHP7/9E=")</f>
        <v>#REF!</v>
      </c>
      <c r="HC42" t="e">
        <f>AND(#REF!,"AAAAAHP7/9I=")</f>
        <v>#REF!</v>
      </c>
      <c r="HD42" t="e">
        <f>AND(#REF!,"AAAAAHP7/9M=")</f>
        <v>#REF!</v>
      </c>
      <c r="HE42" t="e">
        <f>AND(#REF!,"AAAAAHP7/9Q=")</f>
        <v>#REF!</v>
      </c>
      <c r="HF42" t="e">
        <f>AND(#REF!,"AAAAAHP7/9U=")</f>
        <v>#REF!</v>
      </c>
      <c r="HG42" t="e">
        <f>AND(#REF!,"AAAAAHP7/9Y=")</f>
        <v>#REF!</v>
      </c>
      <c r="HH42" t="e">
        <f>AND(#REF!,"AAAAAHP7/9c=")</f>
        <v>#REF!</v>
      </c>
      <c r="HI42" t="e">
        <f>AND(#REF!,"AAAAAHP7/9g=")</f>
        <v>#REF!</v>
      </c>
      <c r="HJ42" t="e">
        <f>AND(#REF!,"AAAAAHP7/9k=")</f>
        <v>#REF!</v>
      </c>
      <c r="HK42" t="e">
        <f>AND(#REF!,"AAAAAHP7/9o=")</f>
        <v>#REF!</v>
      </c>
      <c r="HL42" t="e">
        <f>AND(#REF!,"AAAAAHP7/9s=")</f>
        <v>#REF!</v>
      </c>
      <c r="HM42" t="e">
        <f>AND(#REF!,"AAAAAHP7/9w=")</f>
        <v>#REF!</v>
      </c>
      <c r="HN42" t="e">
        <f>AND(#REF!,"AAAAAHP7/90=")</f>
        <v>#REF!</v>
      </c>
      <c r="HO42" t="e">
        <f>AND(#REF!,"AAAAAHP7/94=")</f>
        <v>#REF!</v>
      </c>
      <c r="HP42" t="e">
        <f>AND(#REF!,"AAAAAHP7/98=")</f>
        <v>#REF!</v>
      </c>
      <c r="HQ42" t="e">
        <f>AND(#REF!,"AAAAAHP7/+A=")</f>
        <v>#REF!</v>
      </c>
      <c r="HR42" t="e">
        <f>AND(#REF!,"AAAAAHP7/+E=")</f>
        <v>#REF!</v>
      </c>
      <c r="HS42" t="e">
        <f>AND(#REF!,"AAAAAHP7/+I=")</f>
        <v>#REF!</v>
      </c>
      <c r="HT42" t="e">
        <f>AND(#REF!,"AAAAAHP7/+M=")</f>
        <v>#REF!</v>
      </c>
      <c r="HU42" t="e">
        <f>AND(#REF!,"AAAAAHP7/+Q=")</f>
        <v>#REF!</v>
      </c>
      <c r="HV42" t="e">
        <f>AND(#REF!,"AAAAAHP7/+U=")</f>
        <v>#REF!</v>
      </c>
      <c r="HW42" t="e">
        <f>AND(#REF!,"AAAAAHP7/+Y=")</f>
        <v>#REF!</v>
      </c>
      <c r="HX42" t="e">
        <f>AND(#REF!,"AAAAAHP7/+c=")</f>
        <v>#REF!</v>
      </c>
      <c r="HY42" t="e">
        <f>AND(#REF!,"AAAAAHP7/+g=")</f>
        <v>#REF!</v>
      </c>
      <c r="HZ42" t="e">
        <f>AND(#REF!,"AAAAAHP7/+k=")</f>
        <v>#REF!</v>
      </c>
      <c r="IA42" t="e">
        <f>AND(#REF!,"AAAAAHP7/+o=")</f>
        <v>#REF!</v>
      </c>
      <c r="IB42" t="e">
        <f>AND(#REF!,"AAAAAHP7/+s=")</f>
        <v>#REF!</v>
      </c>
      <c r="IC42" t="e">
        <f>AND(#REF!,"AAAAAHP7/+w=")</f>
        <v>#REF!</v>
      </c>
      <c r="ID42" t="e">
        <f>AND(#REF!,"AAAAAHP7/+0=")</f>
        <v>#REF!</v>
      </c>
      <c r="IE42" t="e">
        <f>AND(#REF!,"AAAAAHP7/+4=")</f>
        <v>#REF!</v>
      </c>
      <c r="IF42" t="e">
        <f>AND(#REF!,"AAAAAHP7/+8=")</f>
        <v>#REF!</v>
      </c>
      <c r="IG42" t="e">
        <f>IF(#REF!,"AAAAAHP7//A=",0)</f>
        <v>#REF!</v>
      </c>
      <c r="IH42" t="e">
        <f>AND(#REF!,"AAAAAHP7//E=")</f>
        <v>#REF!</v>
      </c>
      <c r="II42" t="e">
        <f>AND(#REF!,"AAAAAHP7//I=")</f>
        <v>#REF!</v>
      </c>
      <c r="IJ42" t="e">
        <f>AND(#REF!,"AAAAAHP7//M=")</f>
        <v>#REF!</v>
      </c>
      <c r="IK42" t="e">
        <f>AND(#REF!,"AAAAAHP7//Q=")</f>
        <v>#REF!</v>
      </c>
      <c r="IL42" t="e">
        <f>AND(#REF!,"AAAAAHP7//U=")</f>
        <v>#REF!</v>
      </c>
      <c r="IM42" t="e">
        <f>AND(#REF!,"AAAAAHP7//Y=")</f>
        <v>#REF!</v>
      </c>
      <c r="IN42" t="e">
        <f>AND(#REF!,"AAAAAHP7//c=")</f>
        <v>#REF!</v>
      </c>
      <c r="IO42" t="e">
        <f>AND(#REF!,"AAAAAHP7//g=")</f>
        <v>#REF!</v>
      </c>
      <c r="IP42" t="e">
        <f>AND(#REF!,"AAAAAHP7//k=")</f>
        <v>#REF!</v>
      </c>
      <c r="IQ42" t="e">
        <f>AND(#REF!,"AAAAAHP7//o=")</f>
        <v>#REF!</v>
      </c>
      <c r="IR42" t="e">
        <f>AND(#REF!,"AAAAAHP7//s=")</f>
        <v>#REF!</v>
      </c>
      <c r="IS42" t="e">
        <f>AND(#REF!,"AAAAAHP7//w=")</f>
        <v>#REF!</v>
      </c>
      <c r="IT42" t="e">
        <f>AND(#REF!,"AAAAAHP7//0=")</f>
        <v>#REF!</v>
      </c>
      <c r="IU42" t="e">
        <f>AND(#REF!,"AAAAAHP7//4=")</f>
        <v>#REF!</v>
      </c>
      <c r="IV42" t="e">
        <f>AND(#REF!,"AAAAAHP7//8=")</f>
        <v>#REF!</v>
      </c>
    </row>
    <row r="43" spans="1:256" x14ac:dyDescent="0.25">
      <c r="A43" t="e">
        <f>AND(#REF!,"AAAAAC80/wA=")</f>
        <v>#REF!</v>
      </c>
      <c r="B43" t="e">
        <f>AND(#REF!,"AAAAAC80/wE=")</f>
        <v>#REF!</v>
      </c>
      <c r="C43" t="e">
        <f>AND(#REF!,"AAAAAC80/wI=")</f>
        <v>#REF!</v>
      </c>
      <c r="D43" t="e">
        <f>AND(#REF!,"AAAAAC80/wM=")</f>
        <v>#REF!</v>
      </c>
      <c r="E43" t="e">
        <f>AND(#REF!,"AAAAAC80/wQ=")</f>
        <v>#REF!</v>
      </c>
      <c r="F43" t="e">
        <f>AND(#REF!,"AAAAAC80/wU=")</f>
        <v>#REF!</v>
      </c>
      <c r="G43" t="e">
        <f>AND(#REF!,"AAAAAC80/wY=")</f>
        <v>#REF!</v>
      </c>
      <c r="H43" t="e">
        <f>AND(#REF!,"AAAAAC80/wc=")</f>
        <v>#REF!</v>
      </c>
      <c r="I43" t="e">
        <f>AND(#REF!,"AAAAAC80/wg=")</f>
        <v>#REF!</v>
      </c>
      <c r="J43" t="e">
        <f>AND(#REF!,"AAAAAC80/wk=")</f>
        <v>#REF!</v>
      </c>
      <c r="K43" t="e">
        <f>AND(#REF!,"AAAAAC80/wo=")</f>
        <v>#REF!</v>
      </c>
      <c r="L43" t="e">
        <f>AND(#REF!,"AAAAAC80/ws=")</f>
        <v>#REF!</v>
      </c>
      <c r="M43" t="e">
        <f>AND(#REF!,"AAAAAC80/ww=")</f>
        <v>#REF!</v>
      </c>
      <c r="N43" t="e">
        <f>AND(#REF!,"AAAAAC80/w0=")</f>
        <v>#REF!</v>
      </c>
      <c r="O43" t="e">
        <f>AND(#REF!,"AAAAAC80/w4=")</f>
        <v>#REF!</v>
      </c>
      <c r="P43" t="e">
        <f>AND(#REF!,"AAAAAC80/w8=")</f>
        <v>#REF!</v>
      </c>
      <c r="Q43" t="e">
        <f>AND(#REF!,"AAAAAC80/xA=")</f>
        <v>#REF!</v>
      </c>
      <c r="R43" t="e">
        <f>AND(#REF!,"AAAAAC80/xE=")</f>
        <v>#REF!</v>
      </c>
      <c r="S43" t="e">
        <f>AND(#REF!,"AAAAAC80/xI=")</f>
        <v>#REF!</v>
      </c>
      <c r="T43" t="e">
        <f>AND(#REF!,"AAAAAC80/xM=")</f>
        <v>#REF!</v>
      </c>
      <c r="U43" t="e">
        <f>AND(#REF!,"AAAAAC80/xQ=")</f>
        <v>#REF!</v>
      </c>
      <c r="V43" t="e">
        <f>AND(#REF!,"AAAAAC80/xU=")</f>
        <v>#REF!</v>
      </c>
      <c r="W43" t="e">
        <f>AND(#REF!,"AAAAAC80/xY=")</f>
        <v>#REF!</v>
      </c>
      <c r="X43" t="e">
        <f>AND(#REF!,"AAAAAC80/xc=")</f>
        <v>#REF!</v>
      </c>
      <c r="Y43" t="e">
        <f>AND(#REF!,"AAAAAC80/xg=")</f>
        <v>#REF!</v>
      </c>
      <c r="Z43" t="e">
        <f>AND(#REF!,"AAAAAC80/xk=")</f>
        <v>#REF!</v>
      </c>
      <c r="AA43" t="e">
        <f>AND(#REF!,"AAAAAC80/xo=")</f>
        <v>#REF!</v>
      </c>
      <c r="AB43" t="e">
        <f>AND(#REF!,"AAAAAC80/xs=")</f>
        <v>#REF!</v>
      </c>
      <c r="AC43" t="e">
        <f>IF(#REF!,"AAAAAC80/xw=",0)</f>
        <v>#REF!</v>
      </c>
      <c r="AD43" t="e">
        <f>AND(#REF!,"AAAAAC80/x0=")</f>
        <v>#REF!</v>
      </c>
      <c r="AE43" t="e">
        <f>AND(#REF!,"AAAAAC80/x4=")</f>
        <v>#REF!</v>
      </c>
      <c r="AF43" t="e">
        <f>AND(#REF!,"AAAAAC80/x8=")</f>
        <v>#REF!</v>
      </c>
      <c r="AG43" t="e">
        <f>AND(#REF!,"AAAAAC80/yA=")</f>
        <v>#REF!</v>
      </c>
      <c r="AH43" t="e">
        <f>AND(#REF!,"AAAAAC80/yE=")</f>
        <v>#REF!</v>
      </c>
      <c r="AI43" t="e">
        <f>AND(#REF!,"AAAAAC80/yI=")</f>
        <v>#REF!</v>
      </c>
      <c r="AJ43" t="e">
        <f>AND(#REF!,"AAAAAC80/yM=")</f>
        <v>#REF!</v>
      </c>
      <c r="AK43" t="e">
        <f>AND(#REF!,"AAAAAC80/yQ=")</f>
        <v>#REF!</v>
      </c>
      <c r="AL43" t="e">
        <f>AND(#REF!,"AAAAAC80/yU=")</f>
        <v>#REF!</v>
      </c>
      <c r="AM43" t="e">
        <f>AND(#REF!,"AAAAAC80/yY=")</f>
        <v>#REF!</v>
      </c>
      <c r="AN43" t="e">
        <f>AND(#REF!,"AAAAAC80/yc=")</f>
        <v>#REF!</v>
      </c>
      <c r="AO43" t="e">
        <f>AND(#REF!,"AAAAAC80/yg=")</f>
        <v>#REF!</v>
      </c>
      <c r="AP43" t="e">
        <f>AND(#REF!,"AAAAAC80/yk=")</f>
        <v>#REF!</v>
      </c>
      <c r="AQ43" t="e">
        <f>AND(#REF!,"AAAAAC80/yo=")</f>
        <v>#REF!</v>
      </c>
      <c r="AR43" t="e">
        <f>AND(#REF!,"AAAAAC80/ys=")</f>
        <v>#REF!</v>
      </c>
      <c r="AS43" t="e">
        <f>AND(#REF!,"AAAAAC80/yw=")</f>
        <v>#REF!</v>
      </c>
      <c r="AT43" t="e">
        <f>AND(#REF!,"AAAAAC80/y0=")</f>
        <v>#REF!</v>
      </c>
      <c r="AU43" t="e">
        <f>AND(#REF!,"AAAAAC80/y4=")</f>
        <v>#REF!</v>
      </c>
      <c r="AV43" t="e">
        <f>AND(#REF!,"AAAAAC80/y8=")</f>
        <v>#REF!</v>
      </c>
      <c r="AW43" t="e">
        <f>AND(#REF!,"AAAAAC80/zA=")</f>
        <v>#REF!</v>
      </c>
      <c r="AX43" t="e">
        <f>AND(#REF!,"AAAAAC80/zE=")</f>
        <v>#REF!</v>
      </c>
      <c r="AY43" t="e">
        <f>AND(#REF!,"AAAAAC80/zI=")</f>
        <v>#REF!</v>
      </c>
      <c r="AZ43" t="e">
        <f>AND(#REF!,"AAAAAC80/zM=")</f>
        <v>#REF!</v>
      </c>
      <c r="BA43" t="e">
        <f>AND(#REF!,"AAAAAC80/zQ=")</f>
        <v>#REF!</v>
      </c>
      <c r="BB43" t="e">
        <f>AND(#REF!,"AAAAAC80/zU=")</f>
        <v>#REF!</v>
      </c>
      <c r="BC43" t="e">
        <f>AND(#REF!,"AAAAAC80/zY=")</f>
        <v>#REF!</v>
      </c>
      <c r="BD43" t="e">
        <f>AND(#REF!,"AAAAAC80/zc=")</f>
        <v>#REF!</v>
      </c>
      <c r="BE43" t="e">
        <f>AND(#REF!,"AAAAAC80/zg=")</f>
        <v>#REF!</v>
      </c>
      <c r="BF43" t="e">
        <f>AND(#REF!,"AAAAAC80/zk=")</f>
        <v>#REF!</v>
      </c>
      <c r="BG43" t="e">
        <f>AND(#REF!,"AAAAAC80/zo=")</f>
        <v>#REF!</v>
      </c>
      <c r="BH43" t="e">
        <f>AND(#REF!,"AAAAAC80/zs=")</f>
        <v>#REF!</v>
      </c>
      <c r="BI43" t="e">
        <f>AND(#REF!,"AAAAAC80/zw=")</f>
        <v>#REF!</v>
      </c>
      <c r="BJ43" t="e">
        <f>AND(#REF!,"AAAAAC80/z0=")</f>
        <v>#REF!</v>
      </c>
      <c r="BK43" t="e">
        <f>AND(#REF!,"AAAAAC80/z4=")</f>
        <v>#REF!</v>
      </c>
      <c r="BL43" t="e">
        <f>AND(#REF!,"AAAAAC80/z8=")</f>
        <v>#REF!</v>
      </c>
      <c r="BM43" t="e">
        <f>AND(#REF!,"AAAAAC80/0A=")</f>
        <v>#REF!</v>
      </c>
      <c r="BN43" t="e">
        <f>AND(#REF!,"AAAAAC80/0E=")</f>
        <v>#REF!</v>
      </c>
      <c r="BO43" t="e">
        <f>AND(#REF!,"AAAAAC80/0I=")</f>
        <v>#REF!</v>
      </c>
      <c r="BP43" t="e">
        <f>AND(#REF!,"AAAAAC80/0M=")</f>
        <v>#REF!</v>
      </c>
      <c r="BQ43" t="e">
        <f>AND(#REF!,"AAAAAC80/0Q=")</f>
        <v>#REF!</v>
      </c>
      <c r="BR43" t="e">
        <f>AND(#REF!,"AAAAAC80/0U=")</f>
        <v>#REF!</v>
      </c>
      <c r="BS43" t="e">
        <f>AND(#REF!,"AAAAAC80/0Y=")</f>
        <v>#REF!</v>
      </c>
      <c r="BT43" t="e">
        <f>AND(#REF!,"AAAAAC80/0c=")</f>
        <v>#REF!</v>
      </c>
      <c r="BU43" t="e">
        <f>IF(#REF!,"AAAAAC80/0g=",0)</f>
        <v>#REF!</v>
      </c>
      <c r="BV43" t="e">
        <f>AND(#REF!,"AAAAAC80/0k=")</f>
        <v>#REF!</v>
      </c>
      <c r="BW43" t="e">
        <f>AND(#REF!,"AAAAAC80/0o=")</f>
        <v>#REF!</v>
      </c>
      <c r="BX43" t="e">
        <f>AND(#REF!,"AAAAAC80/0s=")</f>
        <v>#REF!</v>
      </c>
      <c r="BY43" t="e">
        <f>AND(#REF!,"AAAAAC80/0w=")</f>
        <v>#REF!</v>
      </c>
      <c r="BZ43" t="e">
        <f>AND(#REF!,"AAAAAC80/00=")</f>
        <v>#REF!</v>
      </c>
      <c r="CA43" t="e">
        <f>AND(#REF!,"AAAAAC80/04=")</f>
        <v>#REF!</v>
      </c>
      <c r="CB43" t="e">
        <f>AND(#REF!,"AAAAAC80/08=")</f>
        <v>#REF!</v>
      </c>
      <c r="CC43" t="e">
        <f>AND(#REF!,"AAAAAC80/1A=")</f>
        <v>#REF!</v>
      </c>
      <c r="CD43" t="e">
        <f>AND(#REF!,"AAAAAC80/1E=")</f>
        <v>#REF!</v>
      </c>
      <c r="CE43" t="e">
        <f>AND(#REF!,"AAAAAC80/1I=")</f>
        <v>#REF!</v>
      </c>
      <c r="CF43" t="e">
        <f>AND(#REF!,"AAAAAC80/1M=")</f>
        <v>#REF!</v>
      </c>
      <c r="CG43" t="e">
        <f>AND(#REF!,"AAAAAC80/1Q=")</f>
        <v>#REF!</v>
      </c>
      <c r="CH43" t="e">
        <f>AND(#REF!,"AAAAAC80/1U=")</f>
        <v>#REF!</v>
      </c>
      <c r="CI43" t="e">
        <f>AND(#REF!,"AAAAAC80/1Y=")</f>
        <v>#REF!</v>
      </c>
      <c r="CJ43" t="e">
        <f>AND(#REF!,"AAAAAC80/1c=")</f>
        <v>#REF!</v>
      </c>
      <c r="CK43" t="e">
        <f>AND(#REF!,"AAAAAC80/1g=")</f>
        <v>#REF!</v>
      </c>
      <c r="CL43" t="e">
        <f>AND(#REF!,"AAAAAC80/1k=")</f>
        <v>#REF!</v>
      </c>
      <c r="CM43" t="e">
        <f>AND(#REF!,"AAAAAC80/1o=")</f>
        <v>#REF!</v>
      </c>
      <c r="CN43" t="e">
        <f>AND(#REF!,"AAAAAC80/1s=")</f>
        <v>#REF!</v>
      </c>
      <c r="CO43" t="e">
        <f>AND(#REF!,"AAAAAC80/1w=")</f>
        <v>#REF!</v>
      </c>
      <c r="CP43" t="e">
        <f>AND(#REF!,"AAAAAC80/10=")</f>
        <v>#REF!</v>
      </c>
      <c r="CQ43" t="e">
        <f>AND(#REF!,"AAAAAC80/14=")</f>
        <v>#REF!</v>
      </c>
      <c r="CR43" t="e">
        <f>AND(#REF!,"AAAAAC80/18=")</f>
        <v>#REF!</v>
      </c>
      <c r="CS43" t="e">
        <f>AND(#REF!,"AAAAAC80/2A=")</f>
        <v>#REF!</v>
      </c>
      <c r="CT43" t="e">
        <f>AND(#REF!,"AAAAAC80/2E=")</f>
        <v>#REF!</v>
      </c>
      <c r="CU43" t="e">
        <f>AND(#REF!,"AAAAAC80/2I=")</f>
        <v>#REF!</v>
      </c>
      <c r="CV43" t="e">
        <f>AND(#REF!,"AAAAAC80/2M=")</f>
        <v>#REF!</v>
      </c>
      <c r="CW43" t="e">
        <f>AND(#REF!,"AAAAAC80/2Q=")</f>
        <v>#REF!</v>
      </c>
      <c r="CX43" t="e">
        <f>AND(#REF!,"AAAAAC80/2U=")</f>
        <v>#REF!</v>
      </c>
      <c r="CY43" t="e">
        <f>AND(#REF!,"AAAAAC80/2Y=")</f>
        <v>#REF!</v>
      </c>
      <c r="CZ43" t="e">
        <f>AND(#REF!,"AAAAAC80/2c=")</f>
        <v>#REF!</v>
      </c>
      <c r="DA43" t="e">
        <f>AND(#REF!,"AAAAAC80/2g=")</f>
        <v>#REF!</v>
      </c>
      <c r="DB43" t="e">
        <f>AND(#REF!,"AAAAAC80/2k=")</f>
        <v>#REF!</v>
      </c>
      <c r="DC43" t="e">
        <f>AND(#REF!,"AAAAAC80/2o=")</f>
        <v>#REF!</v>
      </c>
      <c r="DD43" t="e">
        <f>AND(#REF!,"AAAAAC80/2s=")</f>
        <v>#REF!</v>
      </c>
      <c r="DE43" t="e">
        <f>AND(#REF!,"AAAAAC80/2w=")</f>
        <v>#REF!</v>
      </c>
      <c r="DF43" t="e">
        <f>AND(#REF!,"AAAAAC80/20=")</f>
        <v>#REF!</v>
      </c>
      <c r="DG43" t="e">
        <f>AND(#REF!,"AAAAAC80/24=")</f>
        <v>#REF!</v>
      </c>
      <c r="DH43" t="e">
        <f>AND(#REF!,"AAAAAC80/28=")</f>
        <v>#REF!</v>
      </c>
      <c r="DI43" t="e">
        <f>AND(#REF!,"AAAAAC80/3A=")</f>
        <v>#REF!</v>
      </c>
      <c r="DJ43" t="e">
        <f>AND(#REF!,"AAAAAC80/3E=")</f>
        <v>#REF!</v>
      </c>
      <c r="DK43" t="e">
        <f>AND(#REF!,"AAAAAC80/3I=")</f>
        <v>#REF!</v>
      </c>
      <c r="DL43" t="e">
        <f>AND(#REF!,"AAAAAC80/3M=")</f>
        <v>#REF!</v>
      </c>
      <c r="DM43" t="e">
        <f>IF(#REF!,"AAAAAC80/3Q=",0)</f>
        <v>#REF!</v>
      </c>
      <c r="DN43" t="e">
        <f>AND(#REF!,"AAAAAC80/3U=")</f>
        <v>#REF!</v>
      </c>
      <c r="DO43" t="e">
        <f>AND(#REF!,"AAAAAC80/3Y=")</f>
        <v>#REF!</v>
      </c>
      <c r="DP43" t="e">
        <f>AND(#REF!,"AAAAAC80/3c=")</f>
        <v>#REF!</v>
      </c>
      <c r="DQ43" t="e">
        <f>AND(#REF!,"AAAAAC80/3g=")</f>
        <v>#REF!</v>
      </c>
      <c r="DR43" t="e">
        <f>AND(#REF!,"AAAAAC80/3k=")</f>
        <v>#REF!</v>
      </c>
      <c r="DS43" t="e">
        <f>AND(#REF!,"AAAAAC80/3o=")</f>
        <v>#REF!</v>
      </c>
      <c r="DT43" t="e">
        <f>AND(#REF!,"AAAAAC80/3s=")</f>
        <v>#REF!</v>
      </c>
      <c r="DU43" t="e">
        <f>AND(#REF!,"AAAAAC80/3w=")</f>
        <v>#REF!</v>
      </c>
      <c r="DV43" t="e">
        <f>AND(#REF!,"AAAAAC80/30=")</f>
        <v>#REF!</v>
      </c>
      <c r="DW43" t="e">
        <f>AND(#REF!,"AAAAAC80/34=")</f>
        <v>#REF!</v>
      </c>
      <c r="DX43" t="e">
        <f>AND(#REF!,"AAAAAC80/38=")</f>
        <v>#REF!</v>
      </c>
      <c r="DY43" t="e">
        <f>AND(#REF!,"AAAAAC80/4A=")</f>
        <v>#REF!</v>
      </c>
      <c r="DZ43" t="e">
        <f>AND(#REF!,"AAAAAC80/4E=")</f>
        <v>#REF!</v>
      </c>
      <c r="EA43" t="e">
        <f>AND(#REF!,"AAAAAC80/4I=")</f>
        <v>#REF!</v>
      </c>
      <c r="EB43" t="e">
        <f>AND(#REF!,"AAAAAC80/4M=")</f>
        <v>#REF!</v>
      </c>
      <c r="EC43" t="e">
        <f>AND(#REF!,"AAAAAC80/4Q=")</f>
        <v>#REF!</v>
      </c>
      <c r="ED43" t="e">
        <f>AND(#REF!,"AAAAAC80/4U=")</f>
        <v>#REF!</v>
      </c>
      <c r="EE43" t="e">
        <f>AND(#REF!,"AAAAAC80/4Y=")</f>
        <v>#REF!</v>
      </c>
      <c r="EF43" t="e">
        <f>AND(#REF!,"AAAAAC80/4c=")</f>
        <v>#REF!</v>
      </c>
      <c r="EG43" t="e">
        <f>AND(#REF!,"AAAAAC80/4g=")</f>
        <v>#REF!</v>
      </c>
      <c r="EH43" t="e">
        <f>AND(#REF!,"AAAAAC80/4k=")</f>
        <v>#REF!</v>
      </c>
      <c r="EI43" t="e">
        <f>AND(#REF!,"AAAAAC80/4o=")</f>
        <v>#REF!</v>
      </c>
      <c r="EJ43" t="e">
        <f>AND(#REF!,"AAAAAC80/4s=")</f>
        <v>#REF!</v>
      </c>
      <c r="EK43" t="e">
        <f>AND(#REF!,"AAAAAC80/4w=")</f>
        <v>#REF!</v>
      </c>
      <c r="EL43" t="e">
        <f>AND(#REF!,"AAAAAC80/40=")</f>
        <v>#REF!</v>
      </c>
      <c r="EM43" t="e">
        <f>AND(#REF!,"AAAAAC80/44=")</f>
        <v>#REF!</v>
      </c>
      <c r="EN43" t="e">
        <f>AND(#REF!,"AAAAAC80/48=")</f>
        <v>#REF!</v>
      </c>
      <c r="EO43" t="e">
        <f>AND(#REF!,"AAAAAC80/5A=")</f>
        <v>#REF!</v>
      </c>
      <c r="EP43" t="e">
        <f>AND(#REF!,"AAAAAC80/5E=")</f>
        <v>#REF!</v>
      </c>
      <c r="EQ43" t="e">
        <f>AND(#REF!,"AAAAAC80/5I=")</f>
        <v>#REF!</v>
      </c>
      <c r="ER43" t="e">
        <f>AND(#REF!,"AAAAAC80/5M=")</f>
        <v>#REF!</v>
      </c>
      <c r="ES43" t="e">
        <f>AND(#REF!,"AAAAAC80/5Q=")</f>
        <v>#REF!</v>
      </c>
      <c r="ET43" t="e">
        <f>AND(#REF!,"AAAAAC80/5U=")</f>
        <v>#REF!</v>
      </c>
      <c r="EU43" t="e">
        <f>AND(#REF!,"AAAAAC80/5Y=")</f>
        <v>#REF!</v>
      </c>
      <c r="EV43" t="e">
        <f>AND(#REF!,"AAAAAC80/5c=")</f>
        <v>#REF!</v>
      </c>
      <c r="EW43" t="e">
        <f>AND(#REF!,"AAAAAC80/5g=")</f>
        <v>#REF!</v>
      </c>
      <c r="EX43" t="e">
        <f>AND(#REF!,"AAAAAC80/5k=")</f>
        <v>#REF!</v>
      </c>
      <c r="EY43" t="e">
        <f>AND(#REF!,"AAAAAC80/5o=")</f>
        <v>#REF!</v>
      </c>
      <c r="EZ43" t="e">
        <f>AND(#REF!,"AAAAAC80/5s=")</f>
        <v>#REF!</v>
      </c>
      <c r="FA43" t="e">
        <f>AND(#REF!,"AAAAAC80/5w=")</f>
        <v>#REF!</v>
      </c>
      <c r="FB43" t="e">
        <f>AND(#REF!,"AAAAAC80/50=")</f>
        <v>#REF!</v>
      </c>
      <c r="FC43" t="e">
        <f>AND(#REF!,"AAAAAC80/54=")</f>
        <v>#REF!</v>
      </c>
      <c r="FD43" t="e">
        <f>AND(#REF!,"AAAAAC80/58=")</f>
        <v>#REF!</v>
      </c>
      <c r="FE43" t="e">
        <f>IF(#REF!,"AAAAAC80/6A=",0)</f>
        <v>#REF!</v>
      </c>
      <c r="FF43" t="e">
        <f>AND(#REF!,"AAAAAC80/6E=")</f>
        <v>#REF!</v>
      </c>
      <c r="FG43" t="e">
        <f>AND(#REF!,"AAAAAC80/6I=")</f>
        <v>#REF!</v>
      </c>
      <c r="FH43" t="e">
        <f>AND(#REF!,"AAAAAC80/6M=")</f>
        <v>#REF!</v>
      </c>
      <c r="FI43" t="e">
        <f>AND(#REF!,"AAAAAC80/6Q=")</f>
        <v>#REF!</v>
      </c>
      <c r="FJ43" t="e">
        <f>AND(#REF!,"AAAAAC80/6U=")</f>
        <v>#REF!</v>
      </c>
      <c r="FK43" t="e">
        <f>AND(#REF!,"AAAAAC80/6Y=")</f>
        <v>#REF!</v>
      </c>
      <c r="FL43" t="e">
        <f>AND(#REF!,"AAAAAC80/6c=")</f>
        <v>#REF!</v>
      </c>
      <c r="FM43" t="e">
        <f>AND(#REF!,"AAAAAC80/6g=")</f>
        <v>#REF!</v>
      </c>
      <c r="FN43" t="e">
        <f>AND(#REF!,"AAAAAC80/6k=")</f>
        <v>#REF!</v>
      </c>
      <c r="FO43" t="e">
        <f>AND(#REF!,"AAAAAC80/6o=")</f>
        <v>#REF!</v>
      </c>
      <c r="FP43" t="e">
        <f>AND(#REF!,"AAAAAC80/6s=")</f>
        <v>#REF!</v>
      </c>
      <c r="FQ43" t="e">
        <f>AND(#REF!,"AAAAAC80/6w=")</f>
        <v>#REF!</v>
      </c>
      <c r="FR43" t="e">
        <f>AND(#REF!,"AAAAAC80/60=")</f>
        <v>#REF!</v>
      </c>
      <c r="FS43" t="e">
        <f>AND(#REF!,"AAAAAC80/64=")</f>
        <v>#REF!</v>
      </c>
      <c r="FT43" t="e">
        <f>AND(#REF!,"AAAAAC80/68=")</f>
        <v>#REF!</v>
      </c>
      <c r="FU43" t="e">
        <f>AND(#REF!,"AAAAAC80/7A=")</f>
        <v>#REF!</v>
      </c>
      <c r="FV43" t="e">
        <f>AND(#REF!,"AAAAAC80/7E=")</f>
        <v>#REF!</v>
      </c>
      <c r="FW43" t="e">
        <f>AND(#REF!,"AAAAAC80/7I=")</f>
        <v>#REF!</v>
      </c>
      <c r="FX43" t="e">
        <f>AND(#REF!,"AAAAAC80/7M=")</f>
        <v>#REF!</v>
      </c>
      <c r="FY43" t="e">
        <f>AND(#REF!,"AAAAAC80/7Q=")</f>
        <v>#REF!</v>
      </c>
      <c r="FZ43" t="e">
        <f>AND(#REF!,"AAAAAC80/7U=")</f>
        <v>#REF!</v>
      </c>
      <c r="GA43" t="e">
        <f>AND(#REF!,"AAAAAC80/7Y=")</f>
        <v>#REF!</v>
      </c>
      <c r="GB43" t="e">
        <f>AND(#REF!,"AAAAAC80/7c=")</f>
        <v>#REF!</v>
      </c>
      <c r="GC43" t="e">
        <f>AND(#REF!,"AAAAAC80/7g=")</f>
        <v>#REF!</v>
      </c>
      <c r="GD43" t="e">
        <f>AND(#REF!,"AAAAAC80/7k=")</f>
        <v>#REF!</v>
      </c>
      <c r="GE43" t="e">
        <f>AND(#REF!,"AAAAAC80/7o=")</f>
        <v>#REF!</v>
      </c>
      <c r="GF43" t="e">
        <f>AND(#REF!,"AAAAAC80/7s=")</f>
        <v>#REF!</v>
      </c>
      <c r="GG43" t="e">
        <f>AND(#REF!,"AAAAAC80/7w=")</f>
        <v>#REF!</v>
      </c>
      <c r="GH43" t="e">
        <f>AND(#REF!,"AAAAAC80/70=")</f>
        <v>#REF!</v>
      </c>
      <c r="GI43" t="e">
        <f>AND(#REF!,"AAAAAC80/74=")</f>
        <v>#REF!</v>
      </c>
      <c r="GJ43" t="e">
        <f>AND(#REF!,"AAAAAC80/78=")</f>
        <v>#REF!</v>
      </c>
      <c r="GK43" t="e">
        <f>AND(#REF!,"AAAAAC80/8A=")</f>
        <v>#REF!</v>
      </c>
      <c r="GL43" t="e">
        <f>AND(#REF!,"AAAAAC80/8E=")</f>
        <v>#REF!</v>
      </c>
      <c r="GM43" t="e">
        <f>AND(#REF!,"AAAAAC80/8I=")</f>
        <v>#REF!</v>
      </c>
      <c r="GN43" t="e">
        <f>AND(#REF!,"AAAAAC80/8M=")</f>
        <v>#REF!</v>
      </c>
      <c r="GO43" t="e">
        <f>AND(#REF!,"AAAAAC80/8Q=")</f>
        <v>#REF!</v>
      </c>
      <c r="GP43" t="e">
        <f>AND(#REF!,"AAAAAC80/8U=")</f>
        <v>#REF!</v>
      </c>
      <c r="GQ43" t="e">
        <f>AND(#REF!,"AAAAAC80/8Y=")</f>
        <v>#REF!</v>
      </c>
      <c r="GR43" t="e">
        <f>AND(#REF!,"AAAAAC80/8c=")</f>
        <v>#REF!</v>
      </c>
      <c r="GS43" t="e">
        <f>AND(#REF!,"AAAAAC80/8g=")</f>
        <v>#REF!</v>
      </c>
      <c r="GT43" t="e">
        <f>AND(#REF!,"AAAAAC80/8k=")</f>
        <v>#REF!</v>
      </c>
      <c r="GU43" t="e">
        <f>AND(#REF!,"AAAAAC80/8o=")</f>
        <v>#REF!</v>
      </c>
      <c r="GV43" t="e">
        <f>AND(#REF!,"AAAAAC80/8s=")</f>
        <v>#REF!</v>
      </c>
      <c r="GW43" t="e">
        <f>IF(#REF!,"AAAAAC80/8w=",0)</f>
        <v>#REF!</v>
      </c>
      <c r="GX43" t="e">
        <f>AND(#REF!,"AAAAAC80/80=")</f>
        <v>#REF!</v>
      </c>
      <c r="GY43" t="e">
        <f>AND(#REF!,"AAAAAC80/84=")</f>
        <v>#REF!</v>
      </c>
      <c r="GZ43" t="e">
        <f>AND(#REF!,"AAAAAC80/88=")</f>
        <v>#REF!</v>
      </c>
      <c r="HA43" t="e">
        <f>AND(#REF!,"AAAAAC80/9A=")</f>
        <v>#REF!</v>
      </c>
      <c r="HB43" t="e">
        <f>AND(#REF!,"AAAAAC80/9E=")</f>
        <v>#REF!</v>
      </c>
      <c r="HC43" t="e">
        <f>AND(#REF!,"AAAAAC80/9I=")</f>
        <v>#REF!</v>
      </c>
      <c r="HD43" t="e">
        <f>AND(#REF!,"AAAAAC80/9M=")</f>
        <v>#REF!</v>
      </c>
      <c r="HE43" t="e">
        <f>AND(#REF!,"AAAAAC80/9Q=")</f>
        <v>#REF!</v>
      </c>
      <c r="HF43" t="e">
        <f>AND(#REF!,"AAAAAC80/9U=")</f>
        <v>#REF!</v>
      </c>
      <c r="HG43" t="e">
        <f>AND(#REF!,"AAAAAC80/9Y=")</f>
        <v>#REF!</v>
      </c>
      <c r="HH43" t="e">
        <f>AND(#REF!,"AAAAAC80/9c=")</f>
        <v>#REF!</v>
      </c>
      <c r="HI43" t="e">
        <f>AND(#REF!,"AAAAAC80/9g=")</f>
        <v>#REF!</v>
      </c>
      <c r="HJ43" t="e">
        <f>AND(#REF!,"AAAAAC80/9k=")</f>
        <v>#REF!</v>
      </c>
      <c r="HK43" t="e">
        <f>AND(#REF!,"AAAAAC80/9o=")</f>
        <v>#REF!</v>
      </c>
      <c r="HL43" t="e">
        <f>AND(#REF!,"AAAAAC80/9s=")</f>
        <v>#REF!</v>
      </c>
      <c r="HM43" t="e">
        <f>AND(#REF!,"AAAAAC80/9w=")</f>
        <v>#REF!</v>
      </c>
      <c r="HN43" t="e">
        <f>AND(#REF!,"AAAAAC80/90=")</f>
        <v>#REF!</v>
      </c>
      <c r="HO43" t="e">
        <f>AND(#REF!,"AAAAAC80/94=")</f>
        <v>#REF!</v>
      </c>
      <c r="HP43" t="e">
        <f>AND(#REF!,"AAAAAC80/98=")</f>
        <v>#REF!</v>
      </c>
      <c r="HQ43" t="e">
        <f>AND(#REF!,"AAAAAC80/+A=")</f>
        <v>#REF!</v>
      </c>
      <c r="HR43" t="e">
        <f>AND(#REF!,"AAAAAC80/+E=")</f>
        <v>#REF!</v>
      </c>
      <c r="HS43" t="e">
        <f>AND(#REF!,"AAAAAC80/+I=")</f>
        <v>#REF!</v>
      </c>
      <c r="HT43" t="e">
        <f>AND(#REF!,"AAAAAC80/+M=")</f>
        <v>#REF!</v>
      </c>
      <c r="HU43" t="e">
        <f>AND(#REF!,"AAAAAC80/+Q=")</f>
        <v>#REF!</v>
      </c>
      <c r="HV43" t="e">
        <f>AND(#REF!,"AAAAAC80/+U=")</f>
        <v>#REF!</v>
      </c>
      <c r="HW43" t="e">
        <f>AND(#REF!,"AAAAAC80/+Y=")</f>
        <v>#REF!</v>
      </c>
      <c r="HX43" t="e">
        <f>AND(#REF!,"AAAAAC80/+c=")</f>
        <v>#REF!</v>
      </c>
      <c r="HY43" t="e">
        <f>AND(#REF!,"AAAAAC80/+g=")</f>
        <v>#REF!</v>
      </c>
      <c r="HZ43" t="e">
        <f>AND(#REF!,"AAAAAC80/+k=")</f>
        <v>#REF!</v>
      </c>
      <c r="IA43" t="e">
        <f>AND(#REF!,"AAAAAC80/+o=")</f>
        <v>#REF!</v>
      </c>
      <c r="IB43" t="e">
        <f>AND(#REF!,"AAAAAC80/+s=")</f>
        <v>#REF!</v>
      </c>
      <c r="IC43" t="e">
        <f>AND(#REF!,"AAAAAC80/+w=")</f>
        <v>#REF!</v>
      </c>
      <c r="ID43" t="e">
        <f>AND(#REF!,"AAAAAC80/+0=")</f>
        <v>#REF!</v>
      </c>
      <c r="IE43" t="e">
        <f>AND(#REF!,"AAAAAC80/+4=")</f>
        <v>#REF!</v>
      </c>
      <c r="IF43" t="e">
        <f>AND(#REF!,"AAAAAC80/+8=")</f>
        <v>#REF!</v>
      </c>
      <c r="IG43" t="e">
        <f>AND(#REF!,"AAAAAC80//A=")</f>
        <v>#REF!</v>
      </c>
      <c r="IH43" t="e">
        <f>AND(#REF!,"AAAAAC80//E=")</f>
        <v>#REF!</v>
      </c>
      <c r="II43" t="e">
        <f>AND(#REF!,"AAAAAC80//I=")</f>
        <v>#REF!</v>
      </c>
      <c r="IJ43" t="e">
        <f>AND(#REF!,"AAAAAC80//M=")</f>
        <v>#REF!</v>
      </c>
      <c r="IK43" t="e">
        <f>AND(#REF!,"AAAAAC80//Q=")</f>
        <v>#REF!</v>
      </c>
      <c r="IL43" t="e">
        <f>AND(#REF!,"AAAAAC80//U=")</f>
        <v>#REF!</v>
      </c>
      <c r="IM43" t="e">
        <f>AND(#REF!,"AAAAAC80//Y=")</f>
        <v>#REF!</v>
      </c>
      <c r="IN43" t="e">
        <f>AND(#REF!,"AAAAAC80//c=")</f>
        <v>#REF!</v>
      </c>
      <c r="IO43" t="e">
        <f>IF(#REF!,"AAAAAC80//g=",0)</f>
        <v>#REF!</v>
      </c>
      <c r="IP43" t="e">
        <f>AND(#REF!,"AAAAAC80//k=")</f>
        <v>#REF!</v>
      </c>
      <c r="IQ43" t="e">
        <f>AND(#REF!,"AAAAAC80//o=")</f>
        <v>#REF!</v>
      </c>
      <c r="IR43" t="e">
        <f>AND(#REF!,"AAAAAC80//s=")</f>
        <v>#REF!</v>
      </c>
      <c r="IS43" t="e">
        <f>AND(#REF!,"AAAAAC80//w=")</f>
        <v>#REF!</v>
      </c>
      <c r="IT43" t="e">
        <f>AND(#REF!,"AAAAAC80//0=")</f>
        <v>#REF!</v>
      </c>
      <c r="IU43" t="e">
        <f>AND(#REF!,"AAAAAC80//4=")</f>
        <v>#REF!</v>
      </c>
      <c r="IV43" t="e">
        <f>AND(#REF!,"AAAAAC80//8=")</f>
        <v>#REF!</v>
      </c>
    </row>
    <row r="44" spans="1:256" x14ac:dyDescent="0.25">
      <c r="A44" t="e">
        <f>AND(#REF!,"AAAAAH+f/wA=")</f>
        <v>#REF!</v>
      </c>
      <c r="B44" t="e">
        <f>AND(#REF!,"AAAAAH+f/wE=")</f>
        <v>#REF!</v>
      </c>
      <c r="C44" t="e">
        <f>AND(#REF!,"AAAAAH+f/wI=")</f>
        <v>#REF!</v>
      </c>
      <c r="D44" t="e">
        <f>AND(#REF!,"AAAAAH+f/wM=")</f>
        <v>#REF!</v>
      </c>
      <c r="E44" t="e">
        <f>AND(#REF!,"AAAAAH+f/wQ=")</f>
        <v>#REF!</v>
      </c>
      <c r="F44" t="e">
        <f>AND(#REF!,"AAAAAH+f/wU=")</f>
        <v>#REF!</v>
      </c>
      <c r="G44" t="e">
        <f>AND(#REF!,"AAAAAH+f/wY=")</f>
        <v>#REF!</v>
      </c>
      <c r="H44" t="e">
        <f>AND(#REF!,"AAAAAH+f/wc=")</f>
        <v>#REF!</v>
      </c>
      <c r="I44" t="e">
        <f>AND(#REF!,"AAAAAH+f/wg=")</f>
        <v>#REF!</v>
      </c>
      <c r="J44" t="e">
        <f>AND(#REF!,"AAAAAH+f/wk=")</f>
        <v>#REF!</v>
      </c>
      <c r="K44" t="e">
        <f>AND(#REF!,"AAAAAH+f/wo=")</f>
        <v>#REF!</v>
      </c>
      <c r="L44" t="e">
        <f>AND(#REF!,"AAAAAH+f/ws=")</f>
        <v>#REF!</v>
      </c>
      <c r="M44" t="e">
        <f>AND(#REF!,"AAAAAH+f/ww=")</f>
        <v>#REF!</v>
      </c>
      <c r="N44" t="e">
        <f>AND(#REF!,"AAAAAH+f/w0=")</f>
        <v>#REF!</v>
      </c>
      <c r="O44" t="e">
        <f>AND(#REF!,"AAAAAH+f/w4=")</f>
        <v>#REF!</v>
      </c>
      <c r="P44" t="e">
        <f>AND(#REF!,"AAAAAH+f/w8=")</f>
        <v>#REF!</v>
      </c>
      <c r="Q44" t="e">
        <f>AND(#REF!,"AAAAAH+f/xA=")</f>
        <v>#REF!</v>
      </c>
      <c r="R44" t="e">
        <f>AND(#REF!,"AAAAAH+f/xE=")</f>
        <v>#REF!</v>
      </c>
      <c r="S44" t="e">
        <f>AND(#REF!,"AAAAAH+f/xI=")</f>
        <v>#REF!</v>
      </c>
      <c r="T44" t="e">
        <f>AND(#REF!,"AAAAAH+f/xM=")</f>
        <v>#REF!</v>
      </c>
      <c r="U44" t="e">
        <f>AND(#REF!,"AAAAAH+f/xQ=")</f>
        <v>#REF!</v>
      </c>
      <c r="V44" t="e">
        <f>AND(#REF!,"AAAAAH+f/xU=")</f>
        <v>#REF!</v>
      </c>
      <c r="W44" t="e">
        <f>AND(#REF!,"AAAAAH+f/xY=")</f>
        <v>#REF!</v>
      </c>
      <c r="X44" t="e">
        <f>AND(#REF!,"AAAAAH+f/xc=")</f>
        <v>#REF!</v>
      </c>
      <c r="Y44" t="e">
        <f>AND(#REF!,"AAAAAH+f/xg=")</f>
        <v>#REF!</v>
      </c>
      <c r="Z44" t="e">
        <f>AND(#REF!,"AAAAAH+f/xk=")</f>
        <v>#REF!</v>
      </c>
      <c r="AA44" t="e">
        <f>AND(#REF!,"AAAAAH+f/xo=")</f>
        <v>#REF!</v>
      </c>
      <c r="AB44" t="e">
        <f>AND(#REF!,"AAAAAH+f/xs=")</f>
        <v>#REF!</v>
      </c>
      <c r="AC44" t="e">
        <f>AND(#REF!,"AAAAAH+f/xw=")</f>
        <v>#REF!</v>
      </c>
      <c r="AD44" t="e">
        <f>AND(#REF!,"AAAAAH+f/x0=")</f>
        <v>#REF!</v>
      </c>
      <c r="AE44" t="e">
        <f>AND(#REF!,"AAAAAH+f/x4=")</f>
        <v>#REF!</v>
      </c>
      <c r="AF44" t="e">
        <f>AND(#REF!,"AAAAAH+f/x8=")</f>
        <v>#REF!</v>
      </c>
      <c r="AG44" t="e">
        <f>AND(#REF!,"AAAAAH+f/yA=")</f>
        <v>#REF!</v>
      </c>
      <c r="AH44" t="e">
        <f>AND(#REF!,"AAAAAH+f/yE=")</f>
        <v>#REF!</v>
      </c>
      <c r="AI44" t="e">
        <f>AND(#REF!,"AAAAAH+f/yI=")</f>
        <v>#REF!</v>
      </c>
      <c r="AJ44" t="e">
        <f>AND(#REF!,"AAAAAH+f/yM=")</f>
        <v>#REF!</v>
      </c>
      <c r="AK44" t="e">
        <f>IF(#REF!,"AAAAAH+f/yQ=",0)</f>
        <v>#REF!</v>
      </c>
      <c r="AL44" t="e">
        <f>AND(#REF!,"AAAAAH+f/yU=")</f>
        <v>#REF!</v>
      </c>
      <c r="AM44" t="e">
        <f>AND(#REF!,"AAAAAH+f/yY=")</f>
        <v>#REF!</v>
      </c>
      <c r="AN44" t="e">
        <f>AND(#REF!,"AAAAAH+f/yc=")</f>
        <v>#REF!</v>
      </c>
      <c r="AO44" t="e">
        <f>AND(#REF!,"AAAAAH+f/yg=")</f>
        <v>#REF!</v>
      </c>
      <c r="AP44" t="e">
        <f>AND(#REF!,"AAAAAH+f/yk=")</f>
        <v>#REF!</v>
      </c>
      <c r="AQ44" t="e">
        <f>AND(#REF!,"AAAAAH+f/yo=")</f>
        <v>#REF!</v>
      </c>
      <c r="AR44" t="e">
        <f>AND(#REF!,"AAAAAH+f/ys=")</f>
        <v>#REF!</v>
      </c>
      <c r="AS44" t="e">
        <f>AND(#REF!,"AAAAAH+f/yw=")</f>
        <v>#REF!</v>
      </c>
      <c r="AT44" t="e">
        <f>AND(#REF!,"AAAAAH+f/y0=")</f>
        <v>#REF!</v>
      </c>
      <c r="AU44" t="e">
        <f>AND(#REF!,"AAAAAH+f/y4=")</f>
        <v>#REF!</v>
      </c>
      <c r="AV44" t="e">
        <f>AND(#REF!,"AAAAAH+f/y8=")</f>
        <v>#REF!</v>
      </c>
      <c r="AW44" t="e">
        <f>AND(#REF!,"AAAAAH+f/zA=")</f>
        <v>#REF!</v>
      </c>
      <c r="AX44" t="e">
        <f>AND(#REF!,"AAAAAH+f/zE=")</f>
        <v>#REF!</v>
      </c>
      <c r="AY44" t="e">
        <f>AND(#REF!,"AAAAAH+f/zI=")</f>
        <v>#REF!</v>
      </c>
      <c r="AZ44" t="e">
        <f>AND(#REF!,"AAAAAH+f/zM=")</f>
        <v>#REF!</v>
      </c>
      <c r="BA44" t="e">
        <f>AND(#REF!,"AAAAAH+f/zQ=")</f>
        <v>#REF!</v>
      </c>
      <c r="BB44" t="e">
        <f>AND(#REF!,"AAAAAH+f/zU=")</f>
        <v>#REF!</v>
      </c>
      <c r="BC44" t="e">
        <f>AND(#REF!,"AAAAAH+f/zY=")</f>
        <v>#REF!</v>
      </c>
      <c r="BD44" t="e">
        <f>AND(#REF!,"AAAAAH+f/zc=")</f>
        <v>#REF!</v>
      </c>
      <c r="BE44" t="e">
        <f>AND(#REF!,"AAAAAH+f/zg=")</f>
        <v>#REF!</v>
      </c>
      <c r="BF44" t="e">
        <f>AND(#REF!,"AAAAAH+f/zk=")</f>
        <v>#REF!</v>
      </c>
      <c r="BG44" t="e">
        <f>AND(#REF!,"AAAAAH+f/zo=")</f>
        <v>#REF!</v>
      </c>
      <c r="BH44" t="e">
        <f>AND(#REF!,"AAAAAH+f/zs=")</f>
        <v>#REF!</v>
      </c>
      <c r="BI44" t="e">
        <f>AND(#REF!,"AAAAAH+f/zw=")</f>
        <v>#REF!</v>
      </c>
      <c r="BJ44" t="e">
        <f>AND(#REF!,"AAAAAH+f/z0=")</f>
        <v>#REF!</v>
      </c>
      <c r="BK44" t="e">
        <f>AND(#REF!,"AAAAAH+f/z4=")</f>
        <v>#REF!</v>
      </c>
      <c r="BL44" t="e">
        <f>AND(#REF!,"AAAAAH+f/z8=")</f>
        <v>#REF!</v>
      </c>
      <c r="BM44" t="e">
        <f>AND(#REF!,"AAAAAH+f/0A=")</f>
        <v>#REF!</v>
      </c>
      <c r="BN44" t="e">
        <f>AND(#REF!,"AAAAAH+f/0E=")</f>
        <v>#REF!</v>
      </c>
      <c r="BO44" t="e">
        <f>AND(#REF!,"AAAAAH+f/0I=")</f>
        <v>#REF!</v>
      </c>
      <c r="BP44" t="e">
        <f>AND(#REF!,"AAAAAH+f/0M=")</f>
        <v>#REF!</v>
      </c>
      <c r="BQ44" t="e">
        <f>AND(#REF!,"AAAAAH+f/0Q=")</f>
        <v>#REF!</v>
      </c>
      <c r="BR44" t="e">
        <f>AND(#REF!,"AAAAAH+f/0U=")</f>
        <v>#REF!</v>
      </c>
      <c r="BS44" t="e">
        <f>AND(#REF!,"AAAAAH+f/0Y=")</f>
        <v>#REF!</v>
      </c>
      <c r="BT44" t="e">
        <f>AND(#REF!,"AAAAAH+f/0c=")</f>
        <v>#REF!</v>
      </c>
      <c r="BU44" t="e">
        <f>AND(#REF!,"AAAAAH+f/0g=")</f>
        <v>#REF!</v>
      </c>
      <c r="BV44" t="e">
        <f>AND(#REF!,"AAAAAH+f/0k=")</f>
        <v>#REF!</v>
      </c>
      <c r="BW44" t="e">
        <f>AND(#REF!,"AAAAAH+f/0o=")</f>
        <v>#REF!</v>
      </c>
      <c r="BX44" t="e">
        <f>AND(#REF!,"AAAAAH+f/0s=")</f>
        <v>#REF!</v>
      </c>
      <c r="BY44" t="e">
        <f>AND(#REF!,"AAAAAH+f/0w=")</f>
        <v>#REF!</v>
      </c>
      <c r="BZ44" t="e">
        <f>AND(#REF!,"AAAAAH+f/00=")</f>
        <v>#REF!</v>
      </c>
      <c r="CA44" t="e">
        <f>AND(#REF!,"AAAAAH+f/04=")</f>
        <v>#REF!</v>
      </c>
      <c r="CB44" t="e">
        <f>AND(#REF!,"AAAAAH+f/08=")</f>
        <v>#REF!</v>
      </c>
      <c r="CC44" t="e">
        <f>IF(#REF!,"AAAAAH+f/1A=",0)</f>
        <v>#REF!</v>
      </c>
      <c r="CD44" t="e">
        <f>AND(#REF!,"AAAAAH+f/1E=")</f>
        <v>#REF!</v>
      </c>
      <c r="CE44" t="e">
        <f>AND(#REF!,"AAAAAH+f/1I=")</f>
        <v>#REF!</v>
      </c>
      <c r="CF44" t="e">
        <f>AND(#REF!,"AAAAAH+f/1M=")</f>
        <v>#REF!</v>
      </c>
      <c r="CG44" t="e">
        <f>AND(#REF!,"AAAAAH+f/1Q=")</f>
        <v>#REF!</v>
      </c>
      <c r="CH44" t="e">
        <f>AND(#REF!,"AAAAAH+f/1U=")</f>
        <v>#REF!</v>
      </c>
      <c r="CI44" t="e">
        <f>AND(#REF!,"AAAAAH+f/1Y=")</f>
        <v>#REF!</v>
      </c>
      <c r="CJ44" t="e">
        <f>AND(#REF!,"AAAAAH+f/1c=")</f>
        <v>#REF!</v>
      </c>
      <c r="CK44" t="e">
        <f>AND(#REF!,"AAAAAH+f/1g=")</f>
        <v>#REF!</v>
      </c>
      <c r="CL44" t="e">
        <f>AND(#REF!,"AAAAAH+f/1k=")</f>
        <v>#REF!</v>
      </c>
      <c r="CM44" t="e">
        <f>AND(#REF!,"AAAAAH+f/1o=")</f>
        <v>#REF!</v>
      </c>
      <c r="CN44" t="e">
        <f>AND(#REF!,"AAAAAH+f/1s=")</f>
        <v>#REF!</v>
      </c>
      <c r="CO44" t="e">
        <f>AND(#REF!,"AAAAAH+f/1w=")</f>
        <v>#REF!</v>
      </c>
      <c r="CP44" t="e">
        <f>AND(#REF!,"AAAAAH+f/10=")</f>
        <v>#REF!</v>
      </c>
      <c r="CQ44" t="e">
        <f>AND(#REF!,"AAAAAH+f/14=")</f>
        <v>#REF!</v>
      </c>
      <c r="CR44" t="e">
        <f>AND(#REF!,"AAAAAH+f/18=")</f>
        <v>#REF!</v>
      </c>
      <c r="CS44" t="e">
        <f>AND(#REF!,"AAAAAH+f/2A=")</f>
        <v>#REF!</v>
      </c>
      <c r="CT44" t="e">
        <f>AND(#REF!,"AAAAAH+f/2E=")</f>
        <v>#REF!</v>
      </c>
      <c r="CU44" t="e">
        <f>AND(#REF!,"AAAAAH+f/2I=")</f>
        <v>#REF!</v>
      </c>
      <c r="CV44" t="e">
        <f>AND(#REF!,"AAAAAH+f/2M=")</f>
        <v>#REF!</v>
      </c>
      <c r="CW44" t="e">
        <f>AND(#REF!,"AAAAAH+f/2Q=")</f>
        <v>#REF!</v>
      </c>
      <c r="CX44" t="e">
        <f>AND(#REF!,"AAAAAH+f/2U=")</f>
        <v>#REF!</v>
      </c>
      <c r="CY44" t="e">
        <f>AND(#REF!,"AAAAAH+f/2Y=")</f>
        <v>#REF!</v>
      </c>
      <c r="CZ44" t="e">
        <f>AND(#REF!,"AAAAAH+f/2c=")</f>
        <v>#REF!</v>
      </c>
      <c r="DA44" t="e">
        <f>AND(#REF!,"AAAAAH+f/2g=")</f>
        <v>#REF!</v>
      </c>
      <c r="DB44" t="e">
        <f>AND(#REF!,"AAAAAH+f/2k=")</f>
        <v>#REF!</v>
      </c>
      <c r="DC44" t="e">
        <f>AND(#REF!,"AAAAAH+f/2o=")</f>
        <v>#REF!</v>
      </c>
      <c r="DD44" t="e">
        <f>AND(#REF!,"AAAAAH+f/2s=")</f>
        <v>#REF!</v>
      </c>
      <c r="DE44" t="e">
        <f>AND(#REF!,"AAAAAH+f/2w=")</f>
        <v>#REF!</v>
      </c>
      <c r="DF44" t="e">
        <f>AND(#REF!,"AAAAAH+f/20=")</f>
        <v>#REF!</v>
      </c>
      <c r="DG44" t="e">
        <f>AND(#REF!,"AAAAAH+f/24=")</f>
        <v>#REF!</v>
      </c>
      <c r="DH44" t="e">
        <f>AND(#REF!,"AAAAAH+f/28=")</f>
        <v>#REF!</v>
      </c>
      <c r="DI44" t="e">
        <f>AND(#REF!,"AAAAAH+f/3A=")</f>
        <v>#REF!</v>
      </c>
      <c r="DJ44" t="e">
        <f>AND(#REF!,"AAAAAH+f/3E=")</f>
        <v>#REF!</v>
      </c>
      <c r="DK44" t="e">
        <f>AND(#REF!,"AAAAAH+f/3I=")</f>
        <v>#REF!</v>
      </c>
      <c r="DL44" t="e">
        <f>AND(#REF!,"AAAAAH+f/3M=")</f>
        <v>#REF!</v>
      </c>
      <c r="DM44" t="e">
        <f>AND(#REF!,"AAAAAH+f/3Q=")</f>
        <v>#REF!</v>
      </c>
      <c r="DN44" t="e">
        <f>AND(#REF!,"AAAAAH+f/3U=")</f>
        <v>#REF!</v>
      </c>
      <c r="DO44" t="e">
        <f>AND(#REF!,"AAAAAH+f/3Y=")</f>
        <v>#REF!</v>
      </c>
      <c r="DP44" t="e">
        <f>AND(#REF!,"AAAAAH+f/3c=")</f>
        <v>#REF!</v>
      </c>
      <c r="DQ44" t="e">
        <f>AND(#REF!,"AAAAAH+f/3g=")</f>
        <v>#REF!</v>
      </c>
      <c r="DR44" t="e">
        <f>AND(#REF!,"AAAAAH+f/3k=")</f>
        <v>#REF!</v>
      </c>
      <c r="DS44" t="e">
        <f>AND(#REF!,"AAAAAH+f/3o=")</f>
        <v>#REF!</v>
      </c>
      <c r="DT44" t="e">
        <f>AND(#REF!,"AAAAAH+f/3s=")</f>
        <v>#REF!</v>
      </c>
      <c r="DU44" t="e">
        <f>IF(#REF!,"AAAAAH+f/3w=",0)</f>
        <v>#REF!</v>
      </c>
      <c r="DV44" t="e">
        <f>AND(#REF!,"AAAAAH+f/30=")</f>
        <v>#REF!</v>
      </c>
      <c r="DW44" t="e">
        <f>AND(#REF!,"AAAAAH+f/34=")</f>
        <v>#REF!</v>
      </c>
      <c r="DX44" t="e">
        <f>AND(#REF!,"AAAAAH+f/38=")</f>
        <v>#REF!</v>
      </c>
      <c r="DY44" t="e">
        <f>AND(#REF!,"AAAAAH+f/4A=")</f>
        <v>#REF!</v>
      </c>
      <c r="DZ44" t="e">
        <f>AND(#REF!,"AAAAAH+f/4E=")</f>
        <v>#REF!</v>
      </c>
      <c r="EA44" t="e">
        <f>AND(#REF!,"AAAAAH+f/4I=")</f>
        <v>#REF!</v>
      </c>
      <c r="EB44" t="e">
        <f>AND(#REF!,"AAAAAH+f/4M=")</f>
        <v>#REF!</v>
      </c>
      <c r="EC44" t="e">
        <f>AND(#REF!,"AAAAAH+f/4Q=")</f>
        <v>#REF!</v>
      </c>
      <c r="ED44" t="e">
        <f>AND(#REF!,"AAAAAH+f/4U=")</f>
        <v>#REF!</v>
      </c>
      <c r="EE44" t="e">
        <f>AND(#REF!,"AAAAAH+f/4Y=")</f>
        <v>#REF!</v>
      </c>
      <c r="EF44" t="e">
        <f>AND(#REF!,"AAAAAH+f/4c=")</f>
        <v>#REF!</v>
      </c>
      <c r="EG44" t="e">
        <f>AND(#REF!,"AAAAAH+f/4g=")</f>
        <v>#REF!</v>
      </c>
      <c r="EH44" t="e">
        <f>AND(#REF!,"AAAAAH+f/4k=")</f>
        <v>#REF!</v>
      </c>
      <c r="EI44" t="e">
        <f>AND(#REF!,"AAAAAH+f/4o=")</f>
        <v>#REF!</v>
      </c>
      <c r="EJ44" t="e">
        <f>AND(#REF!,"AAAAAH+f/4s=")</f>
        <v>#REF!</v>
      </c>
      <c r="EK44" t="e">
        <f>AND(#REF!,"AAAAAH+f/4w=")</f>
        <v>#REF!</v>
      </c>
      <c r="EL44" t="e">
        <f>AND(#REF!,"AAAAAH+f/40=")</f>
        <v>#REF!</v>
      </c>
      <c r="EM44" t="e">
        <f>AND(#REF!,"AAAAAH+f/44=")</f>
        <v>#REF!</v>
      </c>
      <c r="EN44" t="e">
        <f>AND(#REF!,"AAAAAH+f/48=")</f>
        <v>#REF!</v>
      </c>
      <c r="EO44" t="e">
        <f>AND(#REF!,"AAAAAH+f/5A=")</f>
        <v>#REF!</v>
      </c>
      <c r="EP44" t="e">
        <f>AND(#REF!,"AAAAAH+f/5E=")</f>
        <v>#REF!</v>
      </c>
      <c r="EQ44" t="e">
        <f>AND(#REF!,"AAAAAH+f/5I=")</f>
        <v>#REF!</v>
      </c>
      <c r="ER44" t="e">
        <f>AND(#REF!,"AAAAAH+f/5M=")</f>
        <v>#REF!</v>
      </c>
      <c r="ES44" t="e">
        <f>AND(#REF!,"AAAAAH+f/5Q=")</f>
        <v>#REF!</v>
      </c>
      <c r="ET44" t="e">
        <f>AND(#REF!,"AAAAAH+f/5U=")</f>
        <v>#REF!</v>
      </c>
      <c r="EU44" t="e">
        <f>AND(#REF!,"AAAAAH+f/5Y=")</f>
        <v>#REF!</v>
      </c>
      <c r="EV44" t="e">
        <f>AND(#REF!,"AAAAAH+f/5c=")</f>
        <v>#REF!</v>
      </c>
      <c r="EW44" t="e">
        <f>AND(#REF!,"AAAAAH+f/5g=")</f>
        <v>#REF!</v>
      </c>
      <c r="EX44" t="e">
        <f>AND(#REF!,"AAAAAH+f/5k=")</f>
        <v>#REF!</v>
      </c>
      <c r="EY44" t="e">
        <f>AND(#REF!,"AAAAAH+f/5o=")</f>
        <v>#REF!</v>
      </c>
      <c r="EZ44" t="e">
        <f>AND(#REF!,"AAAAAH+f/5s=")</f>
        <v>#REF!</v>
      </c>
      <c r="FA44" t="e">
        <f>AND(#REF!,"AAAAAH+f/5w=")</f>
        <v>#REF!</v>
      </c>
      <c r="FB44" t="e">
        <f>AND(#REF!,"AAAAAH+f/50=")</f>
        <v>#REF!</v>
      </c>
      <c r="FC44" t="e">
        <f>AND(#REF!,"AAAAAH+f/54=")</f>
        <v>#REF!</v>
      </c>
      <c r="FD44" t="e">
        <f>AND(#REF!,"AAAAAH+f/58=")</f>
        <v>#REF!</v>
      </c>
      <c r="FE44" t="e">
        <f>AND(#REF!,"AAAAAH+f/6A=")</f>
        <v>#REF!</v>
      </c>
      <c r="FF44" t="e">
        <f>AND(#REF!,"AAAAAH+f/6E=")</f>
        <v>#REF!</v>
      </c>
      <c r="FG44" t="e">
        <f>AND(#REF!,"AAAAAH+f/6I=")</f>
        <v>#REF!</v>
      </c>
      <c r="FH44" t="e">
        <f>AND(#REF!,"AAAAAH+f/6M=")</f>
        <v>#REF!</v>
      </c>
      <c r="FI44" t="e">
        <f>AND(#REF!,"AAAAAH+f/6Q=")</f>
        <v>#REF!</v>
      </c>
      <c r="FJ44" t="e">
        <f>AND(#REF!,"AAAAAH+f/6U=")</f>
        <v>#REF!</v>
      </c>
      <c r="FK44" t="e">
        <f>AND(#REF!,"AAAAAH+f/6Y=")</f>
        <v>#REF!</v>
      </c>
      <c r="FL44" t="e">
        <f>AND(#REF!,"AAAAAH+f/6c=")</f>
        <v>#REF!</v>
      </c>
      <c r="FM44" t="e">
        <f>IF(#REF!,"AAAAAH+f/6g=",0)</f>
        <v>#REF!</v>
      </c>
      <c r="FN44" t="e">
        <f>AND(#REF!,"AAAAAH+f/6k=")</f>
        <v>#REF!</v>
      </c>
      <c r="FO44" t="e">
        <f>AND(#REF!,"AAAAAH+f/6o=")</f>
        <v>#REF!</v>
      </c>
      <c r="FP44" t="e">
        <f>AND(#REF!,"AAAAAH+f/6s=")</f>
        <v>#REF!</v>
      </c>
      <c r="FQ44" t="e">
        <f>AND(#REF!,"AAAAAH+f/6w=")</f>
        <v>#REF!</v>
      </c>
      <c r="FR44" t="e">
        <f>AND(#REF!,"AAAAAH+f/60=")</f>
        <v>#REF!</v>
      </c>
      <c r="FS44" t="e">
        <f>AND(#REF!,"AAAAAH+f/64=")</f>
        <v>#REF!</v>
      </c>
      <c r="FT44" t="e">
        <f>AND(#REF!,"AAAAAH+f/68=")</f>
        <v>#REF!</v>
      </c>
      <c r="FU44" t="e">
        <f>AND(#REF!,"AAAAAH+f/7A=")</f>
        <v>#REF!</v>
      </c>
      <c r="FV44" t="e">
        <f>AND(#REF!,"AAAAAH+f/7E=")</f>
        <v>#REF!</v>
      </c>
      <c r="FW44" t="e">
        <f>AND(#REF!,"AAAAAH+f/7I=")</f>
        <v>#REF!</v>
      </c>
      <c r="FX44" t="e">
        <f>AND(#REF!,"AAAAAH+f/7M=")</f>
        <v>#REF!</v>
      </c>
      <c r="FY44" t="e">
        <f>AND(#REF!,"AAAAAH+f/7Q=")</f>
        <v>#REF!</v>
      </c>
      <c r="FZ44" t="e">
        <f>AND(#REF!,"AAAAAH+f/7U=")</f>
        <v>#REF!</v>
      </c>
      <c r="GA44" t="e">
        <f>AND(#REF!,"AAAAAH+f/7Y=")</f>
        <v>#REF!</v>
      </c>
      <c r="GB44" t="e">
        <f>AND(#REF!,"AAAAAH+f/7c=")</f>
        <v>#REF!</v>
      </c>
      <c r="GC44" t="e">
        <f>AND(#REF!,"AAAAAH+f/7g=")</f>
        <v>#REF!</v>
      </c>
      <c r="GD44" t="e">
        <f>AND(#REF!,"AAAAAH+f/7k=")</f>
        <v>#REF!</v>
      </c>
      <c r="GE44" t="e">
        <f>AND(#REF!,"AAAAAH+f/7o=")</f>
        <v>#REF!</v>
      </c>
      <c r="GF44" t="e">
        <f>AND(#REF!,"AAAAAH+f/7s=")</f>
        <v>#REF!</v>
      </c>
      <c r="GG44" t="e">
        <f>AND(#REF!,"AAAAAH+f/7w=")</f>
        <v>#REF!</v>
      </c>
      <c r="GH44" t="e">
        <f>AND(#REF!,"AAAAAH+f/70=")</f>
        <v>#REF!</v>
      </c>
      <c r="GI44" t="e">
        <f>AND(#REF!,"AAAAAH+f/74=")</f>
        <v>#REF!</v>
      </c>
      <c r="GJ44" t="e">
        <f>AND(#REF!,"AAAAAH+f/78=")</f>
        <v>#REF!</v>
      </c>
      <c r="GK44" t="e">
        <f>AND(#REF!,"AAAAAH+f/8A=")</f>
        <v>#REF!</v>
      </c>
      <c r="GL44" t="e">
        <f>AND(#REF!,"AAAAAH+f/8E=")</f>
        <v>#REF!</v>
      </c>
      <c r="GM44" t="e">
        <f>AND(#REF!,"AAAAAH+f/8I=")</f>
        <v>#REF!</v>
      </c>
      <c r="GN44" t="e">
        <f>AND(#REF!,"AAAAAH+f/8M=")</f>
        <v>#REF!</v>
      </c>
      <c r="GO44" t="e">
        <f>AND(#REF!,"AAAAAH+f/8Q=")</f>
        <v>#REF!</v>
      </c>
      <c r="GP44" t="e">
        <f>AND(#REF!,"AAAAAH+f/8U=")</f>
        <v>#REF!</v>
      </c>
      <c r="GQ44" t="e">
        <f>AND(#REF!,"AAAAAH+f/8Y=")</f>
        <v>#REF!</v>
      </c>
      <c r="GR44" t="e">
        <f>AND(#REF!,"AAAAAH+f/8c=")</f>
        <v>#REF!</v>
      </c>
      <c r="GS44" t="e">
        <f>AND(#REF!,"AAAAAH+f/8g=")</f>
        <v>#REF!</v>
      </c>
      <c r="GT44" t="e">
        <f>AND(#REF!,"AAAAAH+f/8k=")</f>
        <v>#REF!</v>
      </c>
      <c r="GU44" t="e">
        <f>AND(#REF!,"AAAAAH+f/8o=")</f>
        <v>#REF!</v>
      </c>
      <c r="GV44" t="e">
        <f>AND(#REF!,"AAAAAH+f/8s=")</f>
        <v>#REF!</v>
      </c>
      <c r="GW44" t="e">
        <f>AND(#REF!,"AAAAAH+f/8w=")</f>
        <v>#REF!</v>
      </c>
      <c r="GX44" t="e">
        <f>AND(#REF!,"AAAAAH+f/80=")</f>
        <v>#REF!</v>
      </c>
      <c r="GY44" t="e">
        <f>AND(#REF!,"AAAAAH+f/84=")</f>
        <v>#REF!</v>
      </c>
      <c r="GZ44" t="e">
        <f>AND(#REF!,"AAAAAH+f/88=")</f>
        <v>#REF!</v>
      </c>
      <c r="HA44" t="e">
        <f>AND(#REF!,"AAAAAH+f/9A=")</f>
        <v>#REF!</v>
      </c>
      <c r="HB44" t="e">
        <f>AND(#REF!,"AAAAAH+f/9E=")</f>
        <v>#REF!</v>
      </c>
      <c r="HC44" t="e">
        <f>AND(#REF!,"AAAAAH+f/9I=")</f>
        <v>#REF!</v>
      </c>
      <c r="HD44" t="e">
        <f>AND(#REF!,"AAAAAH+f/9M=")</f>
        <v>#REF!</v>
      </c>
      <c r="HE44" t="e">
        <f>IF(#REF!,"AAAAAH+f/9Q=",0)</f>
        <v>#REF!</v>
      </c>
      <c r="HF44" t="e">
        <f>AND(#REF!,"AAAAAH+f/9U=")</f>
        <v>#REF!</v>
      </c>
      <c r="HG44" t="e">
        <f>AND(#REF!,"AAAAAH+f/9Y=")</f>
        <v>#REF!</v>
      </c>
      <c r="HH44" t="e">
        <f>AND(#REF!,"AAAAAH+f/9c=")</f>
        <v>#REF!</v>
      </c>
      <c r="HI44" t="e">
        <f>AND(#REF!,"AAAAAH+f/9g=")</f>
        <v>#REF!</v>
      </c>
      <c r="HJ44" t="e">
        <f>AND(#REF!,"AAAAAH+f/9k=")</f>
        <v>#REF!</v>
      </c>
      <c r="HK44" t="e">
        <f>AND(#REF!,"AAAAAH+f/9o=")</f>
        <v>#REF!</v>
      </c>
      <c r="HL44" t="e">
        <f>AND(#REF!,"AAAAAH+f/9s=")</f>
        <v>#REF!</v>
      </c>
      <c r="HM44" t="e">
        <f>AND(#REF!,"AAAAAH+f/9w=")</f>
        <v>#REF!</v>
      </c>
      <c r="HN44" t="e">
        <f>AND(#REF!,"AAAAAH+f/90=")</f>
        <v>#REF!</v>
      </c>
      <c r="HO44" t="e">
        <f>AND(#REF!,"AAAAAH+f/94=")</f>
        <v>#REF!</v>
      </c>
      <c r="HP44" t="e">
        <f>AND(#REF!,"AAAAAH+f/98=")</f>
        <v>#REF!</v>
      </c>
      <c r="HQ44" t="e">
        <f>AND(#REF!,"AAAAAH+f/+A=")</f>
        <v>#REF!</v>
      </c>
      <c r="HR44" t="e">
        <f>AND(#REF!,"AAAAAH+f/+E=")</f>
        <v>#REF!</v>
      </c>
      <c r="HS44" t="e">
        <f>AND(#REF!,"AAAAAH+f/+I=")</f>
        <v>#REF!</v>
      </c>
      <c r="HT44" t="e">
        <f>AND(#REF!,"AAAAAH+f/+M=")</f>
        <v>#REF!</v>
      </c>
      <c r="HU44" t="e">
        <f>AND(#REF!,"AAAAAH+f/+Q=")</f>
        <v>#REF!</v>
      </c>
      <c r="HV44" t="e">
        <f>AND(#REF!,"AAAAAH+f/+U=")</f>
        <v>#REF!</v>
      </c>
      <c r="HW44" t="e">
        <f>AND(#REF!,"AAAAAH+f/+Y=")</f>
        <v>#REF!</v>
      </c>
      <c r="HX44" t="e">
        <f>AND(#REF!,"AAAAAH+f/+c=")</f>
        <v>#REF!</v>
      </c>
      <c r="HY44" t="e">
        <f>AND(#REF!,"AAAAAH+f/+g=")</f>
        <v>#REF!</v>
      </c>
      <c r="HZ44" t="e">
        <f>AND(#REF!,"AAAAAH+f/+k=")</f>
        <v>#REF!</v>
      </c>
      <c r="IA44" t="e">
        <f>AND(#REF!,"AAAAAH+f/+o=")</f>
        <v>#REF!</v>
      </c>
      <c r="IB44" t="e">
        <f>AND(#REF!,"AAAAAH+f/+s=")</f>
        <v>#REF!</v>
      </c>
      <c r="IC44" t="e">
        <f>AND(#REF!,"AAAAAH+f/+w=")</f>
        <v>#REF!</v>
      </c>
      <c r="ID44" t="e">
        <f>AND(#REF!,"AAAAAH+f/+0=")</f>
        <v>#REF!</v>
      </c>
      <c r="IE44" t="e">
        <f>AND(#REF!,"AAAAAH+f/+4=")</f>
        <v>#REF!</v>
      </c>
      <c r="IF44" t="e">
        <f>AND(#REF!,"AAAAAH+f/+8=")</f>
        <v>#REF!</v>
      </c>
      <c r="IG44" t="e">
        <f>AND(#REF!,"AAAAAH+f//A=")</f>
        <v>#REF!</v>
      </c>
      <c r="IH44" t="e">
        <f>AND(#REF!,"AAAAAH+f//E=")</f>
        <v>#REF!</v>
      </c>
      <c r="II44" t="e">
        <f>AND(#REF!,"AAAAAH+f//I=")</f>
        <v>#REF!</v>
      </c>
      <c r="IJ44" t="e">
        <f>AND(#REF!,"AAAAAH+f//M=")</f>
        <v>#REF!</v>
      </c>
      <c r="IK44" t="e">
        <f>AND(#REF!,"AAAAAH+f//Q=")</f>
        <v>#REF!</v>
      </c>
      <c r="IL44" t="e">
        <f>AND(#REF!,"AAAAAH+f//U=")</f>
        <v>#REF!</v>
      </c>
      <c r="IM44" t="e">
        <f>AND(#REF!,"AAAAAH+f//Y=")</f>
        <v>#REF!</v>
      </c>
      <c r="IN44" t="e">
        <f>AND(#REF!,"AAAAAH+f//c=")</f>
        <v>#REF!</v>
      </c>
      <c r="IO44" t="e">
        <f>AND(#REF!,"AAAAAH+f//g=")</f>
        <v>#REF!</v>
      </c>
      <c r="IP44" t="e">
        <f>AND(#REF!,"AAAAAH+f//k=")</f>
        <v>#REF!</v>
      </c>
      <c r="IQ44" t="e">
        <f>AND(#REF!,"AAAAAH+f//o=")</f>
        <v>#REF!</v>
      </c>
      <c r="IR44" t="e">
        <f>AND(#REF!,"AAAAAH+f//s=")</f>
        <v>#REF!</v>
      </c>
      <c r="IS44" t="e">
        <f>AND(#REF!,"AAAAAH+f//w=")</f>
        <v>#REF!</v>
      </c>
      <c r="IT44" t="e">
        <f>AND(#REF!,"AAAAAH+f//0=")</f>
        <v>#REF!</v>
      </c>
      <c r="IU44" t="e">
        <f>AND(#REF!,"AAAAAH+f//4=")</f>
        <v>#REF!</v>
      </c>
      <c r="IV44" t="e">
        <f>AND(#REF!,"AAAAAH+f//8=")</f>
        <v>#REF!</v>
      </c>
    </row>
    <row r="45" spans="1:256" x14ac:dyDescent="0.25">
      <c r="A45" t="e">
        <f>IF(#REF!,"AAAAAH+vuAA=",0)</f>
        <v>#REF!</v>
      </c>
      <c r="B45" t="e">
        <f>AND(#REF!,"AAAAAH+vuAE=")</f>
        <v>#REF!</v>
      </c>
      <c r="C45" t="e">
        <f>AND(#REF!,"AAAAAH+vuAI=")</f>
        <v>#REF!</v>
      </c>
      <c r="D45" t="e">
        <f>AND(#REF!,"AAAAAH+vuAM=")</f>
        <v>#REF!</v>
      </c>
      <c r="E45" t="e">
        <f>AND(#REF!,"AAAAAH+vuAQ=")</f>
        <v>#REF!</v>
      </c>
      <c r="F45" t="e">
        <f>AND(#REF!,"AAAAAH+vuAU=")</f>
        <v>#REF!</v>
      </c>
      <c r="G45" t="e">
        <f>AND(#REF!,"AAAAAH+vuAY=")</f>
        <v>#REF!</v>
      </c>
      <c r="H45" t="e">
        <f>AND(#REF!,"AAAAAH+vuAc=")</f>
        <v>#REF!</v>
      </c>
      <c r="I45" t="e">
        <f>AND(#REF!,"AAAAAH+vuAg=")</f>
        <v>#REF!</v>
      </c>
      <c r="J45" t="e">
        <f>AND(#REF!,"AAAAAH+vuAk=")</f>
        <v>#REF!</v>
      </c>
      <c r="K45" t="e">
        <f>AND(#REF!,"AAAAAH+vuAo=")</f>
        <v>#REF!</v>
      </c>
      <c r="L45" t="e">
        <f>AND(#REF!,"AAAAAH+vuAs=")</f>
        <v>#REF!</v>
      </c>
      <c r="M45" t="e">
        <f>AND(#REF!,"AAAAAH+vuAw=")</f>
        <v>#REF!</v>
      </c>
      <c r="N45" t="e">
        <f>AND(#REF!,"AAAAAH+vuA0=")</f>
        <v>#REF!</v>
      </c>
      <c r="O45" t="e">
        <f>AND(#REF!,"AAAAAH+vuA4=")</f>
        <v>#REF!</v>
      </c>
      <c r="P45" t="e">
        <f>AND(#REF!,"AAAAAH+vuA8=")</f>
        <v>#REF!</v>
      </c>
      <c r="Q45" t="e">
        <f>AND(#REF!,"AAAAAH+vuBA=")</f>
        <v>#REF!</v>
      </c>
      <c r="R45" t="e">
        <f>AND(#REF!,"AAAAAH+vuBE=")</f>
        <v>#REF!</v>
      </c>
      <c r="S45" t="e">
        <f>AND(#REF!,"AAAAAH+vuBI=")</f>
        <v>#REF!</v>
      </c>
      <c r="T45" t="e">
        <f>AND(#REF!,"AAAAAH+vuBM=")</f>
        <v>#REF!</v>
      </c>
      <c r="U45" t="e">
        <f>AND(#REF!,"AAAAAH+vuBQ=")</f>
        <v>#REF!</v>
      </c>
      <c r="V45" t="e">
        <f>AND(#REF!,"AAAAAH+vuBU=")</f>
        <v>#REF!</v>
      </c>
      <c r="W45" t="e">
        <f>AND(#REF!,"AAAAAH+vuBY=")</f>
        <v>#REF!</v>
      </c>
      <c r="X45" t="e">
        <f>AND(#REF!,"AAAAAH+vuBc=")</f>
        <v>#REF!</v>
      </c>
      <c r="Y45" t="e">
        <f>AND(#REF!,"AAAAAH+vuBg=")</f>
        <v>#REF!</v>
      </c>
      <c r="Z45" t="e">
        <f>AND(#REF!,"AAAAAH+vuBk=")</f>
        <v>#REF!</v>
      </c>
      <c r="AA45" t="e">
        <f>AND(#REF!,"AAAAAH+vuBo=")</f>
        <v>#REF!</v>
      </c>
      <c r="AB45" t="e">
        <f>AND(#REF!,"AAAAAH+vuBs=")</f>
        <v>#REF!</v>
      </c>
      <c r="AC45" t="e">
        <f>AND(#REF!,"AAAAAH+vuBw=")</f>
        <v>#REF!</v>
      </c>
      <c r="AD45" t="e">
        <f>AND(#REF!,"AAAAAH+vuB0=")</f>
        <v>#REF!</v>
      </c>
      <c r="AE45" t="e">
        <f>AND(#REF!,"AAAAAH+vuB4=")</f>
        <v>#REF!</v>
      </c>
      <c r="AF45" t="e">
        <f>AND(#REF!,"AAAAAH+vuB8=")</f>
        <v>#REF!</v>
      </c>
      <c r="AG45" t="e">
        <f>AND(#REF!,"AAAAAH+vuCA=")</f>
        <v>#REF!</v>
      </c>
      <c r="AH45" t="e">
        <f>AND(#REF!,"AAAAAH+vuCE=")</f>
        <v>#REF!</v>
      </c>
      <c r="AI45" t="e">
        <f>AND(#REF!,"AAAAAH+vuCI=")</f>
        <v>#REF!</v>
      </c>
      <c r="AJ45" t="e">
        <f>AND(#REF!,"AAAAAH+vuCM=")</f>
        <v>#REF!</v>
      </c>
      <c r="AK45" t="e">
        <f>AND(#REF!,"AAAAAH+vuCQ=")</f>
        <v>#REF!</v>
      </c>
      <c r="AL45" t="e">
        <f>AND(#REF!,"AAAAAH+vuCU=")</f>
        <v>#REF!</v>
      </c>
      <c r="AM45" t="e">
        <f>AND(#REF!,"AAAAAH+vuCY=")</f>
        <v>#REF!</v>
      </c>
      <c r="AN45" t="e">
        <f>AND(#REF!,"AAAAAH+vuCc=")</f>
        <v>#REF!</v>
      </c>
      <c r="AO45" t="e">
        <f>AND(#REF!,"AAAAAH+vuCg=")</f>
        <v>#REF!</v>
      </c>
      <c r="AP45" t="e">
        <f>AND(#REF!,"AAAAAH+vuCk=")</f>
        <v>#REF!</v>
      </c>
      <c r="AQ45" t="e">
        <f>AND(#REF!,"AAAAAH+vuCo=")</f>
        <v>#REF!</v>
      </c>
      <c r="AR45" t="e">
        <f>AND(#REF!,"AAAAAH+vuCs=")</f>
        <v>#REF!</v>
      </c>
      <c r="AS45" t="e">
        <f>IF(#REF!,"AAAAAH+vuCw=",0)</f>
        <v>#REF!</v>
      </c>
      <c r="AT45" t="e">
        <f>AND(#REF!,"AAAAAH+vuC0=")</f>
        <v>#REF!</v>
      </c>
      <c r="AU45" t="e">
        <f>AND(#REF!,"AAAAAH+vuC4=")</f>
        <v>#REF!</v>
      </c>
      <c r="AV45" t="e">
        <f>AND(#REF!,"AAAAAH+vuC8=")</f>
        <v>#REF!</v>
      </c>
      <c r="AW45" t="e">
        <f>AND(#REF!,"AAAAAH+vuDA=")</f>
        <v>#REF!</v>
      </c>
      <c r="AX45" t="e">
        <f>AND(#REF!,"AAAAAH+vuDE=")</f>
        <v>#REF!</v>
      </c>
      <c r="AY45" t="e">
        <f>AND(#REF!,"AAAAAH+vuDI=")</f>
        <v>#REF!</v>
      </c>
      <c r="AZ45" t="e">
        <f>AND(#REF!,"AAAAAH+vuDM=")</f>
        <v>#REF!</v>
      </c>
      <c r="BA45" t="e">
        <f>AND(#REF!,"AAAAAH+vuDQ=")</f>
        <v>#REF!</v>
      </c>
      <c r="BB45" t="e">
        <f>AND(#REF!,"AAAAAH+vuDU=")</f>
        <v>#REF!</v>
      </c>
      <c r="BC45" t="e">
        <f>AND(#REF!,"AAAAAH+vuDY=")</f>
        <v>#REF!</v>
      </c>
      <c r="BD45" t="e">
        <f>AND(#REF!,"AAAAAH+vuDc=")</f>
        <v>#REF!</v>
      </c>
      <c r="BE45" t="e">
        <f>AND(#REF!,"AAAAAH+vuDg=")</f>
        <v>#REF!</v>
      </c>
      <c r="BF45" t="e">
        <f>AND(#REF!,"AAAAAH+vuDk=")</f>
        <v>#REF!</v>
      </c>
      <c r="BG45" t="e">
        <f>AND(#REF!,"AAAAAH+vuDo=")</f>
        <v>#REF!</v>
      </c>
      <c r="BH45" t="e">
        <f>AND(#REF!,"AAAAAH+vuDs=")</f>
        <v>#REF!</v>
      </c>
      <c r="BI45" t="e">
        <f>AND(#REF!,"AAAAAH+vuDw=")</f>
        <v>#REF!</v>
      </c>
      <c r="BJ45" t="e">
        <f>AND(#REF!,"AAAAAH+vuD0=")</f>
        <v>#REF!</v>
      </c>
      <c r="BK45" t="e">
        <f>AND(#REF!,"AAAAAH+vuD4=")</f>
        <v>#REF!</v>
      </c>
      <c r="BL45" t="e">
        <f>AND(#REF!,"AAAAAH+vuD8=")</f>
        <v>#REF!</v>
      </c>
      <c r="BM45" t="e">
        <f>AND(#REF!,"AAAAAH+vuEA=")</f>
        <v>#REF!</v>
      </c>
      <c r="BN45" t="e">
        <f>AND(#REF!,"AAAAAH+vuEE=")</f>
        <v>#REF!</v>
      </c>
      <c r="BO45" t="e">
        <f>AND(#REF!,"AAAAAH+vuEI=")</f>
        <v>#REF!</v>
      </c>
      <c r="BP45" t="e">
        <f>AND(#REF!,"AAAAAH+vuEM=")</f>
        <v>#REF!</v>
      </c>
      <c r="BQ45" t="e">
        <f>AND(#REF!,"AAAAAH+vuEQ=")</f>
        <v>#REF!</v>
      </c>
      <c r="BR45" t="e">
        <f>AND(#REF!,"AAAAAH+vuEU=")</f>
        <v>#REF!</v>
      </c>
      <c r="BS45" t="e">
        <f>AND(#REF!,"AAAAAH+vuEY=")</f>
        <v>#REF!</v>
      </c>
      <c r="BT45" t="e">
        <f>AND(#REF!,"AAAAAH+vuEc=")</f>
        <v>#REF!</v>
      </c>
      <c r="BU45" t="e">
        <f>AND(#REF!,"AAAAAH+vuEg=")</f>
        <v>#REF!</v>
      </c>
      <c r="BV45" t="e">
        <f>AND(#REF!,"AAAAAH+vuEk=")</f>
        <v>#REF!</v>
      </c>
      <c r="BW45" t="e">
        <f>AND(#REF!,"AAAAAH+vuEo=")</f>
        <v>#REF!</v>
      </c>
      <c r="BX45" t="e">
        <f>AND(#REF!,"AAAAAH+vuEs=")</f>
        <v>#REF!</v>
      </c>
      <c r="BY45" t="e">
        <f>AND(#REF!,"AAAAAH+vuEw=")</f>
        <v>#REF!</v>
      </c>
      <c r="BZ45" t="e">
        <f>AND(#REF!,"AAAAAH+vuE0=")</f>
        <v>#REF!</v>
      </c>
      <c r="CA45" t="e">
        <f>AND(#REF!,"AAAAAH+vuE4=")</f>
        <v>#REF!</v>
      </c>
      <c r="CB45" t="e">
        <f>AND(#REF!,"AAAAAH+vuE8=")</f>
        <v>#REF!</v>
      </c>
      <c r="CC45" t="e">
        <f>AND(#REF!,"AAAAAH+vuFA=")</f>
        <v>#REF!</v>
      </c>
      <c r="CD45" t="e">
        <f>AND(#REF!,"AAAAAH+vuFE=")</f>
        <v>#REF!</v>
      </c>
      <c r="CE45" t="e">
        <f>AND(#REF!,"AAAAAH+vuFI=")</f>
        <v>#REF!</v>
      </c>
      <c r="CF45" t="e">
        <f>AND(#REF!,"AAAAAH+vuFM=")</f>
        <v>#REF!</v>
      </c>
      <c r="CG45" t="e">
        <f>AND(#REF!,"AAAAAH+vuFQ=")</f>
        <v>#REF!</v>
      </c>
      <c r="CH45" t="e">
        <f>AND(#REF!,"AAAAAH+vuFU=")</f>
        <v>#REF!</v>
      </c>
      <c r="CI45" t="e">
        <f>AND(#REF!,"AAAAAH+vuFY=")</f>
        <v>#REF!</v>
      </c>
      <c r="CJ45" t="e">
        <f>AND(#REF!,"AAAAAH+vuFc=")</f>
        <v>#REF!</v>
      </c>
      <c r="CK45" t="e">
        <f>IF(#REF!,"AAAAAH+vuFg=",0)</f>
        <v>#REF!</v>
      </c>
      <c r="CL45" t="e">
        <f>AND(#REF!,"AAAAAH+vuFk=")</f>
        <v>#REF!</v>
      </c>
      <c r="CM45" t="e">
        <f>AND(#REF!,"AAAAAH+vuFo=")</f>
        <v>#REF!</v>
      </c>
      <c r="CN45" t="e">
        <f>AND(#REF!,"AAAAAH+vuFs=")</f>
        <v>#REF!</v>
      </c>
      <c r="CO45" t="e">
        <f>AND(#REF!,"AAAAAH+vuFw=")</f>
        <v>#REF!</v>
      </c>
      <c r="CP45" t="e">
        <f>AND(#REF!,"AAAAAH+vuF0=")</f>
        <v>#REF!</v>
      </c>
      <c r="CQ45" t="e">
        <f>AND(#REF!,"AAAAAH+vuF4=")</f>
        <v>#REF!</v>
      </c>
      <c r="CR45" t="e">
        <f>AND(#REF!,"AAAAAH+vuF8=")</f>
        <v>#REF!</v>
      </c>
      <c r="CS45" t="e">
        <f>AND(#REF!,"AAAAAH+vuGA=")</f>
        <v>#REF!</v>
      </c>
      <c r="CT45" t="e">
        <f>AND(#REF!,"AAAAAH+vuGE=")</f>
        <v>#REF!</v>
      </c>
      <c r="CU45" t="e">
        <f>AND(#REF!,"AAAAAH+vuGI=")</f>
        <v>#REF!</v>
      </c>
      <c r="CV45" t="e">
        <f>AND(#REF!,"AAAAAH+vuGM=")</f>
        <v>#REF!</v>
      </c>
      <c r="CW45" t="e">
        <f>AND(#REF!,"AAAAAH+vuGQ=")</f>
        <v>#REF!</v>
      </c>
      <c r="CX45" t="e">
        <f>AND(#REF!,"AAAAAH+vuGU=")</f>
        <v>#REF!</v>
      </c>
      <c r="CY45" t="e">
        <f>AND(#REF!,"AAAAAH+vuGY=")</f>
        <v>#REF!</v>
      </c>
      <c r="CZ45" t="e">
        <f>AND(#REF!,"AAAAAH+vuGc=")</f>
        <v>#REF!</v>
      </c>
      <c r="DA45" t="e">
        <f>AND(#REF!,"AAAAAH+vuGg=")</f>
        <v>#REF!</v>
      </c>
      <c r="DB45" t="e">
        <f>AND(#REF!,"AAAAAH+vuGk=")</f>
        <v>#REF!</v>
      </c>
      <c r="DC45" t="e">
        <f>AND(#REF!,"AAAAAH+vuGo=")</f>
        <v>#REF!</v>
      </c>
      <c r="DD45" t="e">
        <f>AND(#REF!,"AAAAAH+vuGs=")</f>
        <v>#REF!</v>
      </c>
      <c r="DE45" t="e">
        <f>AND(#REF!,"AAAAAH+vuGw=")</f>
        <v>#REF!</v>
      </c>
      <c r="DF45" t="e">
        <f>AND(#REF!,"AAAAAH+vuG0=")</f>
        <v>#REF!</v>
      </c>
      <c r="DG45" t="e">
        <f>AND(#REF!,"AAAAAH+vuG4=")</f>
        <v>#REF!</v>
      </c>
      <c r="DH45" t="e">
        <f>AND(#REF!,"AAAAAH+vuG8=")</f>
        <v>#REF!</v>
      </c>
      <c r="DI45" t="e">
        <f>AND(#REF!,"AAAAAH+vuHA=")</f>
        <v>#REF!</v>
      </c>
      <c r="DJ45" t="e">
        <f>AND(#REF!,"AAAAAH+vuHE=")</f>
        <v>#REF!</v>
      </c>
      <c r="DK45" t="e">
        <f>AND(#REF!,"AAAAAH+vuHI=")</f>
        <v>#REF!</v>
      </c>
      <c r="DL45" t="e">
        <f>AND(#REF!,"AAAAAH+vuHM=")</f>
        <v>#REF!</v>
      </c>
      <c r="DM45" t="e">
        <f>AND(#REF!,"AAAAAH+vuHQ=")</f>
        <v>#REF!</v>
      </c>
      <c r="DN45" t="e">
        <f>AND(#REF!,"AAAAAH+vuHU=")</f>
        <v>#REF!</v>
      </c>
      <c r="DO45" t="e">
        <f>AND(#REF!,"AAAAAH+vuHY=")</f>
        <v>#REF!</v>
      </c>
      <c r="DP45" t="e">
        <f>AND(#REF!,"AAAAAH+vuHc=")</f>
        <v>#REF!</v>
      </c>
      <c r="DQ45" t="e">
        <f>AND(#REF!,"AAAAAH+vuHg=")</f>
        <v>#REF!</v>
      </c>
      <c r="DR45" t="e">
        <f>AND(#REF!,"AAAAAH+vuHk=")</f>
        <v>#REF!</v>
      </c>
      <c r="DS45" t="e">
        <f>AND(#REF!,"AAAAAH+vuHo=")</f>
        <v>#REF!</v>
      </c>
      <c r="DT45" t="e">
        <f>AND(#REF!,"AAAAAH+vuHs=")</f>
        <v>#REF!</v>
      </c>
      <c r="DU45" t="e">
        <f>AND(#REF!,"AAAAAH+vuHw=")</f>
        <v>#REF!</v>
      </c>
      <c r="DV45" t="e">
        <f>AND(#REF!,"AAAAAH+vuH0=")</f>
        <v>#REF!</v>
      </c>
      <c r="DW45" t="e">
        <f>AND(#REF!,"AAAAAH+vuH4=")</f>
        <v>#REF!</v>
      </c>
      <c r="DX45" t="e">
        <f>AND(#REF!,"AAAAAH+vuH8=")</f>
        <v>#REF!</v>
      </c>
      <c r="DY45" t="e">
        <f>AND(#REF!,"AAAAAH+vuIA=")</f>
        <v>#REF!</v>
      </c>
      <c r="DZ45" t="e">
        <f>AND(#REF!,"AAAAAH+vuIE=")</f>
        <v>#REF!</v>
      </c>
      <c r="EA45" t="e">
        <f>AND(#REF!,"AAAAAH+vuII=")</f>
        <v>#REF!</v>
      </c>
      <c r="EB45" t="e">
        <f>AND(#REF!,"AAAAAH+vuIM=")</f>
        <v>#REF!</v>
      </c>
      <c r="EC45" t="e">
        <f>IF(#REF!,"AAAAAH+vuIQ=",0)</f>
        <v>#REF!</v>
      </c>
      <c r="ED45" t="e">
        <f>AND(#REF!,"AAAAAH+vuIU=")</f>
        <v>#REF!</v>
      </c>
      <c r="EE45" t="e">
        <f>AND(#REF!,"AAAAAH+vuIY=")</f>
        <v>#REF!</v>
      </c>
      <c r="EF45" t="e">
        <f>AND(#REF!,"AAAAAH+vuIc=")</f>
        <v>#REF!</v>
      </c>
      <c r="EG45" t="e">
        <f>AND(#REF!,"AAAAAH+vuIg=")</f>
        <v>#REF!</v>
      </c>
      <c r="EH45" t="e">
        <f>AND(#REF!,"AAAAAH+vuIk=")</f>
        <v>#REF!</v>
      </c>
      <c r="EI45" t="e">
        <f>AND(#REF!,"AAAAAH+vuIo=")</f>
        <v>#REF!</v>
      </c>
      <c r="EJ45" t="e">
        <f>AND(#REF!,"AAAAAH+vuIs=")</f>
        <v>#REF!</v>
      </c>
      <c r="EK45" t="e">
        <f>AND(#REF!,"AAAAAH+vuIw=")</f>
        <v>#REF!</v>
      </c>
      <c r="EL45" t="e">
        <f>AND(#REF!,"AAAAAH+vuI0=")</f>
        <v>#REF!</v>
      </c>
      <c r="EM45" t="e">
        <f>AND(#REF!,"AAAAAH+vuI4=")</f>
        <v>#REF!</v>
      </c>
      <c r="EN45" t="e">
        <f>AND(#REF!,"AAAAAH+vuI8=")</f>
        <v>#REF!</v>
      </c>
      <c r="EO45" t="e">
        <f>AND(#REF!,"AAAAAH+vuJA=")</f>
        <v>#REF!</v>
      </c>
      <c r="EP45" t="e">
        <f>AND(#REF!,"AAAAAH+vuJE=")</f>
        <v>#REF!</v>
      </c>
      <c r="EQ45" t="e">
        <f>AND(#REF!,"AAAAAH+vuJI=")</f>
        <v>#REF!</v>
      </c>
      <c r="ER45" t="e">
        <f>AND(#REF!,"AAAAAH+vuJM=")</f>
        <v>#REF!</v>
      </c>
      <c r="ES45" t="e">
        <f>AND(#REF!,"AAAAAH+vuJQ=")</f>
        <v>#REF!</v>
      </c>
      <c r="ET45" t="e">
        <f>AND(#REF!,"AAAAAH+vuJU=")</f>
        <v>#REF!</v>
      </c>
      <c r="EU45" t="e">
        <f>AND(#REF!,"AAAAAH+vuJY=")</f>
        <v>#REF!</v>
      </c>
      <c r="EV45" t="e">
        <f>AND(#REF!,"AAAAAH+vuJc=")</f>
        <v>#REF!</v>
      </c>
      <c r="EW45" t="e">
        <f>AND(#REF!,"AAAAAH+vuJg=")</f>
        <v>#REF!</v>
      </c>
      <c r="EX45" t="e">
        <f>AND(#REF!,"AAAAAH+vuJk=")</f>
        <v>#REF!</v>
      </c>
      <c r="EY45" t="e">
        <f>AND(#REF!,"AAAAAH+vuJo=")</f>
        <v>#REF!</v>
      </c>
      <c r="EZ45" t="e">
        <f>AND(#REF!,"AAAAAH+vuJs=")</f>
        <v>#REF!</v>
      </c>
      <c r="FA45" t="e">
        <f>AND(#REF!,"AAAAAH+vuJw=")</f>
        <v>#REF!</v>
      </c>
      <c r="FB45" t="e">
        <f>AND(#REF!,"AAAAAH+vuJ0=")</f>
        <v>#REF!</v>
      </c>
      <c r="FC45" t="e">
        <f>AND(#REF!,"AAAAAH+vuJ4=")</f>
        <v>#REF!</v>
      </c>
      <c r="FD45" t="e">
        <f>AND(#REF!,"AAAAAH+vuJ8=")</f>
        <v>#REF!</v>
      </c>
      <c r="FE45" t="e">
        <f>AND(#REF!,"AAAAAH+vuKA=")</f>
        <v>#REF!</v>
      </c>
      <c r="FF45" t="e">
        <f>AND(#REF!,"AAAAAH+vuKE=")</f>
        <v>#REF!</v>
      </c>
      <c r="FG45" t="e">
        <f>AND(#REF!,"AAAAAH+vuKI=")</f>
        <v>#REF!</v>
      </c>
      <c r="FH45" t="e">
        <f>AND(#REF!,"AAAAAH+vuKM=")</f>
        <v>#REF!</v>
      </c>
      <c r="FI45" t="e">
        <f>AND(#REF!,"AAAAAH+vuKQ=")</f>
        <v>#REF!</v>
      </c>
      <c r="FJ45" t="e">
        <f>AND(#REF!,"AAAAAH+vuKU=")</f>
        <v>#REF!</v>
      </c>
      <c r="FK45" t="e">
        <f>AND(#REF!,"AAAAAH+vuKY=")</f>
        <v>#REF!</v>
      </c>
      <c r="FL45" t="e">
        <f>AND(#REF!,"AAAAAH+vuKc=")</f>
        <v>#REF!</v>
      </c>
      <c r="FM45" t="e">
        <f>AND(#REF!,"AAAAAH+vuKg=")</f>
        <v>#REF!</v>
      </c>
      <c r="FN45" t="e">
        <f>AND(#REF!,"AAAAAH+vuKk=")</f>
        <v>#REF!</v>
      </c>
      <c r="FO45" t="e">
        <f>AND(#REF!,"AAAAAH+vuKo=")</f>
        <v>#REF!</v>
      </c>
      <c r="FP45" t="e">
        <f>AND(#REF!,"AAAAAH+vuKs=")</f>
        <v>#REF!</v>
      </c>
      <c r="FQ45" t="e">
        <f>AND(#REF!,"AAAAAH+vuKw=")</f>
        <v>#REF!</v>
      </c>
      <c r="FR45" t="e">
        <f>AND(#REF!,"AAAAAH+vuK0=")</f>
        <v>#REF!</v>
      </c>
      <c r="FS45" t="e">
        <f>AND(#REF!,"AAAAAH+vuK4=")</f>
        <v>#REF!</v>
      </c>
      <c r="FT45" t="e">
        <f>AND(#REF!,"AAAAAH+vuK8=")</f>
        <v>#REF!</v>
      </c>
      <c r="FU45" t="e">
        <f>IF(#REF!,"AAAAAH+vuLA=",0)</f>
        <v>#REF!</v>
      </c>
      <c r="FV45" t="e">
        <f>AND(#REF!,"AAAAAH+vuLE=")</f>
        <v>#REF!</v>
      </c>
      <c r="FW45" t="e">
        <f>AND(#REF!,"AAAAAH+vuLI=")</f>
        <v>#REF!</v>
      </c>
      <c r="FX45" t="e">
        <f>AND(#REF!,"AAAAAH+vuLM=")</f>
        <v>#REF!</v>
      </c>
      <c r="FY45" t="e">
        <f>AND(#REF!,"AAAAAH+vuLQ=")</f>
        <v>#REF!</v>
      </c>
      <c r="FZ45" t="e">
        <f>AND(#REF!,"AAAAAH+vuLU=")</f>
        <v>#REF!</v>
      </c>
      <c r="GA45" t="e">
        <f>AND(#REF!,"AAAAAH+vuLY=")</f>
        <v>#REF!</v>
      </c>
      <c r="GB45" t="e">
        <f>AND(#REF!,"AAAAAH+vuLc=")</f>
        <v>#REF!</v>
      </c>
      <c r="GC45" t="e">
        <f>AND(#REF!,"AAAAAH+vuLg=")</f>
        <v>#REF!</v>
      </c>
      <c r="GD45" t="e">
        <f>AND(#REF!,"AAAAAH+vuLk=")</f>
        <v>#REF!</v>
      </c>
      <c r="GE45" t="e">
        <f>AND(#REF!,"AAAAAH+vuLo=")</f>
        <v>#REF!</v>
      </c>
      <c r="GF45" t="e">
        <f>AND(#REF!,"AAAAAH+vuLs=")</f>
        <v>#REF!</v>
      </c>
      <c r="GG45" t="e">
        <f>AND(#REF!,"AAAAAH+vuLw=")</f>
        <v>#REF!</v>
      </c>
      <c r="GH45" t="e">
        <f>AND(#REF!,"AAAAAH+vuL0=")</f>
        <v>#REF!</v>
      </c>
      <c r="GI45" t="e">
        <f>AND(#REF!,"AAAAAH+vuL4=")</f>
        <v>#REF!</v>
      </c>
      <c r="GJ45" t="e">
        <f>AND(#REF!,"AAAAAH+vuL8=")</f>
        <v>#REF!</v>
      </c>
      <c r="GK45" t="e">
        <f>AND(#REF!,"AAAAAH+vuMA=")</f>
        <v>#REF!</v>
      </c>
      <c r="GL45" t="e">
        <f>AND(#REF!,"AAAAAH+vuME=")</f>
        <v>#REF!</v>
      </c>
      <c r="GM45" t="e">
        <f>AND(#REF!,"AAAAAH+vuMI=")</f>
        <v>#REF!</v>
      </c>
      <c r="GN45" t="e">
        <f>AND(#REF!,"AAAAAH+vuMM=")</f>
        <v>#REF!</v>
      </c>
      <c r="GO45" t="e">
        <f>AND(#REF!,"AAAAAH+vuMQ=")</f>
        <v>#REF!</v>
      </c>
      <c r="GP45" t="e">
        <f>AND(#REF!,"AAAAAH+vuMU=")</f>
        <v>#REF!</v>
      </c>
      <c r="GQ45" t="e">
        <f>AND(#REF!,"AAAAAH+vuMY=")</f>
        <v>#REF!</v>
      </c>
      <c r="GR45" t="e">
        <f>AND(#REF!,"AAAAAH+vuMc=")</f>
        <v>#REF!</v>
      </c>
      <c r="GS45" t="e">
        <f>AND(#REF!,"AAAAAH+vuMg=")</f>
        <v>#REF!</v>
      </c>
      <c r="GT45" t="e">
        <f>AND(#REF!,"AAAAAH+vuMk=")</f>
        <v>#REF!</v>
      </c>
      <c r="GU45" t="e">
        <f>AND(#REF!,"AAAAAH+vuMo=")</f>
        <v>#REF!</v>
      </c>
      <c r="GV45" t="e">
        <f>AND(#REF!,"AAAAAH+vuMs=")</f>
        <v>#REF!</v>
      </c>
      <c r="GW45" t="e">
        <f>AND(#REF!,"AAAAAH+vuMw=")</f>
        <v>#REF!</v>
      </c>
      <c r="GX45" t="e">
        <f>AND(#REF!,"AAAAAH+vuM0=")</f>
        <v>#REF!</v>
      </c>
      <c r="GY45" t="e">
        <f>AND(#REF!,"AAAAAH+vuM4=")</f>
        <v>#REF!</v>
      </c>
      <c r="GZ45" t="e">
        <f>AND(#REF!,"AAAAAH+vuM8=")</f>
        <v>#REF!</v>
      </c>
      <c r="HA45" t="e">
        <f>AND(#REF!,"AAAAAH+vuNA=")</f>
        <v>#REF!</v>
      </c>
      <c r="HB45" t="e">
        <f>AND(#REF!,"AAAAAH+vuNE=")</f>
        <v>#REF!</v>
      </c>
      <c r="HC45" t="e">
        <f>AND(#REF!,"AAAAAH+vuNI=")</f>
        <v>#REF!</v>
      </c>
      <c r="HD45" t="e">
        <f>AND(#REF!,"AAAAAH+vuNM=")</f>
        <v>#REF!</v>
      </c>
      <c r="HE45" t="e">
        <f>AND(#REF!,"AAAAAH+vuNQ=")</f>
        <v>#REF!</v>
      </c>
      <c r="HF45" t="e">
        <f>AND(#REF!,"AAAAAH+vuNU=")</f>
        <v>#REF!</v>
      </c>
      <c r="HG45" t="e">
        <f>AND(#REF!,"AAAAAH+vuNY=")</f>
        <v>#REF!</v>
      </c>
      <c r="HH45" t="e">
        <f>AND(#REF!,"AAAAAH+vuNc=")</f>
        <v>#REF!</v>
      </c>
      <c r="HI45" t="e">
        <f>AND(#REF!,"AAAAAH+vuNg=")</f>
        <v>#REF!</v>
      </c>
      <c r="HJ45" t="e">
        <f>AND(#REF!,"AAAAAH+vuNk=")</f>
        <v>#REF!</v>
      </c>
      <c r="HK45" t="e">
        <f>AND(#REF!,"AAAAAH+vuNo=")</f>
        <v>#REF!</v>
      </c>
      <c r="HL45" t="e">
        <f>AND(#REF!,"AAAAAH+vuNs=")</f>
        <v>#REF!</v>
      </c>
      <c r="HM45" t="e">
        <f>IF(#REF!,"AAAAAH+vuNw=",0)</f>
        <v>#REF!</v>
      </c>
      <c r="HN45" t="e">
        <f>AND(#REF!,"AAAAAH+vuN0=")</f>
        <v>#REF!</v>
      </c>
      <c r="HO45" t="e">
        <f>AND(#REF!,"AAAAAH+vuN4=")</f>
        <v>#REF!</v>
      </c>
      <c r="HP45" t="e">
        <f>AND(#REF!,"AAAAAH+vuN8=")</f>
        <v>#REF!</v>
      </c>
      <c r="HQ45" t="e">
        <f>AND(#REF!,"AAAAAH+vuOA=")</f>
        <v>#REF!</v>
      </c>
      <c r="HR45" t="e">
        <f>AND(#REF!,"AAAAAH+vuOE=")</f>
        <v>#REF!</v>
      </c>
      <c r="HS45" t="e">
        <f>AND(#REF!,"AAAAAH+vuOI=")</f>
        <v>#REF!</v>
      </c>
      <c r="HT45" t="e">
        <f>AND(#REF!,"AAAAAH+vuOM=")</f>
        <v>#REF!</v>
      </c>
      <c r="HU45" t="e">
        <f>AND(#REF!,"AAAAAH+vuOQ=")</f>
        <v>#REF!</v>
      </c>
      <c r="HV45" t="e">
        <f>AND(#REF!,"AAAAAH+vuOU=")</f>
        <v>#REF!</v>
      </c>
      <c r="HW45" t="e">
        <f>AND(#REF!,"AAAAAH+vuOY=")</f>
        <v>#REF!</v>
      </c>
      <c r="HX45" t="e">
        <f>AND(#REF!,"AAAAAH+vuOc=")</f>
        <v>#REF!</v>
      </c>
      <c r="HY45" t="e">
        <f>AND(#REF!,"AAAAAH+vuOg=")</f>
        <v>#REF!</v>
      </c>
      <c r="HZ45" t="e">
        <f>AND(#REF!,"AAAAAH+vuOk=")</f>
        <v>#REF!</v>
      </c>
      <c r="IA45" t="e">
        <f>AND(#REF!,"AAAAAH+vuOo=")</f>
        <v>#REF!</v>
      </c>
      <c r="IB45" t="e">
        <f>AND(#REF!,"AAAAAH+vuOs=")</f>
        <v>#REF!</v>
      </c>
      <c r="IC45" t="e">
        <f>AND(#REF!,"AAAAAH+vuOw=")</f>
        <v>#REF!</v>
      </c>
      <c r="ID45" t="e">
        <f>AND(#REF!,"AAAAAH+vuO0=")</f>
        <v>#REF!</v>
      </c>
      <c r="IE45" t="e">
        <f>AND(#REF!,"AAAAAH+vuO4=")</f>
        <v>#REF!</v>
      </c>
      <c r="IF45" t="e">
        <f>AND(#REF!,"AAAAAH+vuO8=")</f>
        <v>#REF!</v>
      </c>
      <c r="IG45" t="e">
        <f>AND(#REF!,"AAAAAH+vuPA=")</f>
        <v>#REF!</v>
      </c>
      <c r="IH45" t="e">
        <f>AND(#REF!,"AAAAAH+vuPE=")</f>
        <v>#REF!</v>
      </c>
      <c r="II45" t="e">
        <f>AND(#REF!,"AAAAAH+vuPI=")</f>
        <v>#REF!</v>
      </c>
      <c r="IJ45" t="e">
        <f>AND(#REF!,"AAAAAH+vuPM=")</f>
        <v>#REF!</v>
      </c>
      <c r="IK45" t="e">
        <f>AND(#REF!,"AAAAAH+vuPQ=")</f>
        <v>#REF!</v>
      </c>
      <c r="IL45" t="e">
        <f>AND(#REF!,"AAAAAH+vuPU=")</f>
        <v>#REF!</v>
      </c>
      <c r="IM45" t="e">
        <f>AND(#REF!,"AAAAAH+vuPY=")</f>
        <v>#REF!</v>
      </c>
      <c r="IN45" t="e">
        <f>AND(#REF!,"AAAAAH+vuPc=")</f>
        <v>#REF!</v>
      </c>
      <c r="IO45" t="e">
        <f>AND(#REF!,"AAAAAH+vuPg=")</f>
        <v>#REF!</v>
      </c>
      <c r="IP45" t="e">
        <f>AND(#REF!,"AAAAAH+vuPk=")</f>
        <v>#REF!</v>
      </c>
      <c r="IQ45" t="e">
        <f>AND(#REF!,"AAAAAH+vuPo=")</f>
        <v>#REF!</v>
      </c>
      <c r="IR45" t="e">
        <f>AND(#REF!,"AAAAAH+vuPs=")</f>
        <v>#REF!</v>
      </c>
      <c r="IS45" t="e">
        <f>AND(#REF!,"AAAAAH+vuPw=")</f>
        <v>#REF!</v>
      </c>
      <c r="IT45" t="e">
        <f>AND(#REF!,"AAAAAH+vuP0=")</f>
        <v>#REF!</v>
      </c>
      <c r="IU45" t="e">
        <f>AND(#REF!,"AAAAAH+vuP4=")</f>
        <v>#REF!</v>
      </c>
      <c r="IV45" t="e">
        <f>AND(#REF!,"AAAAAH+vuP8=")</f>
        <v>#REF!</v>
      </c>
    </row>
    <row r="46" spans="1:256" x14ac:dyDescent="0.25">
      <c r="A46" t="e">
        <f>AND(#REF!,"AAAAAH+efwA=")</f>
        <v>#REF!</v>
      </c>
      <c r="B46" t="e">
        <f>AND(#REF!,"AAAAAH+efwE=")</f>
        <v>#REF!</v>
      </c>
      <c r="C46" t="e">
        <f>AND(#REF!,"AAAAAH+efwI=")</f>
        <v>#REF!</v>
      </c>
      <c r="D46" t="e">
        <f>AND(#REF!,"AAAAAH+efwM=")</f>
        <v>#REF!</v>
      </c>
      <c r="E46" t="e">
        <f>AND(#REF!,"AAAAAH+efwQ=")</f>
        <v>#REF!</v>
      </c>
      <c r="F46" t="e">
        <f>AND(#REF!,"AAAAAH+efwU=")</f>
        <v>#REF!</v>
      </c>
      <c r="G46" t="e">
        <f>AND(#REF!,"AAAAAH+efwY=")</f>
        <v>#REF!</v>
      </c>
      <c r="H46" t="e">
        <f>AND(#REF!,"AAAAAH+efwc=")</f>
        <v>#REF!</v>
      </c>
      <c r="I46" t="e">
        <f>IF(#REF!,"AAAAAH+efwg=",0)</f>
        <v>#REF!</v>
      </c>
      <c r="J46" t="e">
        <f>AND(#REF!,"AAAAAH+efwk=")</f>
        <v>#REF!</v>
      </c>
      <c r="K46" t="e">
        <f>AND(#REF!,"AAAAAH+efwo=")</f>
        <v>#REF!</v>
      </c>
      <c r="L46" t="e">
        <f>AND(#REF!,"AAAAAH+efws=")</f>
        <v>#REF!</v>
      </c>
      <c r="M46" t="e">
        <f>AND(#REF!,"AAAAAH+efww=")</f>
        <v>#REF!</v>
      </c>
      <c r="N46" t="e">
        <f>AND(#REF!,"AAAAAH+efw0=")</f>
        <v>#REF!</v>
      </c>
      <c r="O46" t="e">
        <f>AND(#REF!,"AAAAAH+efw4=")</f>
        <v>#REF!</v>
      </c>
      <c r="P46" t="e">
        <f>AND(#REF!,"AAAAAH+efw8=")</f>
        <v>#REF!</v>
      </c>
      <c r="Q46" t="e">
        <f>AND(#REF!,"AAAAAH+efxA=")</f>
        <v>#REF!</v>
      </c>
      <c r="R46" t="e">
        <f>AND(#REF!,"AAAAAH+efxE=")</f>
        <v>#REF!</v>
      </c>
      <c r="S46" t="e">
        <f>AND(#REF!,"AAAAAH+efxI=")</f>
        <v>#REF!</v>
      </c>
      <c r="T46" t="e">
        <f>AND(#REF!,"AAAAAH+efxM=")</f>
        <v>#REF!</v>
      </c>
      <c r="U46" t="e">
        <f>AND(#REF!,"AAAAAH+efxQ=")</f>
        <v>#REF!</v>
      </c>
      <c r="V46" t="e">
        <f>AND(#REF!,"AAAAAH+efxU=")</f>
        <v>#REF!</v>
      </c>
      <c r="W46" t="e">
        <f>AND(#REF!,"AAAAAH+efxY=")</f>
        <v>#REF!</v>
      </c>
      <c r="X46" t="e">
        <f>AND(#REF!,"AAAAAH+efxc=")</f>
        <v>#REF!</v>
      </c>
      <c r="Y46" t="e">
        <f>AND(#REF!,"AAAAAH+efxg=")</f>
        <v>#REF!</v>
      </c>
      <c r="Z46" t="e">
        <f>AND(#REF!,"AAAAAH+efxk=")</f>
        <v>#REF!</v>
      </c>
      <c r="AA46" t="e">
        <f>AND(#REF!,"AAAAAH+efxo=")</f>
        <v>#REF!</v>
      </c>
      <c r="AB46" t="e">
        <f>AND(#REF!,"AAAAAH+efxs=")</f>
        <v>#REF!</v>
      </c>
      <c r="AC46" t="e">
        <f>AND(#REF!,"AAAAAH+efxw=")</f>
        <v>#REF!</v>
      </c>
      <c r="AD46" t="e">
        <f>AND(#REF!,"AAAAAH+efx0=")</f>
        <v>#REF!</v>
      </c>
      <c r="AE46" t="e">
        <f>AND(#REF!,"AAAAAH+efx4=")</f>
        <v>#REF!</v>
      </c>
      <c r="AF46" t="e">
        <f>AND(#REF!,"AAAAAH+efx8=")</f>
        <v>#REF!</v>
      </c>
      <c r="AG46" t="e">
        <f>AND(#REF!,"AAAAAH+efyA=")</f>
        <v>#REF!</v>
      </c>
      <c r="AH46" t="e">
        <f>AND(#REF!,"AAAAAH+efyE=")</f>
        <v>#REF!</v>
      </c>
      <c r="AI46" t="e">
        <f>AND(#REF!,"AAAAAH+efyI=")</f>
        <v>#REF!</v>
      </c>
      <c r="AJ46" t="e">
        <f>AND(#REF!,"AAAAAH+efyM=")</f>
        <v>#REF!</v>
      </c>
      <c r="AK46" t="e">
        <f>AND(#REF!,"AAAAAH+efyQ=")</f>
        <v>#REF!</v>
      </c>
      <c r="AL46" t="e">
        <f>AND(#REF!,"AAAAAH+efyU=")</f>
        <v>#REF!</v>
      </c>
      <c r="AM46" t="e">
        <f>AND(#REF!,"AAAAAH+efyY=")</f>
        <v>#REF!</v>
      </c>
      <c r="AN46" t="e">
        <f>AND(#REF!,"AAAAAH+efyc=")</f>
        <v>#REF!</v>
      </c>
      <c r="AO46" t="e">
        <f>AND(#REF!,"AAAAAH+efyg=")</f>
        <v>#REF!</v>
      </c>
      <c r="AP46" t="e">
        <f>AND(#REF!,"AAAAAH+efyk=")</f>
        <v>#REF!</v>
      </c>
      <c r="AQ46" t="e">
        <f>AND(#REF!,"AAAAAH+efyo=")</f>
        <v>#REF!</v>
      </c>
      <c r="AR46" t="e">
        <f>AND(#REF!,"AAAAAH+efys=")</f>
        <v>#REF!</v>
      </c>
      <c r="AS46" t="e">
        <f>AND(#REF!,"AAAAAH+efyw=")</f>
        <v>#REF!</v>
      </c>
      <c r="AT46" t="e">
        <f>AND(#REF!,"AAAAAH+efy0=")</f>
        <v>#REF!</v>
      </c>
      <c r="AU46" t="e">
        <f>AND(#REF!,"AAAAAH+efy4=")</f>
        <v>#REF!</v>
      </c>
      <c r="AV46" t="e">
        <f>AND(#REF!,"AAAAAH+efy8=")</f>
        <v>#REF!</v>
      </c>
      <c r="AW46" t="e">
        <f>AND(#REF!,"AAAAAH+efzA=")</f>
        <v>#REF!</v>
      </c>
      <c r="AX46" t="e">
        <f>AND(#REF!,"AAAAAH+efzE=")</f>
        <v>#REF!</v>
      </c>
      <c r="AY46" t="e">
        <f>AND(#REF!,"AAAAAH+efzI=")</f>
        <v>#REF!</v>
      </c>
      <c r="AZ46" t="e">
        <f>AND(#REF!,"AAAAAH+efzM=")</f>
        <v>#REF!</v>
      </c>
      <c r="BA46" t="e">
        <f>IF(#REF!,"AAAAAH+efzQ=",0)</f>
        <v>#REF!</v>
      </c>
      <c r="BB46" t="e">
        <f>AND(#REF!,"AAAAAH+efzU=")</f>
        <v>#REF!</v>
      </c>
      <c r="BC46" t="e">
        <f>AND(#REF!,"AAAAAH+efzY=")</f>
        <v>#REF!</v>
      </c>
      <c r="BD46" t="e">
        <f>AND(#REF!,"AAAAAH+efzc=")</f>
        <v>#REF!</v>
      </c>
      <c r="BE46" t="e">
        <f>AND(#REF!,"AAAAAH+efzg=")</f>
        <v>#REF!</v>
      </c>
      <c r="BF46" t="e">
        <f>AND(#REF!,"AAAAAH+efzk=")</f>
        <v>#REF!</v>
      </c>
      <c r="BG46" t="e">
        <f>AND(#REF!,"AAAAAH+efzo=")</f>
        <v>#REF!</v>
      </c>
      <c r="BH46" t="e">
        <f>AND(#REF!,"AAAAAH+efzs=")</f>
        <v>#REF!</v>
      </c>
      <c r="BI46" t="e">
        <f>AND(#REF!,"AAAAAH+efzw=")</f>
        <v>#REF!</v>
      </c>
      <c r="BJ46" t="e">
        <f>AND(#REF!,"AAAAAH+efz0=")</f>
        <v>#REF!</v>
      </c>
      <c r="BK46" t="e">
        <f>AND(#REF!,"AAAAAH+efz4=")</f>
        <v>#REF!</v>
      </c>
      <c r="BL46" t="e">
        <f>AND(#REF!,"AAAAAH+efz8=")</f>
        <v>#REF!</v>
      </c>
      <c r="BM46" t="e">
        <f>AND(#REF!,"AAAAAH+ef0A=")</f>
        <v>#REF!</v>
      </c>
      <c r="BN46" t="e">
        <f>AND(#REF!,"AAAAAH+ef0E=")</f>
        <v>#REF!</v>
      </c>
      <c r="BO46" t="e">
        <f>AND(#REF!,"AAAAAH+ef0I=")</f>
        <v>#REF!</v>
      </c>
      <c r="BP46" t="e">
        <f>AND(#REF!,"AAAAAH+ef0M=")</f>
        <v>#REF!</v>
      </c>
      <c r="BQ46" t="e">
        <f>AND(#REF!,"AAAAAH+ef0Q=")</f>
        <v>#REF!</v>
      </c>
      <c r="BR46" t="e">
        <f>AND(#REF!,"AAAAAH+ef0U=")</f>
        <v>#REF!</v>
      </c>
      <c r="BS46" t="e">
        <f>AND(#REF!,"AAAAAH+ef0Y=")</f>
        <v>#REF!</v>
      </c>
      <c r="BT46" t="e">
        <f>AND(#REF!,"AAAAAH+ef0c=")</f>
        <v>#REF!</v>
      </c>
      <c r="BU46" t="e">
        <f>AND(#REF!,"AAAAAH+ef0g=")</f>
        <v>#REF!</v>
      </c>
      <c r="BV46" t="e">
        <f>AND(#REF!,"AAAAAH+ef0k=")</f>
        <v>#REF!</v>
      </c>
      <c r="BW46" t="e">
        <f>AND(#REF!,"AAAAAH+ef0o=")</f>
        <v>#REF!</v>
      </c>
      <c r="BX46" t="e">
        <f>AND(#REF!,"AAAAAH+ef0s=")</f>
        <v>#REF!</v>
      </c>
      <c r="BY46" t="e">
        <f>AND(#REF!,"AAAAAH+ef0w=")</f>
        <v>#REF!</v>
      </c>
      <c r="BZ46" t="e">
        <f>AND(#REF!,"AAAAAH+ef00=")</f>
        <v>#REF!</v>
      </c>
      <c r="CA46" t="e">
        <f>AND(#REF!,"AAAAAH+ef04=")</f>
        <v>#REF!</v>
      </c>
      <c r="CB46" t="e">
        <f>AND(#REF!,"AAAAAH+ef08=")</f>
        <v>#REF!</v>
      </c>
      <c r="CC46" t="e">
        <f>AND(#REF!,"AAAAAH+ef1A=")</f>
        <v>#REF!</v>
      </c>
      <c r="CD46" t="e">
        <f>AND(#REF!,"AAAAAH+ef1E=")</f>
        <v>#REF!</v>
      </c>
      <c r="CE46" t="e">
        <f>AND(#REF!,"AAAAAH+ef1I=")</f>
        <v>#REF!</v>
      </c>
      <c r="CF46" t="e">
        <f>AND(#REF!,"AAAAAH+ef1M=")</f>
        <v>#REF!</v>
      </c>
      <c r="CG46" t="e">
        <f>AND(#REF!,"AAAAAH+ef1Q=")</f>
        <v>#REF!</v>
      </c>
      <c r="CH46" t="e">
        <f>AND(#REF!,"AAAAAH+ef1U=")</f>
        <v>#REF!</v>
      </c>
      <c r="CI46" t="e">
        <f>AND(#REF!,"AAAAAH+ef1Y=")</f>
        <v>#REF!</v>
      </c>
      <c r="CJ46" t="e">
        <f>AND(#REF!,"AAAAAH+ef1c=")</f>
        <v>#REF!</v>
      </c>
      <c r="CK46" t="e">
        <f>AND(#REF!,"AAAAAH+ef1g=")</f>
        <v>#REF!</v>
      </c>
      <c r="CL46" t="e">
        <f>AND(#REF!,"AAAAAH+ef1k=")</f>
        <v>#REF!</v>
      </c>
      <c r="CM46" t="e">
        <f>AND(#REF!,"AAAAAH+ef1o=")</f>
        <v>#REF!</v>
      </c>
      <c r="CN46" t="e">
        <f>AND(#REF!,"AAAAAH+ef1s=")</f>
        <v>#REF!</v>
      </c>
      <c r="CO46" t="e">
        <f>AND(#REF!,"AAAAAH+ef1w=")</f>
        <v>#REF!</v>
      </c>
      <c r="CP46" t="e">
        <f>AND(#REF!,"AAAAAH+ef10=")</f>
        <v>#REF!</v>
      </c>
      <c r="CQ46" t="e">
        <f>AND(#REF!,"AAAAAH+ef14=")</f>
        <v>#REF!</v>
      </c>
      <c r="CR46" t="e">
        <f>AND(#REF!,"AAAAAH+ef18=")</f>
        <v>#REF!</v>
      </c>
      <c r="CS46" t="e">
        <f>IF(#REF!,"AAAAAH+ef2A=",0)</f>
        <v>#REF!</v>
      </c>
      <c r="CT46" t="e">
        <f>AND(#REF!,"AAAAAH+ef2E=")</f>
        <v>#REF!</v>
      </c>
      <c r="CU46" t="e">
        <f>AND(#REF!,"AAAAAH+ef2I=")</f>
        <v>#REF!</v>
      </c>
      <c r="CV46" t="e">
        <f>AND(#REF!,"AAAAAH+ef2M=")</f>
        <v>#REF!</v>
      </c>
      <c r="CW46" t="e">
        <f>AND(#REF!,"AAAAAH+ef2Q=")</f>
        <v>#REF!</v>
      </c>
      <c r="CX46" t="e">
        <f>AND(#REF!,"AAAAAH+ef2U=")</f>
        <v>#REF!</v>
      </c>
      <c r="CY46" t="e">
        <f>AND(#REF!,"AAAAAH+ef2Y=")</f>
        <v>#REF!</v>
      </c>
      <c r="CZ46" t="e">
        <f>AND(#REF!,"AAAAAH+ef2c=")</f>
        <v>#REF!</v>
      </c>
      <c r="DA46" t="e">
        <f>AND(#REF!,"AAAAAH+ef2g=")</f>
        <v>#REF!</v>
      </c>
      <c r="DB46" t="e">
        <f>AND(#REF!,"AAAAAH+ef2k=")</f>
        <v>#REF!</v>
      </c>
      <c r="DC46" t="e">
        <f>AND(#REF!,"AAAAAH+ef2o=")</f>
        <v>#REF!</v>
      </c>
      <c r="DD46" t="e">
        <f>AND(#REF!,"AAAAAH+ef2s=")</f>
        <v>#REF!</v>
      </c>
      <c r="DE46" t="e">
        <f>AND(#REF!,"AAAAAH+ef2w=")</f>
        <v>#REF!</v>
      </c>
      <c r="DF46" t="e">
        <f>AND(#REF!,"AAAAAH+ef20=")</f>
        <v>#REF!</v>
      </c>
      <c r="DG46" t="e">
        <f>AND(#REF!,"AAAAAH+ef24=")</f>
        <v>#REF!</v>
      </c>
      <c r="DH46" t="e">
        <f>AND(#REF!,"AAAAAH+ef28=")</f>
        <v>#REF!</v>
      </c>
      <c r="DI46" t="e">
        <f>AND(#REF!,"AAAAAH+ef3A=")</f>
        <v>#REF!</v>
      </c>
      <c r="DJ46" t="e">
        <f>AND(#REF!,"AAAAAH+ef3E=")</f>
        <v>#REF!</v>
      </c>
      <c r="DK46" t="e">
        <f>AND(#REF!,"AAAAAH+ef3I=")</f>
        <v>#REF!</v>
      </c>
      <c r="DL46" t="e">
        <f>AND(#REF!,"AAAAAH+ef3M=")</f>
        <v>#REF!</v>
      </c>
      <c r="DM46" t="e">
        <f>AND(#REF!,"AAAAAH+ef3Q=")</f>
        <v>#REF!</v>
      </c>
      <c r="DN46" t="e">
        <f>AND(#REF!,"AAAAAH+ef3U=")</f>
        <v>#REF!</v>
      </c>
      <c r="DO46" t="e">
        <f>AND(#REF!,"AAAAAH+ef3Y=")</f>
        <v>#REF!</v>
      </c>
      <c r="DP46" t="e">
        <f>AND(#REF!,"AAAAAH+ef3c=")</f>
        <v>#REF!</v>
      </c>
      <c r="DQ46" t="e">
        <f>AND(#REF!,"AAAAAH+ef3g=")</f>
        <v>#REF!</v>
      </c>
      <c r="DR46" t="e">
        <f>AND(#REF!,"AAAAAH+ef3k=")</f>
        <v>#REF!</v>
      </c>
      <c r="DS46" t="e">
        <f>AND(#REF!,"AAAAAH+ef3o=")</f>
        <v>#REF!</v>
      </c>
      <c r="DT46" t="e">
        <f>AND(#REF!,"AAAAAH+ef3s=")</f>
        <v>#REF!</v>
      </c>
      <c r="DU46" t="e">
        <f>AND(#REF!,"AAAAAH+ef3w=")</f>
        <v>#REF!</v>
      </c>
      <c r="DV46" t="e">
        <f>AND(#REF!,"AAAAAH+ef30=")</f>
        <v>#REF!</v>
      </c>
      <c r="DW46" t="e">
        <f>AND(#REF!,"AAAAAH+ef34=")</f>
        <v>#REF!</v>
      </c>
      <c r="DX46" t="e">
        <f>AND(#REF!,"AAAAAH+ef38=")</f>
        <v>#REF!</v>
      </c>
      <c r="DY46" t="e">
        <f>AND(#REF!,"AAAAAH+ef4A=")</f>
        <v>#REF!</v>
      </c>
      <c r="DZ46" t="e">
        <f>AND(#REF!,"AAAAAH+ef4E=")</f>
        <v>#REF!</v>
      </c>
      <c r="EA46" t="e">
        <f>AND(#REF!,"AAAAAH+ef4I=")</f>
        <v>#REF!</v>
      </c>
      <c r="EB46" t="e">
        <f>AND(#REF!,"AAAAAH+ef4M=")</f>
        <v>#REF!</v>
      </c>
      <c r="EC46" t="e">
        <f>AND(#REF!,"AAAAAH+ef4Q=")</f>
        <v>#REF!</v>
      </c>
      <c r="ED46" t="e">
        <f>AND(#REF!,"AAAAAH+ef4U=")</f>
        <v>#REF!</v>
      </c>
      <c r="EE46" t="e">
        <f>AND(#REF!,"AAAAAH+ef4Y=")</f>
        <v>#REF!</v>
      </c>
      <c r="EF46" t="e">
        <f>AND(#REF!,"AAAAAH+ef4c=")</f>
        <v>#REF!</v>
      </c>
      <c r="EG46" t="e">
        <f>AND(#REF!,"AAAAAH+ef4g=")</f>
        <v>#REF!</v>
      </c>
      <c r="EH46" t="e">
        <f>AND(#REF!,"AAAAAH+ef4k=")</f>
        <v>#REF!</v>
      </c>
      <c r="EI46" t="e">
        <f>AND(#REF!,"AAAAAH+ef4o=")</f>
        <v>#REF!</v>
      </c>
      <c r="EJ46" t="e">
        <f>AND(#REF!,"AAAAAH+ef4s=")</f>
        <v>#REF!</v>
      </c>
      <c r="EK46" t="e">
        <f>IF(#REF!,"AAAAAH+ef4w=",0)</f>
        <v>#REF!</v>
      </c>
      <c r="EL46" t="e">
        <f>AND(#REF!,"AAAAAH+ef40=")</f>
        <v>#REF!</v>
      </c>
      <c r="EM46" t="e">
        <f>AND(#REF!,"AAAAAH+ef44=")</f>
        <v>#REF!</v>
      </c>
      <c r="EN46" t="e">
        <f>AND(#REF!,"AAAAAH+ef48=")</f>
        <v>#REF!</v>
      </c>
      <c r="EO46" t="e">
        <f>AND(#REF!,"AAAAAH+ef5A=")</f>
        <v>#REF!</v>
      </c>
      <c r="EP46" t="e">
        <f>AND(#REF!,"AAAAAH+ef5E=")</f>
        <v>#REF!</v>
      </c>
      <c r="EQ46" t="e">
        <f>AND(#REF!,"AAAAAH+ef5I=")</f>
        <v>#REF!</v>
      </c>
      <c r="ER46" t="e">
        <f>AND(#REF!,"AAAAAH+ef5M=")</f>
        <v>#REF!</v>
      </c>
      <c r="ES46" t="e">
        <f>AND(#REF!,"AAAAAH+ef5Q=")</f>
        <v>#REF!</v>
      </c>
      <c r="ET46" t="e">
        <f>AND(#REF!,"AAAAAH+ef5U=")</f>
        <v>#REF!</v>
      </c>
      <c r="EU46" t="e">
        <f>AND(#REF!,"AAAAAH+ef5Y=")</f>
        <v>#REF!</v>
      </c>
      <c r="EV46" t="e">
        <f>AND(#REF!,"AAAAAH+ef5c=")</f>
        <v>#REF!</v>
      </c>
      <c r="EW46" t="e">
        <f>AND(#REF!,"AAAAAH+ef5g=")</f>
        <v>#REF!</v>
      </c>
      <c r="EX46" t="e">
        <f>AND(#REF!,"AAAAAH+ef5k=")</f>
        <v>#REF!</v>
      </c>
      <c r="EY46" t="e">
        <f>AND(#REF!,"AAAAAH+ef5o=")</f>
        <v>#REF!</v>
      </c>
      <c r="EZ46" t="e">
        <f>AND(#REF!,"AAAAAH+ef5s=")</f>
        <v>#REF!</v>
      </c>
      <c r="FA46" t="e">
        <f>AND(#REF!,"AAAAAH+ef5w=")</f>
        <v>#REF!</v>
      </c>
      <c r="FB46" t="e">
        <f>AND(#REF!,"AAAAAH+ef50=")</f>
        <v>#REF!</v>
      </c>
      <c r="FC46" t="e">
        <f>AND(#REF!,"AAAAAH+ef54=")</f>
        <v>#REF!</v>
      </c>
      <c r="FD46" t="e">
        <f>AND(#REF!,"AAAAAH+ef58=")</f>
        <v>#REF!</v>
      </c>
      <c r="FE46" t="e">
        <f>AND(#REF!,"AAAAAH+ef6A=")</f>
        <v>#REF!</v>
      </c>
      <c r="FF46" t="e">
        <f>AND(#REF!,"AAAAAH+ef6E=")</f>
        <v>#REF!</v>
      </c>
      <c r="FG46" t="e">
        <f>AND(#REF!,"AAAAAH+ef6I=")</f>
        <v>#REF!</v>
      </c>
      <c r="FH46" t="e">
        <f>AND(#REF!,"AAAAAH+ef6M=")</f>
        <v>#REF!</v>
      </c>
      <c r="FI46" t="e">
        <f>AND(#REF!,"AAAAAH+ef6Q=")</f>
        <v>#REF!</v>
      </c>
      <c r="FJ46" t="e">
        <f>AND(#REF!,"AAAAAH+ef6U=")</f>
        <v>#REF!</v>
      </c>
      <c r="FK46" t="e">
        <f>AND(#REF!,"AAAAAH+ef6Y=")</f>
        <v>#REF!</v>
      </c>
      <c r="FL46" t="e">
        <f>AND(#REF!,"AAAAAH+ef6c=")</f>
        <v>#REF!</v>
      </c>
      <c r="FM46" t="e">
        <f>AND(#REF!,"AAAAAH+ef6g=")</f>
        <v>#REF!</v>
      </c>
      <c r="FN46" t="e">
        <f>AND(#REF!,"AAAAAH+ef6k=")</f>
        <v>#REF!</v>
      </c>
      <c r="FO46" t="e">
        <f>AND(#REF!,"AAAAAH+ef6o=")</f>
        <v>#REF!</v>
      </c>
      <c r="FP46" t="e">
        <f>AND(#REF!,"AAAAAH+ef6s=")</f>
        <v>#REF!</v>
      </c>
      <c r="FQ46" t="e">
        <f>AND(#REF!,"AAAAAH+ef6w=")</f>
        <v>#REF!</v>
      </c>
      <c r="FR46" t="e">
        <f>AND(#REF!,"AAAAAH+ef60=")</f>
        <v>#REF!</v>
      </c>
      <c r="FS46" t="e">
        <f>AND(#REF!,"AAAAAH+ef64=")</f>
        <v>#REF!</v>
      </c>
      <c r="FT46" t="e">
        <f>AND(#REF!,"AAAAAH+ef68=")</f>
        <v>#REF!</v>
      </c>
      <c r="FU46" t="e">
        <f>AND(#REF!,"AAAAAH+ef7A=")</f>
        <v>#REF!</v>
      </c>
      <c r="FV46" t="e">
        <f>AND(#REF!,"AAAAAH+ef7E=")</f>
        <v>#REF!</v>
      </c>
      <c r="FW46" t="e">
        <f>AND(#REF!,"AAAAAH+ef7I=")</f>
        <v>#REF!</v>
      </c>
      <c r="FX46" t="e">
        <f>AND(#REF!,"AAAAAH+ef7M=")</f>
        <v>#REF!</v>
      </c>
      <c r="FY46" t="e">
        <f>AND(#REF!,"AAAAAH+ef7Q=")</f>
        <v>#REF!</v>
      </c>
      <c r="FZ46" t="e">
        <f>AND(#REF!,"AAAAAH+ef7U=")</f>
        <v>#REF!</v>
      </c>
      <c r="GA46" t="e">
        <f>AND(#REF!,"AAAAAH+ef7Y=")</f>
        <v>#REF!</v>
      </c>
      <c r="GB46" t="e">
        <f>AND(#REF!,"AAAAAH+ef7c=")</f>
        <v>#REF!</v>
      </c>
      <c r="GC46" t="e">
        <f>IF(#REF!,"AAAAAH+ef7g=",0)</f>
        <v>#REF!</v>
      </c>
      <c r="GD46" t="e">
        <f>AND(#REF!,"AAAAAH+ef7k=")</f>
        <v>#REF!</v>
      </c>
      <c r="GE46" t="e">
        <f>AND(#REF!,"AAAAAH+ef7o=")</f>
        <v>#REF!</v>
      </c>
      <c r="GF46" t="e">
        <f>AND(#REF!,"AAAAAH+ef7s=")</f>
        <v>#REF!</v>
      </c>
      <c r="GG46" t="e">
        <f>AND(#REF!,"AAAAAH+ef7w=")</f>
        <v>#REF!</v>
      </c>
      <c r="GH46" t="e">
        <f>AND(#REF!,"AAAAAH+ef70=")</f>
        <v>#REF!</v>
      </c>
      <c r="GI46" t="e">
        <f>AND(#REF!,"AAAAAH+ef74=")</f>
        <v>#REF!</v>
      </c>
      <c r="GJ46" t="e">
        <f>AND(#REF!,"AAAAAH+ef78=")</f>
        <v>#REF!</v>
      </c>
      <c r="GK46" t="e">
        <f>AND(#REF!,"AAAAAH+ef8A=")</f>
        <v>#REF!</v>
      </c>
      <c r="GL46" t="e">
        <f>AND(#REF!,"AAAAAH+ef8E=")</f>
        <v>#REF!</v>
      </c>
      <c r="GM46" t="e">
        <f>AND(#REF!,"AAAAAH+ef8I=")</f>
        <v>#REF!</v>
      </c>
      <c r="GN46" t="e">
        <f>AND(#REF!,"AAAAAH+ef8M=")</f>
        <v>#REF!</v>
      </c>
      <c r="GO46" t="e">
        <f>AND(#REF!,"AAAAAH+ef8Q=")</f>
        <v>#REF!</v>
      </c>
      <c r="GP46" t="e">
        <f>AND(#REF!,"AAAAAH+ef8U=")</f>
        <v>#REF!</v>
      </c>
      <c r="GQ46" t="e">
        <f>AND(#REF!,"AAAAAH+ef8Y=")</f>
        <v>#REF!</v>
      </c>
      <c r="GR46" t="e">
        <f>AND(#REF!,"AAAAAH+ef8c=")</f>
        <v>#REF!</v>
      </c>
      <c r="GS46" t="e">
        <f>AND(#REF!,"AAAAAH+ef8g=")</f>
        <v>#REF!</v>
      </c>
      <c r="GT46" t="e">
        <f>AND(#REF!,"AAAAAH+ef8k=")</f>
        <v>#REF!</v>
      </c>
      <c r="GU46" t="e">
        <f>AND(#REF!,"AAAAAH+ef8o=")</f>
        <v>#REF!</v>
      </c>
      <c r="GV46" t="e">
        <f>AND(#REF!,"AAAAAH+ef8s=")</f>
        <v>#REF!</v>
      </c>
      <c r="GW46" t="e">
        <f>AND(#REF!,"AAAAAH+ef8w=")</f>
        <v>#REF!</v>
      </c>
      <c r="GX46" t="e">
        <f>AND(#REF!,"AAAAAH+ef80=")</f>
        <v>#REF!</v>
      </c>
      <c r="GY46" t="e">
        <f>AND(#REF!,"AAAAAH+ef84=")</f>
        <v>#REF!</v>
      </c>
      <c r="GZ46" t="e">
        <f>AND(#REF!,"AAAAAH+ef88=")</f>
        <v>#REF!</v>
      </c>
      <c r="HA46" t="e">
        <f>AND(#REF!,"AAAAAH+ef9A=")</f>
        <v>#REF!</v>
      </c>
      <c r="HB46" t="e">
        <f>AND(#REF!,"AAAAAH+ef9E=")</f>
        <v>#REF!</v>
      </c>
      <c r="HC46" t="e">
        <f>AND(#REF!,"AAAAAH+ef9I=")</f>
        <v>#REF!</v>
      </c>
      <c r="HD46" t="e">
        <f>AND(#REF!,"AAAAAH+ef9M=")</f>
        <v>#REF!</v>
      </c>
      <c r="HE46" t="e">
        <f>AND(#REF!,"AAAAAH+ef9Q=")</f>
        <v>#REF!</v>
      </c>
      <c r="HF46" t="e">
        <f>AND(#REF!,"AAAAAH+ef9U=")</f>
        <v>#REF!</v>
      </c>
      <c r="HG46" t="e">
        <f>AND(#REF!,"AAAAAH+ef9Y=")</f>
        <v>#REF!</v>
      </c>
      <c r="HH46" t="e">
        <f>AND(#REF!,"AAAAAH+ef9c=")</f>
        <v>#REF!</v>
      </c>
      <c r="HI46" t="e">
        <f>AND(#REF!,"AAAAAH+ef9g=")</f>
        <v>#REF!</v>
      </c>
      <c r="HJ46" t="e">
        <f>AND(#REF!,"AAAAAH+ef9k=")</f>
        <v>#REF!</v>
      </c>
      <c r="HK46" t="e">
        <f>AND(#REF!,"AAAAAH+ef9o=")</f>
        <v>#REF!</v>
      </c>
      <c r="HL46" t="e">
        <f>AND(#REF!,"AAAAAH+ef9s=")</f>
        <v>#REF!</v>
      </c>
      <c r="HM46" t="e">
        <f>AND(#REF!,"AAAAAH+ef9w=")</f>
        <v>#REF!</v>
      </c>
      <c r="HN46" t="e">
        <f>AND(#REF!,"AAAAAH+ef90=")</f>
        <v>#REF!</v>
      </c>
      <c r="HO46" t="e">
        <f>AND(#REF!,"AAAAAH+ef94=")</f>
        <v>#REF!</v>
      </c>
      <c r="HP46" t="e">
        <f>AND(#REF!,"AAAAAH+ef98=")</f>
        <v>#REF!</v>
      </c>
      <c r="HQ46" t="e">
        <f>AND(#REF!,"AAAAAH+ef+A=")</f>
        <v>#REF!</v>
      </c>
      <c r="HR46" t="e">
        <f>AND(#REF!,"AAAAAH+ef+E=")</f>
        <v>#REF!</v>
      </c>
      <c r="HS46" t="e">
        <f>AND(#REF!,"AAAAAH+ef+I=")</f>
        <v>#REF!</v>
      </c>
      <c r="HT46" t="e">
        <f>AND(#REF!,"AAAAAH+ef+M=")</f>
        <v>#REF!</v>
      </c>
      <c r="HU46" t="e">
        <f>IF(#REF!,"AAAAAH+ef+Q=",0)</f>
        <v>#REF!</v>
      </c>
      <c r="HV46" t="e">
        <f>AND(#REF!,"AAAAAH+ef+U=")</f>
        <v>#REF!</v>
      </c>
      <c r="HW46" t="e">
        <f>AND(#REF!,"AAAAAH+ef+Y=")</f>
        <v>#REF!</v>
      </c>
      <c r="HX46" t="e">
        <f>AND(#REF!,"AAAAAH+ef+c=")</f>
        <v>#REF!</v>
      </c>
      <c r="HY46" t="e">
        <f>AND(#REF!,"AAAAAH+ef+g=")</f>
        <v>#REF!</v>
      </c>
      <c r="HZ46" t="e">
        <f>AND(#REF!,"AAAAAH+ef+k=")</f>
        <v>#REF!</v>
      </c>
      <c r="IA46" t="e">
        <f>AND(#REF!,"AAAAAH+ef+o=")</f>
        <v>#REF!</v>
      </c>
      <c r="IB46" t="e">
        <f>AND(#REF!,"AAAAAH+ef+s=")</f>
        <v>#REF!</v>
      </c>
      <c r="IC46" t="e">
        <f>AND(#REF!,"AAAAAH+ef+w=")</f>
        <v>#REF!</v>
      </c>
      <c r="ID46" t="e">
        <f>AND(#REF!,"AAAAAH+ef+0=")</f>
        <v>#REF!</v>
      </c>
      <c r="IE46" t="e">
        <f>AND(#REF!,"AAAAAH+ef+4=")</f>
        <v>#REF!</v>
      </c>
      <c r="IF46" t="e">
        <f>AND(#REF!,"AAAAAH+ef+8=")</f>
        <v>#REF!</v>
      </c>
      <c r="IG46" t="e">
        <f>AND(#REF!,"AAAAAH+ef/A=")</f>
        <v>#REF!</v>
      </c>
      <c r="IH46" t="e">
        <f>AND(#REF!,"AAAAAH+ef/E=")</f>
        <v>#REF!</v>
      </c>
      <c r="II46" t="e">
        <f>AND(#REF!,"AAAAAH+ef/I=")</f>
        <v>#REF!</v>
      </c>
      <c r="IJ46" t="e">
        <f>AND(#REF!,"AAAAAH+ef/M=")</f>
        <v>#REF!</v>
      </c>
      <c r="IK46" t="e">
        <f>AND(#REF!,"AAAAAH+ef/Q=")</f>
        <v>#REF!</v>
      </c>
      <c r="IL46" t="e">
        <f>AND(#REF!,"AAAAAH+ef/U=")</f>
        <v>#REF!</v>
      </c>
      <c r="IM46" t="e">
        <f>AND(#REF!,"AAAAAH+ef/Y=")</f>
        <v>#REF!</v>
      </c>
      <c r="IN46" t="e">
        <f>AND(#REF!,"AAAAAH+ef/c=")</f>
        <v>#REF!</v>
      </c>
      <c r="IO46" t="e">
        <f>AND(#REF!,"AAAAAH+ef/g=")</f>
        <v>#REF!</v>
      </c>
      <c r="IP46" t="e">
        <f>AND(#REF!,"AAAAAH+ef/k=")</f>
        <v>#REF!</v>
      </c>
      <c r="IQ46" t="e">
        <f>AND(#REF!,"AAAAAH+ef/o=")</f>
        <v>#REF!</v>
      </c>
      <c r="IR46" t="e">
        <f>AND(#REF!,"AAAAAH+ef/s=")</f>
        <v>#REF!</v>
      </c>
      <c r="IS46" t="e">
        <f>AND(#REF!,"AAAAAH+ef/w=")</f>
        <v>#REF!</v>
      </c>
      <c r="IT46" t="e">
        <f>AND(#REF!,"AAAAAH+ef/0=")</f>
        <v>#REF!</v>
      </c>
      <c r="IU46" t="e">
        <f>AND(#REF!,"AAAAAH+ef/4=")</f>
        <v>#REF!</v>
      </c>
      <c r="IV46" t="e">
        <f>AND(#REF!,"AAAAAH+ef/8=")</f>
        <v>#REF!</v>
      </c>
    </row>
    <row r="47" spans="1:256" x14ac:dyDescent="0.25">
      <c r="A47" t="e">
        <f>AND(#REF!,"AAAAAEr49wA=")</f>
        <v>#REF!</v>
      </c>
      <c r="B47" t="e">
        <f>AND(#REF!,"AAAAAEr49wE=")</f>
        <v>#REF!</v>
      </c>
      <c r="C47" t="e">
        <f>AND(#REF!,"AAAAAEr49wI=")</f>
        <v>#REF!</v>
      </c>
      <c r="D47" t="e">
        <f>AND(#REF!,"AAAAAEr49wM=")</f>
        <v>#REF!</v>
      </c>
      <c r="E47" t="e">
        <f>AND(#REF!,"AAAAAEr49wQ=")</f>
        <v>#REF!</v>
      </c>
      <c r="F47" t="e">
        <f>AND(#REF!,"AAAAAEr49wU=")</f>
        <v>#REF!</v>
      </c>
      <c r="G47" t="e">
        <f>AND(#REF!,"AAAAAEr49wY=")</f>
        <v>#REF!</v>
      </c>
      <c r="H47" t="e">
        <f>AND(#REF!,"AAAAAEr49wc=")</f>
        <v>#REF!</v>
      </c>
      <c r="I47" t="e">
        <f>AND(#REF!,"AAAAAEr49wg=")</f>
        <v>#REF!</v>
      </c>
      <c r="J47" t="e">
        <f>AND(#REF!,"AAAAAEr49wk=")</f>
        <v>#REF!</v>
      </c>
      <c r="K47" t="e">
        <f>AND(#REF!,"AAAAAEr49wo=")</f>
        <v>#REF!</v>
      </c>
      <c r="L47" t="e">
        <f>AND(#REF!,"AAAAAEr49ws=")</f>
        <v>#REF!</v>
      </c>
      <c r="M47" t="e">
        <f>AND(#REF!,"AAAAAEr49ww=")</f>
        <v>#REF!</v>
      </c>
      <c r="N47" t="e">
        <f>AND(#REF!,"AAAAAEr49w0=")</f>
        <v>#REF!</v>
      </c>
      <c r="O47" t="e">
        <f>AND(#REF!,"AAAAAEr49w4=")</f>
        <v>#REF!</v>
      </c>
      <c r="P47" t="e">
        <f>AND(#REF!,"AAAAAEr49w8=")</f>
        <v>#REF!</v>
      </c>
      <c r="Q47" t="e">
        <f>IF(#REF!,"AAAAAEr49xA=",0)</f>
        <v>#REF!</v>
      </c>
      <c r="R47" t="e">
        <f>AND(#REF!,"AAAAAEr49xE=")</f>
        <v>#REF!</v>
      </c>
      <c r="S47" t="e">
        <f>AND(#REF!,"AAAAAEr49xI=")</f>
        <v>#REF!</v>
      </c>
      <c r="T47" t="e">
        <f>AND(#REF!,"AAAAAEr49xM=")</f>
        <v>#REF!</v>
      </c>
      <c r="U47" t="e">
        <f>AND(#REF!,"AAAAAEr49xQ=")</f>
        <v>#REF!</v>
      </c>
      <c r="V47" t="e">
        <f>AND(#REF!,"AAAAAEr49xU=")</f>
        <v>#REF!</v>
      </c>
      <c r="W47" t="e">
        <f>AND(#REF!,"AAAAAEr49xY=")</f>
        <v>#REF!</v>
      </c>
      <c r="X47" t="e">
        <f>AND(#REF!,"AAAAAEr49xc=")</f>
        <v>#REF!</v>
      </c>
      <c r="Y47" t="e">
        <f>AND(#REF!,"AAAAAEr49xg=")</f>
        <v>#REF!</v>
      </c>
      <c r="Z47" t="e">
        <f>AND(#REF!,"AAAAAEr49xk=")</f>
        <v>#REF!</v>
      </c>
      <c r="AA47" t="e">
        <f>AND(#REF!,"AAAAAEr49xo=")</f>
        <v>#REF!</v>
      </c>
      <c r="AB47" t="e">
        <f>AND(#REF!,"AAAAAEr49xs=")</f>
        <v>#REF!</v>
      </c>
      <c r="AC47" t="e">
        <f>AND(#REF!,"AAAAAEr49xw=")</f>
        <v>#REF!</v>
      </c>
      <c r="AD47" t="e">
        <f>AND(#REF!,"AAAAAEr49x0=")</f>
        <v>#REF!</v>
      </c>
      <c r="AE47" t="e">
        <f>AND(#REF!,"AAAAAEr49x4=")</f>
        <v>#REF!</v>
      </c>
      <c r="AF47" t="e">
        <f>AND(#REF!,"AAAAAEr49x8=")</f>
        <v>#REF!</v>
      </c>
      <c r="AG47" t="e">
        <f>AND(#REF!,"AAAAAEr49yA=")</f>
        <v>#REF!</v>
      </c>
      <c r="AH47" t="e">
        <f>AND(#REF!,"AAAAAEr49yE=")</f>
        <v>#REF!</v>
      </c>
      <c r="AI47" t="e">
        <f>AND(#REF!,"AAAAAEr49yI=")</f>
        <v>#REF!</v>
      </c>
      <c r="AJ47" t="e">
        <f>AND(#REF!,"AAAAAEr49yM=")</f>
        <v>#REF!</v>
      </c>
      <c r="AK47" t="e">
        <f>AND(#REF!,"AAAAAEr49yQ=")</f>
        <v>#REF!</v>
      </c>
      <c r="AL47" t="e">
        <f>AND(#REF!,"AAAAAEr49yU=")</f>
        <v>#REF!</v>
      </c>
      <c r="AM47" t="e">
        <f>AND(#REF!,"AAAAAEr49yY=")</f>
        <v>#REF!</v>
      </c>
      <c r="AN47" t="e">
        <f>AND(#REF!,"AAAAAEr49yc=")</f>
        <v>#REF!</v>
      </c>
      <c r="AO47" t="e">
        <f>AND(#REF!,"AAAAAEr49yg=")</f>
        <v>#REF!</v>
      </c>
      <c r="AP47" t="e">
        <f>AND(#REF!,"AAAAAEr49yk=")</f>
        <v>#REF!</v>
      </c>
      <c r="AQ47" t="e">
        <f>AND(#REF!,"AAAAAEr49yo=")</f>
        <v>#REF!</v>
      </c>
      <c r="AR47" t="e">
        <f>AND(#REF!,"AAAAAEr49ys=")</f>
        <v>#REF!</v>
      </c>
      <c r="AS47" t="e">
        <f>AND(#REF!,"AAAAAEr49yw=")</f>
        <v>#REF!</v>
      </c>
      <c r="AT47" t="e">
        <f>AND(#REF!,"AAAAAEr49y0=")</f>
        <v>#REF!</v>
      </c>
      <c r="AU47" t="e">
        <f>AND(#REF!,"AAAAAEr49y4=")</f>
        <v>#REF!</v>
      </c>
      <c r="AV47" t="e">
        <f>AND(#REF!,"AAAAAEr49y8=")</f>
        <v>#REF!</v>
      </c>
      <c r="AW47" t="e">
        <f>AND(#REF!,"AAAAAEr49zA=")</f>
        <v>#REF!</v>
      </c>
      <c r="AX47" t="e">
        <f>AND(#REF!,"AAAAAEr49zE=")</f>
        <v>#REF!</v>
      </c>
      <c r="AY47" t="e">
        <f>AND(#REF!,"AAAAAEr49zI=")</f>
        <v>#REF!</v>
      </c>
      <c r="AZ47" t="e">
        <f>AND(#REF!,"AAAAAEr49zM=")</f>
        <v>#REF!</v>
      </c>
      <c r="BA47" t="e">
        <f>AND(#REF!,"AAAAAEr49zQ=")</f>
        <v>#REF!</v>
      </c>
      <c r="BB47" t="e">
        <f>AND(#REF!,"AAAAAEr49zU=")</f>
        <v>#REF!</v>
      </c>
      <c r="BC47" t="e">
        <f>AND(#REF!,"AAAAAEr49zY=")</f>
        <v>#REF!</v>
      </c>
      <c r="BD47" t="e">
        <f>AND(#REF!,"AAAAAEr49zc=")</f>
        <v>#REF!</v>
      </c>
      <c r="BE47" t="e">
        <f>AND(#REF!,"AAAAAEr49zg=")</f>
        <v>#REF!</v>
      </c>
      <c r="BF47" t="e">
        <f>AND(#REF!,"AAAAAEr49zk=")</f>
        <v>#REF!</v>
      </c>
      <c r="BG47" t="e">
        <f>AND(#REF!,"AAAAAEr49zo=")</f>
        <v>#REF!</v>
      </c>
      <c r="BH47" t="e">
        <f>AND(#REF!,"AAAAAEr49zs=")</f>
        <v>#REF!</v>
      </c>
      <c r="BI47" t="e">
        <f>IF(#REF!,"AAAAAEr49zw=",0)</f>
        <v>#REF!</v>
      </c>
      <c r="BJ47" t="e">
        <f>AND(#REF!,"AAAAAEr49z0=")</f>
        <v>#REF!</v>
      </c>
      <c r="BK47" t="e">
        <f>AND(#REF!,"AAAAAEr49z4=")</f>
        <v>#REF!</v>
      </c>
      <c r="BL47" t="e">
        <f>AND(#REF!,"AAAAAEr49z8=")</f>
        <v>#REF!</v>
      </c>
      <c r="BM47" t="e">
        <f>AND(#REF!,"AAAAAEr490A=")</f>
        <v>#REF!</v>
      </c>
      <c r="BN47" t="e">
        <f>AND(#REF!,"AAAAAEr490E=")</f>
        <v>#REF!</v>
      </c>
      <c r="BO47" t="e">
        <f>AND(#REF!,"AAAAAEr490I=")</f>
        <v>#REF!</v>
      </c>
      <c r="BP47" t="e">
        <f>AND(#REF!,"AAAAAEr490M=")</f>
        <v>#REF!</v>
      </c>
      <c r="BQ47" t="e">
        <f>AND(#REF!,"AAAAAEr490Q=")</f>
        <v>#REF!</v>
      </c>
      <c r="BR47" t="e">
        <f>AND(#REF!,"AAAAAEr490U=")</f>
        <v>#REF!</v>
      </c>
      <c r="BS47" t="e">
        <f>AND(#REF!,"AAAAAEr490Y=")</f>
        <v>#REF!</v>
      </c>
      <c r="BT47" t="e">
        <f>AND(#REF!,"AAAAAEr490c=")</f>
        <v>#REF!</v>
      </c>
      <c r="BU47" t="e">
        <f>AND(#REF!,"AAAAAEr490g=")</f>
        <v>#REF!</v>
      </c>
      <c r="BV47" t="e">
        <f>AND(#REF!,"AAAAAEr490k=")</f>
        <v>#REF!</v>
      </c>
      <c r="BW47" t="e">
        <f>AND(#REF!,"AAAAAEr490o=")</f>
        <v>#REF!</v>
      </c>
      <c r="BX47" t="e">
        <f>AND(#REF!,"AAAAAEr490s=")</f>
        <v>#REF!</v>
      </c>
      <c r="BY47" t="e">
        <f>AND(#REF!,"AAAAAEr490w=")</f>
        <v>#REF!</v>
      </c>
      <c r="BZ47" t="e">
        <f>AND(#REF!,"AAAAAEr4900=")</f>
        <v>#REF!</v>
      </c>
      <c r="CA47" t="e">
        <f>AND(#REF!,"AAAAAEr4904=")</f>
        <v>#REF!</v>
      </c>
      <c r="CB47" t="e">
        <f>AND(#REF!,"AAAAAEr4908=")</f>
        <v>#REF!</v>
      </c>
      <c r="CC47" t="e">
        <f>AND(#REF!,"AAAAAEr491A=")</f>
        <v>#REF!</v>
      </c>
      <c r="CD47" t="e">
        <f>AND(#REF!,"AAAAAEr491E=")</f>
        <v>#REF!</v>
      </c>
      <c r="CE47" t="e">
        <f>AND(#REF!,"AAAAAEr491I=")</f>
        <v>#REF!</v>
      </c>
      <c r="CF47" t="e">
        <f>AND(#REF!,"AAAAAEr491M=")</f>
        <v>#REF!</v>
      </c>
      <c r="CG47" t="e">
        <f>AND(#REF!,"AAAAAEr491Q=")</f>
        <v>#REF!</v>
      </c>
      <c r="CH47" t="e">
        <f>AND(#REF!,"AAAAAEr491U=")</f>
        <v>#REF!</v>
      </c>
      <c r="CI47" t="e">
        <f>AND(#REF!,"AAAAAEr491Y=")</f>
        <v>#REF!</v>
      </c>
      <c r="CJ47" t="e">
        <f>AND(#REF!,"AAAAAEr491c=")</f>
        <v>#REF!</v>
      </c>
      <c r="CK47" t="e">
        <f>AND(#REF!,"AAAAAEr491g=")</f>
        <v>#REF!</v>
      </c>
      <c r="CL47" t="e">
        <f>AND(#REF!,"AAAAAEr491k=")</f>
        <v>#REF!</v>
      </c>
      <c r="CM47" t="e">
        <f>AND(#REF!,"AAAAAEr491o=")</f>
        <v>#REF!</v>
      </c>
      <c r="CN47" t="e">
        <f>AND(#REF!,"AAAAAEr491s=")</f>
        <v>#REF!</v>
      </c>
      <c r="CO47" t="e">
        <f>AND(#REF!,"AAAAAEr491w=")</f>
        <v>#REF!</v>
      </c>
      <c r="CP47" t="e">
        <f>AND(#REF!,"AAAAAEr4910=")</f>
        <v>#REF!</v>
      </c>
      <c r="CQ47" t="e">
        <f>AND(#REF!,"AAAAAEr4914=")</f>
        <v>#REF!</v>
      </c>
      <c r="CR47" t="e">
        <f>AND(#REF!,"AAAAAEr4918=")</f>
        <v>#REF!</v>
      </c>
      <c r="CS47" t="e">
        <f>AND(#REF!,"AAAAAEr492A=")</f>
        <v>#REF!</v>
      </c>
      <c r="CT47" t="e">
        <f>AND(#REF!,"AAAAAEr492E=")</f>
        <v>#REF!</v>
      </c>
      <c r="CU47" t="e">
        <f>AND(#REF!,"AAAAAEr492I=")</f>
        <v>#REF!</v>
      </c>
      <c r="CV47" t="e">
        <f>AND(#REF!,"AAAAAEr492M=")</f>
        <v>#REF!</v>
      </c>
      <c r="CW47" t="e">
        <f>AND(#REF!,"AAAAAEr492Q=")</f>
        <v>#REF!</v>
      </c>
      <c r="CX47" t="e">
        <f>AND(#REF!,"AAAAAEr492U=")</f>
        <v>#REF!</v>
      </c>
      <c r="CY47" t="e">
        <f>AND(#REF!,"AAAAAEr492Y=")</f>
        <v>#REF!</v>
      </c>
      <c r="CZ47" t="e">
        <f>AND(#REF!,"AAAAAEr492c=")</f>
        <v>#REF!</v>
      </c>
      <c r="DA47" t="e">
        <f>IF(#REF!,"AAAAAEr492g=",0)</f>
        <v>#REF!</v>
      </c>
      <c r="DB47" t="e">
        <f>AND(#REF!,"AAAAAEr492k=")</f>
        <v>#REF!</v>
      </c>
      <c r="DC47" t="e">
        <f>AND(#REF!,"AAAAAEr492o=")</f>
        <v>#REF!</v>
      </c>
      <c r="DD47" t="e">
        <f>AND(#REF!,"AAAAAEr492s=")</f>
        <v>#REF!</v>
      </c>
      <c r="DE47" t="e">
        <f>AND(#REF!,"AAAAAEr492w=")</f>
        <v>#REF!</v>
      </c>
      <c r="DF47" t="e">
        <f>AND(#REF!,"AAAAAEr4920=")</f>
        <v>#REF!</v>
      </c>
      <c r="DG47" t="e">
        <f>AND(#REF!,"AAAAAEr4924=")</f>
        <v>#REF!</v>
      </c>
      <c r="DH47" t="e">
        <f>AND(#REF!,"AAAAAEr4928=")</f>
        <v>#REF!</v>
      </c>
      <c r="DI47" t="e">
        <f>AND(#REF!,"AAAAAEr493A=")</f>
        <v>#REF!</v>
      </c>
      <c r="DJ47" t="e">
        <f>AND(#REF!,"AAAAAEr493E=")</f>
        <v>#REF!</v>
      </c>
      <c r="DK47" t="e">
        <f>AND(#REF!,"AAAAAEr493I=")</f>
        <v>#REF!</v>
      </c>
      <c r="DL47" t="e">
        <f>AND(#REF!,"AAAAAEr493M=")</f>
        <v>#REF!</v>
      </c>
      <c r="DM47" t="e">
        <f>AND(#REF!,"AAAAAEr493Q=")</f>
        <v>#REF!</v>
      </c>
      <c r="DN47" t="e">
        <f>AND(#REF!,"AAAAAEr493U=")</f>
        <v>#REF!</v>
      </c>
      <c r="DO47" t="e">
        <f>AND(#REF!,"AAAAAEr493Y=")</f>
        <v>#REF!</v>
      </c>
      <c r="DP47" t="e">
        <f>AND(#REF!,"AAAAAEr493c=")</f>
        <v>#REF!</v>
      </c>
      <c r="DQ47" t="e">
        <f>AND(#REF!,"AAAAAEr493g=")</f>
        <v>#REF!</v>
      </c>
      <c r="DR47" t="e">
        <f>AND(#REF!,"AAAAAEr493k=")</f>
        <v>#REF!</v>
      </c>
      <c r="DS47" t="e">
        <f>AND(#REF!,"AAAAAEr493o=")</f>
        <v>#REF!</v>
      </c>
      <c r="DT47" t="e">
        <f>AND(#REF!,"AAAAAEr493s=")</f>
        <v>#REF!</v>
      </c>
      <c r="DU47" t="e">
        <f>AND(#REF!,"AAAAAEr493w=")</f>
        <v>#REF!</v>
      </c>
      <c r="DV47" t="e">
        <f>AND(#REF!,"AAAAAEr4930=")</f>
        <v>#REF!</v>
      </c>
      <c r="DW47" t="e">
        <f>AND(#REF!,"AAAAAEr4934=")</f>
        <v>#REF!</v>
      </c>
      <c r="DX47" t="e">
        <f>AND(#REF!,"AAAAAEr4938=")</f>
        <v>#REF!</v>
      </c>
      <c r="DY47" t="e">
        <f>AND(#REF!,"AAAAAEr494A=")</f>
        <v>#REF!</v>
      </c>
      <c r="DZ47" t="e">
        <f>AND(#REF!,"AAAAAEr494E=")</f>
        <v>#REF!</v>
      </c>
      <c r="EA47" t="e">
        <f>AND(#REF!,"AAAAAEr494I=")</f>
        <v>#REF!</v>
      </c>
      <c r="EB47" t="e">
        <f>AND(#REF!,"AAAAAEr494M=")</f>
        <v>#REF!</v>
      </c>
      <c r="EC47" t="e">
        <f>AND(#REF!,"AAAAAEr494Q=")</f>
        <v>#REF!</v>
      </c>
      <c r="ED47" t="e">
        <f>AND(#REF!,"AAAAAEr494U=")</f>
        <v>#REF!</v>
      </c>
      <c r="EE47" t="e">
        <f>AND(#REF!,"AAAAAEr494Y=")</f>
        <v>#REF!</v>
      </c>
      <c r="EF47" t="e">
        <f>AND(#REF!,"AAAAAEr494c=")</f>
        <v>#REF!</v>
      </c>
      <c r="EG47" t="e">
        <f>AND(#REF!,"AAAAAEr494g=")</f>
        <v>#REF!</v>
      </c>
      <c r="EH47" t="e">
        <f>AND(#REF!,"AAAAAEr494k=")</f>
        <v>#REF!</v>
      </c>
      <c r="EI47" t="e">
        <f>AND(#REF!,"AAAAAEr494o=")</f>
        <v>#REF!</v>
      </c>
      <c r="EJ47" t="e">
        <f>AND(#REF!,"AAAAAEr494s=")</f>
        <v>#REF!</v>
      </c>
      <c r="EK47" t="e">
        <f>AND(#REF!,"AAAAAEr494w=")</f>
        <v>#REF!</v>
      </c>
      <c r="EL47" t="e">
        <f>AND(#REF!,"AAAAAEr4940=")</f>
        <v>#REF!</v>
      </c>
      <c r="EM47" t="e">
        <f>AND(#REF!,"AAAAAEr4944=")</f>
        <v>#REF!</v>
      </c>
      <c r="EN47" t="e">
        <f>AND(#REF!,"AAAAAEr4948=")</f>
        <v>#REF!</v>
      </c>
      <c r="EO47" t="e">
        <f>AND(#REF!,"AAAAAEr495A=")</f>
        <v>#REF!</v>
      </c>
      <c r="EP47" t="e">
        <f>AND(#REF!,"AAAAAEr495E=")</f>
        <v>#REF!</v>
      </c>
      <c r="EQ47" t="e">
        <f>AND(#REF!,"AAAAAEr495I=")</f>
        <v>#REF!</v>
      </c>
      <c r="ER47" t="e">
        <f>AND(#REF!,"AAAAAEr495M=")</f>
        <v>#REF!</v>
      </c>
      <c r="ES47" t="e">
        <f>IF(#REF!,"AAAAAEr495Q=",0)</f>
        <v>#REF!</v>
      </c>
      <c r="ET47" t="e">
        <f>AND(#REF!,"AAAAAEr495U=")</f>
        <v>#REF!</v>
      </c>
      <c r="EU47" t="e">
        <f>AND(#REF!,"AAAAAEr495Y=")</f>
        <v>#REF!</v>
      </c>
      <c r="EV47" t="e">
        <f>AND(#REF!,"AAAAAEr495c=")</f>
        <v>#REF!</v>
      </c>
      <c r="EW47" t="e">
        <f>AND(#REF!,"AAAAAEr495g=")</f>
        <v>#REF!</v>
      </c>
      <c r="EX47" t="e">
        <f>AND(#REF!,"AAAAAEr495k=")</f>
        <v>#REF!</v>
      </c>
      <c r="EY47" t="e">
        <f>AND(#REF!,"AAAAAEr495o=")</f>
        <v>#REF!</v>
      </c>
      <c r="EZ47" t="e">
        <f>AND(#REF!,"AAAAAEr495s=")</f>
        <v>#REF!</v>
      </c>
      <c r="FA47" t="e">
        <f>AND(#REF!,"AAAAAEr495w=")</f>
        <v>#REF!</v>
      </c>
      <c r="FB47" t="e">
        <f>AND(#REF!,"AAAAAEr4950=")</f>
        <v>#REF!</v>
      </c>
      <c r="FC47" t="e">
        <f>AND(#REF!,"AAAAAEr4954=")</f>
        <v>#REF!</v>
      </c>
      <c r="FD47" t="e">
        <f>AND(#REF!,"AAAAAEr4958=")</f>
        <v>#REF!</v>
      </c>
      <c r="FE47" t="e">
        <f>AND(#REF!,"AAAAAEr496A=")</f>
        <v>#REF!</v>
      </c>
      <c r="FF47" t="e">
        <f>AND(#REF!,"AAAAAEr496E=")</f>
        <v>#REF!</v>
      </c>
      <c r="FG47" t="e">
        <f>AND(#REF!,"AAAAAEr496I=")</f>
        <v>#REF!</v>
      </c>
      <c r="FH47" t="e">
        <f>AND(#REF!,"AAAAAEr496M=")</f>
        <v>#REF!</v>
      </c>
      <c r="FI47" t="e">
        <f>AND(#REF!,"AAAAAEr496Q=")</f>
        <v>#REF!</v>
      </c>
      <c r="FJ47" t="e">
        <f>AND(#REF!,"AAAAAEr496U=")</f>
        <v>#REF!</v>
      </c>
      <c r="FK47" t="e">
        <f>AND(#REF!,"AAAAAEr496Y=")</f>
        <v>#REF!</v>
      </c>
      <c r="FL47" t="e">
        <f>AND(#REF!,"AAAAAEr496c=")</f>
        <v>#REF!</v>
      </c>
      <c r="FM47" t="e">
        <f>AND(#REF!,"AAAAAEr496g=")</f>
        <v>#REF!</v>
      </c>
      <c r="FN47" t="e">
        <f>AND(#REF!,"AAAAAEr496k=")</f>
        <v>#REF!</v>
      </c>
      <c r="FO47" t="e">
        <f>AND(#REF!,"AAAAAEr496o=")</f>
        <v>#REF!</v>
      </c>
      <c r="FP47" t="e">
        <f>AND(#REF!,"AAAAAEr496s=")</f>
        <v>#REF!</v>
      </c>
      <c r="FQ47" t="e">
        <f>AND(#REF!,"AAAAAEr496w=")</f>
        <v>#REF!</v>
      </c>
      <c r="FR47" t="e">
        <f>AND(#REF!,"AAAAAEr4960=")</f>
        <v>#REF!</v>
      </c>
      <c r="FS47" t="e">
        <f>AND(#REF!,"AAAAAEr4964=")</f>
        <v>#REF!</v>
      </c>
      <c r="FT47" t="e">
        <f>AND(#REF!,"AAAAAEr4968=")</f>
        <v>#REF!</v>
      </c>
      <c r="FU47" t="e">
        <f>AND(#REF!,"AAAAAEr497A=")</f>
        <v>#REF!</v>
      </c>
      <c r="FV47" t="e">
        <f>AND(#REF!,"AAAAAEr497E=")</f>
        <v>#REF!</v>
      </c>
      <c r="FW47" t="e">
        <f>AND(#REF!,"AAAAAEr497I=")</f>
        <v>#REF!</v>
      </c>
      <c r="FX47" t="e">
        <f>AND(#REF!,"AAAAAEr497M=")</f>
        <v>#REF!</v>
      </c>
      <c r="FY47" t="e">
        <f>AND(#REF!,"AAAAAEr497Q=")</f>
        <v>#REF!</v>
      </c>
      <c r="FZ47" t="e">
        <f>AND(#REF!,"AAAAAEr497U=")</f>
        <v>#REF!</v>
      </c>
      <c r="GA47" t="e">
        <f>AND(#REF!,"AAAAAEr497Y=")</f>
        <v>#REF!</v>
      </c>
      <c r="GB47" t="e">
        <f>AND(#REF!,"AAAAAEr497c=")</f>
        <v>#REF!</v>
      </c>
      <c r="GC47" t="e">
        <f>AND(#REF!,"AAAAAEr497g=")</f>
        <v>#REF!</v>
      </c>
      <c r="GD47" t="e">
        <f>AND(#REF!,"AAAAAEr497k=")</f>
        <v>#REF!</v>
      </c>
      <c r="GE47" t="e">
        <f>AND(#REF!,"AAAAAEr497o=")</f>
        <v>#REF!</v>
      </c>
      <c r="GF47" t="e">
        <f>AND(#REF!,"AAAAAEr497s=")</f>
        <v>#REF!</v>
      </c>
      <c r="GG47" t="e">
        <f>AND(#REF!,"AAAAAEr497w=")</f>
        <v>#REF!</v>
      </c>
      <c r="GH47" t="e">
        <f>AND(#REF!,"AAAAAEr4970=")</f>
        <v>#REF!</v>
      </c>
      <c r="GI47" t="e">
        <f>AND(#REF!,"AAAAAEr4974=")</f>
        <v>#REF!</v>
      </c>
      <c r="GJ47" t="e">
        <f>AND(#REF!,"AAAAAEr4978=")</f>
        <v>#REF!</v>
      </c>
      <c r="GK47" t="e">
        <f>IF(#REF!,"AAAAAEr498A=",0)</f>
        <v>#REF!</v>
      </c>
      <c r="GL47" t="e">
        <f>AND(#REF!,"AAAAAEr498E=")</f>
        <v>#REF!</v>
      </c>
      <c r="GM47" t="e">
        <f>AND(#REF!,"AAAAAEr498I=")</f>
        <v>#REF!</v>
      </c>
      <c r="GN47" t="e">
        <f>AND(#REF!,"AAAAAEr498M=")</f>
        <v>#REF!</v>
      </c>
      <c r="GO47" t="e">
        <f>AND(#REF!,"AAAAAEr498Q=")</f>
        <v>#REF!</v>
      </c>
      <c r="GP47" t="e">
        <f>AND(#REF!,"AAAAAEr498U=")</f>
        <v>#REF!</v>
      </c>
      <c r="GQ47" t="e">
        <f>AND(#REF!,"AAAAAEr498Y=")</f>
        <v>#REF!</v>
      </c>
      <c r="GR47" t="e">
        <f>AND(#REF!,"AAAAAEr498c=")</f>
        <v>#REF!</v>
      </c>
      <c r="GS47" t="e">
        <f>AND(#REF!,"AAAAAEr498g=")</f>
        <v>#REF!</v>
      </c>
      <c r="GT47" t="e">
        <f>AND(#REF!,"AAAAAEr498k=")</f>
        <v>#REF!</v>
      </c>
      <c r="GU47" t="e">
        <f>AND(#REF!,"AAAAAEr498o=")</f>
        <v>#REF!</v>
      </c>
      <c r="GV47" t="e">
        <f>AND(#REF!,"AAAAAEr498s=")</f>
        <v>#REF!</v>
      </c>
      <c r="GW47" t="e">
        <f>AND(#REF!,"AAAAAEr498w=")</f>
        <v>#REF!</v>
      </c>
      <c r="GX47" t="e">
        <f>AND(#REF!,"AAAAAEr4980=")</f>
        <v>#REF!</v>
      </c>
      <c r="GY47" t="e">
        <f>AND(#REF!,"AAAAAEr4984=")</f>
        <v>#REF!</v>
      </c>
      <c r="GZ47" t="e">
        <f>AND(#REF!,"AAAAAEr4988=")</f>
        <v>#REF!</v>
      </c>
      <c r="HA47" t="e">
        <f>AND(#REF!,"AAAAAEr499A=")</f>
        <v>#REF!</v>
      </c>
      <c r="HB47" t="e">
        <f>AND(#REF!,"AAAAAEr499E=")</f>
        <v>#REF!</v>
      </c>
      <c r="HC47" t="e">
        <f>AND(#REF!,"AAAAAEr499I=")</f>
        <v>#REF!</v>
      </c>
      <c r="HD47" t="e">
        <f>AND(#REF!,"AAAAAEr499M=")</f>
        <v>#REF!</v>
      </c>
      <c r="HE47" t="e">
        <f>AND(#REF!,"AAAAAEr499Q=")</f>
        <v>#REF!</v>
      </c>
      <c r="HF47" t="e">
        <f>AND(#REF!,"AAAAAEr499U=")</f>
        <v>#REF!</v>
      </c>
      <c r="HG47" t="e">
        <f>AND(#REF!,"AAAAAEr499Y=")</f>
        <v>#REF!</v>
      </c>
      <c r="HH47" t="e">
        <f>AND(#REF!,"AAAAAEr499c=")</f>
        <v>#REF!</v>
      </c>
      <c r="HI47" t="e">
        <f>AND(#REF!,"AAAAAEr499g=")</f>
        <v>#REF!</v>
      </c>
      <c r="HJ47" t="e">
        <f>AND(#REF!,"AAAAAEr499k=")</f>
        <v>#REF!</v>
      </c>
      <c r="HK47" t="e">
        <f>AND(#REF!,"AAAAAEr499o=")</f>
        <v>#REF!</v>
      </c>
      <c r="HL47" t="e">
        <f>AND(#REF!,"AAAAAEr499s=")</f>
        <v>#REF!</v>
      </c>
      <c r="HM47" t="e">
        <f>AND(#REF!,"AAAAAEr499w=")</f>
        <v>#REF!</v>
      </c>
      <c r="HN47" t="e">
        <f>AND(#REF!,"AAAAAEr4990=")</f>
        <v>#REF!</v>
      </c>
      <c r="HO47" t="e">
        <f>AND(#REF!,"AAAAAEr4994=")</f>
        <v>#REF!</v>
      </c>
      <c r="HP47" t="e">
        <f>AND(#REF!,"AAAAAEr4998=")</f>
        <v>#REF!</v>
      </c>
      <c r="HQ47" t="e">
        <f>AND(#REF!,"AAAAAEr49+A=")</f>
        <v>#REF!</v>
      </c>
      <c r="HR47" t="e">
        <f>AND(#REF!,"AAAAAEr49+E=")</f>
        <v>#REF!</v>
      </c>
      <c r="HS47" t="e">
        <f>AND(#REF!,"AAAAAEr49+I=")</f>
        <v>#REF!</v>
      </c>
      <c r="HT47" t="e">
        <f>AND(#REF!,"AAAAAEr49+M=")</f>
        <v>#REF!</v>
      </c>
      <c r="HU47" t="e">
        <f>AND(#REF!,"AAAAAEr49+Q=")</f>
        <v>#REF!</v>
      </c>
      <c r="HV47" t="e">
        <f>AND(#REF!,"AAAAAEr49+U=")</f>
        <v>#REF!</v>
      </c>
      <c r="HW47" t="e">
        <f>AND(#REF!,"AAAAAEr49+Y=")</f>
        <v>#REF!</v>
      </c>
      <c r="HX47" t="e">
        <f>AND(#REF!,"AAAAAEr49+c=")</f>
        <v>#REF!</v>
      </c>
      <c r="HY47" t="e">
        <f>AND(#REF!,"AAAAAEr49+g=")</f>
        <v>#REF!</v>
      </c>
      <c r="HZ47" t="e">
        <f>AND(#REF!,"AAAAAEr49+k=")</f>
        <v>#REF!</v>
      </c>
      <c r="IA47" t="e">
        <f>AND(#REF!,"AAAAAEr49+o=")</f>
        <v>#REF!</v>
      </c>
      <c r="IB47" t="e">
        <f>AND(#REF!,"AAAAAEr49+s=")</f>
        <v>#REF!</v>
      </c>
      <c r="IC47" t="e">
        <f>IF(#REF!,"AAAAAEr49+w=",0)</f>
        <v>#REF!</v>
      </c>
      <c r="ID47" t="e">
        <f>AND(#REF!,"AAAAAEr49+0=")</f>
        <v>#REF!</v>
      </c>
      <c r="IE47" t="e">
        <f>AND(#REF!,"AAAAAEr49+4=")</f>
        <v>#REF!</v>
      </c>
      <c r="IF47" t="e">
        <f>AND(#REF!,"AAAAAEr49+8=")</f>
        <v>#REF!</v>
      </c>
      <c r="IG47" t="e">
        <f>AND(#REF!,"AAAAAEr49/A=")</f>
        <v>#REF!</v>
      </c>
      <c r="IH47" t="e">
        <f>AND(#REF!,"AAAAAEr49/E=")</f>
        <v>#REF!</v>
      </c>
      <c r="II47" t="e">
        <f>AND(#REF!,"AAAAAEr49/I=")</f>
        <v>#REF!</v>
      </c>
      <c r="IJ47" t="e">
        <f>AND(#REF!,"AAAAAEr49/M=")</f>
        <v>#REF!</v>
      </c>
      <c r="IK47" t="e">
        <f>AND(#REF!,"AAAAAEr49/Q=")</f>
        <v>#REF!</v>
      </c>
      <c r="IL47" t="e">
        <f>AND(#REF!,"AAAAAEr49/U=")</f>
        <v>#REF!</v>
      </c>
      <c r="IM47" t="e">
        <f>AND(#REF!,"AAAAAEr49/Y=")</f>
        <v>#REF!</v>
      </c>
      <c r="IN47" t="e">
        <f>AND(#REF!,"AAAAAEr49/c=")</f>
        <v>#REF!</v>
      </c>
      <c r="IO47" t="e">
        <f>AND(#REF!,"AAAAAEr49/g=")</f>
        <v>#REF!</v>
      </c>
      <c r="IP47" t="e">
        <f>AND(#REF!,"AAAAAEr49/k=")</f>
        <v>#REF!</v>
      </c>
      <c r="IQ47" t="e">
        <f>AND(#REF!,"AAAAAEr49/o=")</f>
        <v>#REF!</v>
      </c>
      <c r="IR47" t="e">
        <f>AND(#REF!,"AAAAAEr49/s=")</f>
        <v>#REF!</v>
      </c>
      <c r="IS47" t="e">
        <f>AND(#REF!,"AAAAAEr49/w=")</f>
        <v>#REF!</v>
      </c>
      <c r="IT47" t="e">
        <f>AND(#REF!,"AAAAAEr49/0=")</f>
        <v>#REF!</v>
      </c>
      <c r="IU47" t="e">
        <f>AND(#REF!,"AAAAAEr49/4=")</f>
        <v>#REF!</v>
      </c>
      <c r="IV47" t="e">
        <f>AND(#REF!,"AAAAAEr49/8=")</f>
        <v>#REF!</v>
      </c>
    </row>
    <row r="48" spans="1:256" x14ac:dyDescent="0.25">
      <c r="A48" t="e">
        <f>AND(#REF!,"AAAAAF63+gA=")</f>
        <v>#REF!</v>
      </c>
      <c r="B48" t="e">
        <f>AND(#REF!,"AAAAAF63+gE=")</f>
        <v>#REF!</v>
      </c>
      <c r="C48" t="e">
        <f>AND(#REF!,"AAAAAF63+gI=")</f>
        <v>#REF!</v>
      </c>
      <c r="D48" t="e">
        <f>AND(#REF!,"AAAAAF63+gM=")</f>
        <v>#REF!</v>
      </c>
      <c r="E48" t="e">
        <f>AND(#REF!,"AAAAAF63+gQ=")</f>
        <v>#REF!</v>
      </c>
      <c r="F48" t="e">
        <f>AND(#REF!,"AAAAAF63+gU=")</f>
        <v>#REF!</v>
      </c>
      <c r="G48" t="e">
        <f>AND(#REF!,"AAAAAF63+gY=")</f>
        <v>#REF!</v>
      </c>
      <c r="H48" t="e">
        <f>AND(#REF!,"AAAAAF63+gc=")</f>
        <v>#REF!</v>
      </c>
      <c r="I48" t="e">
        <f>AND(#REF!,"AAAAAF63+gg=")</f>
        <v>#REF!</v>
      </c>
      <c r="J48" t="e">
        <f>AND(#REF!,"AAAAAF63+gk=")</f>
        <v>#REF!</v>
      </c>
      <c r="K48" t="e">
        <f>AND(#REF!,"AAAAAF63+go=")</f>
        <v>#REF!</v>
      </c>
      <c r="L48" t="e">
        <f>AND(#REF!,"AAAAAF63+gs=")</f>
        <v>#REF!</v>
      </c>
      <c r="M48" t="e">
        <f>AND(#REF!,"AAAAAF63+gw=")</f>
        <v>#REF!</v>
      </c>
      <c r="N48" t="e">
        <f>AND(#REF!,"AAAAAF63+g0=")</f>
        <v>#REF!</v>
      </c>
      <c r="O48" t="e">
        <f>AND(#REF!,"AAAAAF63+g4=")</f>
        <v>#REF!</v>
      </c>
      <c r="P48" t="e">
        <f>AND(#REF!,"AAAAAF63+g8=")</f>
        <v>#REF!</v>
      </c>
      <c r="Q48" t="e">
        <f>AND(#REF!,"AAAAAF63+hA=")</f>
        <v>#REF!</v>
      </c>
      <c r="R48" t="e">
        <f>AND(#REF!,"AAAAAF63+hE=")</f>
        <v>#REF!</v>
      </c>
      <c r="S48" t="e">
        <f>AND(#REF!,"AAAAAF63+hI=")</f>
        <v>#REF!</v>
      </c>
      <c r="T48" t="e">
        <f>AND(#REF!,"AAAAAF63+hM=")</f>
        <v>#REF!</v>
      </c>
      <c r="U48" t="e">
        <f>AND(#REF!,"AAAAAF63+hQ=")</f>
        <v>#REF!</v>
      </c>
      <c r="V48" t="e">
        <f>AND(#REF!,"AAAAAF63+hU=")</f>
        <v>#REF!</v>
      </c>
      <c r="W48" t="e">
        <f>AND(#REF!,"AAAAAF63+hY=")</f>
        <v>#REF!</v>
      </c>
      <c r="X48" t="e">
        <f>AND(#REF!,"AAAAAF63+hc=")</f>
        <v>#REF!</v>
      </c>
      <c r="Y48" t="e">
        <f>IF(#REF!,"AAAAAF63+hg=",0)</f>
        <v>#REF!</v>
      </c>
      <c r="Z48" t="e">
        <f>AND(#REF!,"AAAAAF63+hk=")</f>
        <v>#REF!</v>
      </c>
      <c r="AA48" t="e">
        <f>AND(#REF!,"AAAAAF63+ho=")</f>
        <v>#REF!</v>
      </c>
      <c r="AB48" t="e">
        <f>AND(#REF!,"AAAAAF63+hs=")</f>
        <v>#REF!</v>
      </c>
      <c r="AC48" t="e">
        <f>AND(#REF!,"AAAAAF63+hw=")</f>
        <v>#REF!</v>
      </c>
      <c r="AD48" t="e">
        <f>AND(#REF!,"AAAAAF63+h0=")</f>
        <v>#REF!</v>
      </c>
      <c r="AE48" t="e">
        <f>AND(#REF!,"AAAAAF63+h4=")</f>
        <v>#REF!</v>
      </c>
      <c r="AF48" t="e">
        <f>AND(#REF!,"AAAAAF63+h8=")</f>
        <v>#REF!</v>
      </c>
      <c r="AG48" t="e">
        <f>AND(#REF!,"AAAAAF63+iA=")</f>
        <v>#REF!</v>
      </c>
      <c r="AH48" t="e">
        <f>AND(#REF!,"AAAAAF63+iE=")</f>
        <v>#REF!</v>
      </c>
      <c r="AI48" t="e">
        <f>AND(#REF!,"AAAAAF63+iI=")</f>
        <v>#REF!</v>
      </c>
      <c r="AJ48" t="e">
        <f>AND(#REF!,"AAAAAF63+iM=")</f>
        <v>#REF!</v>
      </c>
      <c r="AK48" t="e">
        <f>AND(#REF!,"AAAAAF63+iQ=")</f>
        <v>#REF!</v>
      </c>
      <c r="AL48" t="e">
        <f>AND(#REF!,"AAAAAF63+iU=")</f>
        <v>#REF!</v>
      </c>
      <c r="AM48" t="e">
        <f>AND(#REF!,"AAAAAF63+iY=")</f>
        <v>#REF!</v>
      </c>
      <c r="AN48" t="e">
        <f>AND(#REF!,"AAAAAF63+ic=")</f>
        <v>#REF!</v>
      </c>
      <c r="AO48" t="e">
        <f>AND(#REF!,"AAAAAF63+ig=")</f>
        <v>#REF!</v>
      </c>
      <c r="AP48" t="e">
        <f>AND(#REF!,"AAAAAF63+ik=")</f>
        <v>#REF!</v>
      </c>
      <c r="AQ48" t="e">
        <f>AND(#REF!,"AAAAAF63+io=")</f>
        <v>#REF!</v>
      </c>
      <c r="AR48" t="e">
        <f>AND(#REF!,"AAAAAF63+is=")</f>
        <v>#REF!</v>
      </c>
      <c r="AS48" t="e">
        <f>AND(#REF!,"AAAAAF63+iw=")</f>
        <v>#REF!</v>
      </c>
      <c r="AT48" t="e">
        <f>AND(#REF!,"AAAAAF63+i0=")</f>
        <v>#REF!</v>
      </c>
      <c r="AU48" t="e">
        <f>AND(#REF!,"AAAAAF63+i4=")</f>
        <v>#REF!</v>
      </c>
      <c r="AV48" t="e">
        <f>AND(#REF!,"AAAAAF63+i8=")</f>
        <v>#REF!</v>
      </c>
      <c r="AW48" t="e">
        <f>AND(#REF!,"AAAAAF63+jA=")</f>
        <v>#REF!</v>
      </c>
      <c r="AX48" t="e">
        <f>AND(#REF!,"AAAAAF63+jE=")</f>
        <v>#REF!</v>
      </c>
      <c r="AY48" t="e">
        <f>AND(#REF!,"AAAAAF63+jI=")</f>
        <v>#REF!</v>
      </c>
      <c r="AZ48" t="e">
        <f>AND(#REF!,"AAAAAF63+jM=")</f>
        <v>#REF!</v>
      </c>
      <c r="BA48" t="e">
        <f>AND(#REF!,"AAAAAF63+jQ=")</f>
        <v>#REF!</v>
      </c>
      <c r="BB48" t="e">
        <f>AND(#REF!,"AAAAAF63+jU=")</f>
        <v>#REF!</v>
      </c>
      <c r="BC48" t="e">
        <f>AND(#REF!,"AAAAAF63+jY=")</f>
        <v>#REF!</v>
      </c>
      <c r="BD48" t="e">
        <f>AND(#REF!,"AAAAAF63+jc=")</f>
        <v>#REF!</v>
      </c>
      <c r="BE48" t="e">
        <f>AND(#REF!,"AAAAAF63+jg=")</f>
        <v>#REF!</v>
      </c>
      <c r="BF48" t="e">
        <f>AND(#REF!,"AAAAAF63+jk=")</f>
        <v>#REF!</v>
      </c>
      <c r="BG48" t="e">
        <f>AND(#REF!,"AAAAAF63+jo=")</f>
        <v>#REF!</v>
      </c>
      <c r="BH48" t="e">
        <f>AND(#REF!,"AAAAAF63+js=")</f>
        <v>#REF!</v>
      </c>
      <c r="BI48" t="e">
        <f>AND(#REF!,"AAAAAF63+jw=")</f>
        <v>#REF!</v>
      </c>
      <c r="BJ48" t="e">
        <f>AND(#REF!,"AAAAAF63+j0=")</f>
        <v>#REF!</v>
      </c>
      <c r="BK48" t="e">
        <f>AND(#REF!,"AAAAAF63+j4=")</f>
        <v>#REF!</v>
      </c>
      <c r="BL48" t="e">
        <f>AND(#REF!,"AAAAAF63+j8=")</f>
        <v>#REF!</v>
      </c>
      <c r="BM48" t="e">
        <f>AND(#REF!,"AAAAAF63+kA=")</f>
        <v>#REF!</v>
      </c>
      <c r="BN48" t="e">
        <f>AND(#REF!,"AAAAAF63+kE=")</f>
        <v>#REF!</v>
      </c>
      <c r="BO48" t="e">
        <f>AND(#REF!,"AAAAAF63+kI=")</f>
        <v>#REF!</v>
      </c>
      <c r="BP48" t="e">
        <f>AND(#REF!,"AAAAAF63+kM=")</f>
        <v>#REF!</v>
      </c>
      <c r="BQ48" t="e">
        <f>IF(#REF!,"AAAAAF63+kQ=",0)</f>
        <v>#REF!</v>
      </c>
      <c r="BR48" t="e">
        <f>AND(#REF!,"AAAAAF63+kU=")</f>
        <v>#REF!</v>
      </c>
      <c r="BS48" t="e">
        <f>AND(#REF!,"AAAAAF63+kY=")</f>
        <v>#REF!</v>
      </c>
      <c r="BT48" t="e">
        <f>AND(#REF!,"AAAAAF63+kc=")</f>
        <v>#REF!</v>
      </c>
      <c r="BU48" t="e">
        <f>AND(#REF!,"AAAAAF63+kg=")</f>
        <v>#REF!</v>
      </c>
      <c r="BV48" t="e">
        <f>AND(#REF!,"AAAAAF63+kk=")</f>
        <v>#REF!</v>
      </c>
      <c r="BW48" t="e">
        <f>AND(#REF!,"AAAAAF63+ko=")</f>
        <v>#REF!</v>
      </c>
      <c r="BX48" t="e">
        <f>AND(#REF!,"AAAAAF63+ks=")</f>
        <v>#REF!</v>
      </c>
      <c r="BY48" t="e">
        <f>AND(#REF!,"AAAAAF63+kw=")</f>
        <v>#REF!</v>
      </c>
      <c r="BZ48" t="e">
        <f>AND(#REF!,"AAAAAF63+k0=")</f>
        <v>#REF!</v>
      </c>
      <c r="CA48" t="e">
        <f>AND(#REF!,"AAAAAF63+k4=")</f>
        <v>#REF!</v>
      </c>
      <c r="CB48" t="e">
        <f>AND(#REF!,"AAAAAF63+k8=")</f>
        <v>#REF!</v>
      </c>
      <c r="CC48" t="e">
        <f>AND(#REF!,"AAAAAF63+lA=")</f>
        <v>#REF!</v>
      </c>
      <c r="CD48" t="e">
        <f>AND(#REF!,"AAAAAF63+lE=")</f>
        <v>#REF!</v>
      </c>
      <c r="CE48" t="e">
        <f>AND(#REF!,"AAAAAF63+lI=")</f>
        <v>#REF!</v>
      </c>
      <c r="CF48" t="e">
        <f>AND(#REF!,"AAAAAF63+lM=")</f>
        <v>#REF!</v>
      </c>
      <c r="CG48" t="e">
        <f>AND(#REF!,"AAAAAF63+lQ=")</f>
        <v>#REF!</v>
      </c>
      <c r="CH48" t="e">
        <f>AND(#REF!,"AAAAAF63+lU=")</f>
        <v>#REF!</v>
      </c>
      <c r="CI48" t="e">
        <f>AND(#REF!,"AAAAAF63+lY=")</f>
        <v>#REF!</v>
      </c>
      <c r="CJ48" t="e">
        <f>AND(#REF!,"AAAAAF63+lc=")</f>
        <v>#REF!</v>
      </c>
      <c r="CK48" t="e">
        <f>AND(#REF!,"AAAAAF63+lg=")</f>
        <v>#REF!</v>
      </c>
      <c r="CL48" t="e">
        <f>AND(#REF!,"AAAAAF63+lk=")</f>
        <v>#REF!</v>
      </c>
      <c r="CM48" t="e">
        <f>AND(#REF!,"AAAAAF63+lo=")</f>
        <v>#REF!</v>
      </c>
      <c r="CN48" t="e">
        <f>AND(#REF!,"AAAAAF63+ls=")</f>
        <v>#REF!</v>
      </c>
      <c r="CO48" t="e">
        <f>AND(#REF!,"AAAAAF63+lw=")</f>
        <v>#REF!</v>
      </c>
      <c r="CP48" t="e">
        <f>AND(#REF!,"AAAAAF63+l0=")</f>
        <v>#REF!</v>
      </c>
      <c r="CQ48" t="e">
        <f>AND(#REF!,"AAAAAF63+l4=")</f>
        <v>#REF!</v>
      </c>
      <c r="CR48" t="e">
        <f>AND(#REF!,"AAAAAF63+l8=")</f>
        <v>#REF!</v>
      </c>
      <c r="CS48" t="e">
        <f>AND(#REF!,"AAAAAF63+mA=")</f>
        <v>#REF!</v>
      </c>
      <c r="CT48" t="e">
        <f>AND(#REF!,"AAAAAF63+mE=")</f>
        <v>#REF!</v>
      </c>
      <c r="CU48" t="e">
        <f>AND(#REF!,"AAAAAF63+mI=")</f>
        <v>#REF!</v>
      </c>
      <c r="CV48" t="e">
        <f>AND(#REF!,"AAAAAF63+mM=")</f>
        <v>#REF!</v>
      </c>
      <c r="CW48" t="e">
        <f>AND(#REF!,"AAAAAF63+mQ=")</f>
        <v>#REF!</v>
      </c>
      <c r="CX48" t="e">
        <f>AND(#REF!,"AAAAAF63+mU=")</f>
        <v>#REF!</v>
      </c>
      <c r="CY48" t="e">
        <f>AND(#REF!,"AAAAAF63+mY=")</f>
        <v>#REF!</v>
      </c>
      <c r="CZ48" t="e">
        <f>AND(#REF!,"AAAAAF63+mc=")</f>
        <v>#REF!</v>
      </c>
      <c r="DA48" t="e">
        <f>AND(#REF!,"AAAAAF63+mg=")</f>
        <v>#REF!</v>
      </c>
      <c r="DB48" t="e">
        <f>AND(#REF!,"AAAAAF63+mk=")</f>
        <v>#REF!</v>
      </c>
      <c r="DC48" t="e">
        <f>AND(#REF!,"AAAAAF63+mo=")</f>
        <v>#REF!</v>
      </c>
      <c r="DD48" t="e">
        <f>AND(#REF!,"AAAAAF63+ms=")</f>
        <v>#REF!</v>
      </c>
      <c r="DE48" t="e">
        <f>AND(#REF!,"AAAAAF63+mw=")</f>
        <v>#REF!</v>
      </c>
      <c r="DF48" t="e">
        <f>AND(#REF!,"AAAAAF63+m0=")</f>
        <v>#REF!</v>
      </c>
      <c r="DG48" t="e">
        <f>AND(#REF!,"AAAAAF63+m4=")</f>
        <v>#REF!</v>
      </c>
      <c r="DH48" t="e">
        <f>AND(#REF!,"AAAAAF63+m8=")</f>
        <v>#REF!</v>
      </c>
      <c r="DI48" t="e">
        <f>IF(#REF!,"AAAAAF63+nA=",0)</f>
        <v>#REF!</v>
      </c>
      <c r="DJ48" t="e">
        <f>AND(#REF!,"AAAAAF63+nE=")</f>
        <v>#REF!</v>
      </c>
      <c r="DK48" t="e">
        <f>AND(#REF!,"AAAAAF63+nI=")</f>
        <v>#REF!</v>
      </c>
      <c r="DL48" t="e">
        <f>AND(#REF!,"AAAAAF63+nM=")</f>
        <v>#REF!</v>
      </c>
      <c r="DM48" t="e">
        <f>AND(#REF!,"AAAAAF63+nQ=")</f>
        <v>#REF!</v>
      </c>
      <c r="DN48" t="e">
        <f>AND(#REF!,"AAAAAF63+nU=")</f>
        <v>#REF!</v>
      </c>
      <c r="DO48" t="e">
        <f>AND(#REF!,"AAAAAF63+nY=")</f>
        <v>#REF!</v>
      </c>
      <c r="DP48" t="e">
        <f>AND(#REF!,"AAAAAF63+nc=")</f>
        <v>#REF!</v>
      </c>
      <c r="DQ48" t="e">
        <f>AND(#REF!,"AAAAAF63+ng=")</f>
        <v>#REF!</v>
      </c>
      <c r="DR48" t="e">
        <f>AND(#REF!,"AAAAAF63+nk=")</f>
        <v>#REF!</v>
      </c>
      <c r="DS48" t="e">
        <f>AND(#REF!,"AAAAAF63+no=")</f>
        <v>#REF!</v>
      </c>
      <c r="DT48" t="e">
        <f>AND(#REF!,"AAAAAF63+ns=")</f>
        <v>#REF!</v>
      </c>
      <c r="DU48" t="e">
        <f>AND(#REF!,"AAAAAF63+nw=")</f>
        <v>#REF!</v>
      </c>
      <c r="DV48" t="e">
        <f>AND(#REF!,"AAAAAF63+n0=")</f>
        <v>#REF!</v>
      </c>
      <c r="DW48" t="e">
        <f>AND(#REF!,"AAAAAF63+n4=")</f>
        <v>#REF!</v>
      </c>
      <c r="DX48" t="e">
        <f>AND(#REF!,"AAAAAF63+n8=")</f>
        <v>#REF!</v>
      </c>
      <c r="DY48" t="e">
        <f>AND(#REF!,"AAAAAF63+oA=")</f>
        <v>#REF!</v>
      </c>
      <c r="DZ48" t="e">
        <f>AND(#REF!,"AAAAAF63+oE=")</f>
        <v>#REF!</v>
      </c>
      <c r="EA48" t="e">
        <f>AND(#REF!,"AAAAAF63+oI=")</f>
        <v>#REF!</v>
      </c>
      <c r="EB48" t="e">
        <f>AND(#REF!,"AAAAAF63+oM=")</f>
        <v>#REF!</v>
      </c>
      <c r="EC48" t="e">
        <f>AND(#REF!,"AAAAAF63+oQ=")</f>
        <v>#REF!</v>
      </c>
      <c r="ED48" t="e">
        <f>AND(#REF!,"AAAAAF63+oU=")</f>
        <v>#REF!</v>
      </c>
      <c r="EE48" t="e">
        <f>AND(#REF!,"AAAAAF63+oY=")</f>
        <v>#REF!</v>
      </c>
      <c r="EF48" t="e">
        <f>AND(#REF!,"AAAAAF63+oc=")</f>
        <v>#REF!</v>
      </c>
      <c r="EG48" t="e">
        <f>AND(#REF!,"AAAAAF63+og=")</f>
        <v>#REF!</v>
      </c>
      <c r="EH48" t="e">
        <f>AND(#REF!,"AAAAAF63+ok=")</f>
        <v>#REF!</v>
      </c>
      <c r="EI48" t="e">
        <f>AND(#REF!,"AAAAAF63+oo=")</f>
        <v>#REF!</v>
      </c>
      <c r="EJ48" t="e">
        <f>AND(#REF!,"AAAAAF63+os=")</f>
        <v>#REF!</v>
      </c>
      <c r="EK48" t="e">
        <f>AND(#REF!,"AAAAAF63+ow=")</f>
        <v>#REF!</v>
      </c>
      <c r="EL48" t="e">
        <f>AND(#REF!,"AAAAAF63+o0=")</f>
        <v>#REF!</v>
      </c>
      <c r="EM48" t="e">
        <f>AND(#REF!,"AAAAAF63+o4=")</f>
        <v>#REF!</v>
      </c>
      <c r="EN48" t="e">
        <f>AND(#REF!,"AAAAAF63+o8=")</f>
        <v>#REF!</v>
      </c>
      <c r="EO48" t="e">
        <f>AND(#REF!,"AAAAAF63+pA=")</f>
        <v>#REF!</v>
      </c>
      <c r="EP48" t="e">
        <f>AND(#REF!,"AAAAAF63+pE=")</f>
        <v>#REF!</v>
      </c>
      <c r="EQ48" t="e">
        <f>AND(#REF!,"AAAAAF63+pI=")</f>
        <v>#REF!</v>
      </c>
      <c r="ER48" t="e">
        <f>AND(#REF!,"AAAAAF63+pM=")</f>
        <v>#REF!</v>
      </c>
      <c r="ES48" t="e">
        <f>AND(#REF!,"AAAAAF63+pQ=")</f>
        <v>#REF!</v>
      </c>
      <c r="ET48" t="e">
        <f>AND(#REF!,"AAAAAF63+pU=")</f>
        <v>#REF!</v>
      </c>
      <c r="EU48" t="e">
        <f>AND(#REF!,"AAAAAF63+pY=")</f>
        <v>#REF!</v>
      </c>
      <c r="EV48" t="e">
        <f>AND(#REF!,"AAAAAF63+pc=")</f>
        <v>#REF!</v>
      </c>
      <c r="EW48" t="e">
        <f>AND(#REF!,"AAAAAF63+pg=")</f>
        <v>#REF!</v>
      </c>
      <c r="EX48" t="e">
        <f>AND(#REF!,"AAAAAF63+pk=")</f>
        <v>#REF!</v>
      </c>
      <c r="EY48" t="e">
        <f>AND(#REF!,"AAAAAF63+po=")</f>
        <v>#REF!</v>
      </c>
      <c r="EZ48" t="e">
        <f>AND(#REF!,"AAAAAF63+ps=")</f>
        <v>#REF!</v>
      </c>
      <c r="FA48" t="e">
        <f>IF(#REF!,"AAAAAF63+pw=",0)</f>
        <v>#REF!</v>
      </c>
      <c r="FB48" t="e">
        <f>AND(#REF!,"AAAAAF63+p0=")</f>
        <v>#REF!</v>
      </c>
      <c r="FC48" t="e">
        <f>AND(#REF!,"AAAAAF63+p4=")</f>
        <v>#REF!</v>
      </c>
      <c r="FD48" t="e">
        <f>AND(#REF!,"AAAAAF63+p8=")</f>
        <v>#REF!</v>
      </c>
      <c r="FE48" t="e">
        <f>AND(#REF!,"AAAAAF63+qA=")</f>
        <v>#REF!</v>
      </c>
      <c r="FF48" t="e">
        <f>AND(#REF!,"AAAAAF63+qE=")</f>
        <v>#REF!</v>
      </c>
      <c r="FG48" t="e">
        <f>AND(#REF!,"AAAAAF63+qI=")</f>
        <v>#REF!</v>
      </c>
      <c r="FH48" t="e">
        <f>AND(#REF!,"AAAAAF63+qM=")</f>
        <v>#REF!</v>
      </c>
      <c r="FI48" t="e">
        <f>AND(#REF!,"AAAAAF63+qQ=")</f>
        <v>#REF!</v>
      </c>
      <c r="FJ48" t="e">
        <f>AND(#REF!,"AAAAAF63+qU=")</f>
        <v>#REF!</v>
      </c>
      <c r="FK48" t="e">
        <f>AND(#REF!,"AAAAAF63+qY=")</f>
        <v>#REF!</v>
      </c>
      <c r="FL48" t="e">
        <f>AND(#REF!,"AAAAAF63+qc=")</f>
        <v>#REF!</v>
      </c>
      <c r="FM48" t="e">
        <f>AND(#REF!,"AAAAAF63+qg=")</f>
        <v>#REF!</v>
      </c>
      <c r="FN48" t="e">
        <f>AND(#REF!,"AAAAAF63+qk=")</f>
        <v>#REF!</v>
      </c>
      <c r="FO48" t="e">
        <f>AND(#REF!,"AAAAAF63+qo=")</f>
        <v>#REF!</v>
      </c>
      <c r="FP48" t="e">
        <f>AND(#REF!,"AAAAAF63+qs=")</f>
        <v>#REF!</v>
      </c>
      <c r="FQ48" t="e">
        <f>AND(#REF!,"AAAAAF63+qw=")</f>
        <v>#REF!</v>
      </c>
      <c r="FR48" t="e">
        <f>AND(#REF!,"AAAAAF63+q0=")</f>
        <v>#REF!</v>
      </c>
      <c r="FS48" t="e">
        <f>AND(#REF!,"AAAAAF63+q4=")</f>
        <v>#REF!</v>
      </c>
      <c r="FT48" t="e">
        <f>AND(#REF!,"AAAAAF63+q8=")</f>
        <v>#REF!</v>
      </c>
      <c r="FU48" t="e">
        <f>AND(#REF!,"AAAAAF63+rA=")</f>
        <v>#REF!</v>
      </c>
      <c r="FV48" t="e">
        <f>AND(#REF!,"AAAAAF63+rE=")</f>
        <v>#REF!</v>
      </c>
      <c r="FW48" t="e">
        <f>AND(#REF!,"AAAAAF63+rI=")</f>
        <v>#REF!</v>
      </c>
      <c r="FX48" t="e">
        <f>AND(#REF!,"AAAAAF63+rM=")</f>
        <v>#REF!</v>
      </c>
      <c r="FY48" t="e">
        <f>AND(#REF!,"AAAAAF63+rQ=")</f>
        <v>#REF!</v>
      </c>
      <c r="FZ48" t="e">
        <f>AND(#REF!,"AAAAAF63+rU=")</f>
        <v>#REF!</v>
      </c>
      <c r="GA48" t="e">
        <f>AND(#REF!,"AAAAAF63+rY=")</f>
        <v>#REF!</v>
      </c>
      <c r="GB48" t="e">
        <f>AND(#REF!,"AAAAAF63+rc=")</f>
        <v>#REF!</v>
      </c>
      <c r="GC48" t="e">
        <f>AND(#REF!,"AAAAAF63+rg=")</f>
        <v>#REF!</v>
      </c>
      <c r="GD48" t="e">
        <f>AND(#REF!,"AAAAAF63+rk=")</f>
        <v>#REF!</v>
      </c>
      <c r="GE48" t="e">
        <f>AND(#REF!,"AAAAAF63+ro=")</f>
        <v>#REF!</v>
      </c>
      <c r="GF48" t="e">
        <f>AND(#REF!,"AAAAAF63+rs=")</f>
        <v>#REF!</v>
      </c>
      <c r="GG48" t="e">
        <f>AND(#REF!,"AAAAAF63+rw=")</f>
        <v>#REF!</v>
      </c>
      <c r="GH48" t="e">
        <f>AND(#REF!,"AAAAAF63+r0=")</f>
        <v>#REF!</v>
      </c>
      <c r="GI48" t="e">
        <f>AND(#REF!,"AAAAAF63+r4=")</f>
        <v>#REF!</v>
      </c>
      <c r="GJ48" t="e">
        <f>AND(#REF!,"AAAAAF63+r8=")</f>
        <v>#REF!</v>
      </c>
      <c r="GK48" t="e">
        <f>AND(#REF!,"AAAAAF63+sA=")</f>
        <v>#REF!</v>
      </c>
      <c r="GL48" t="e">
        <f>AND(#REF!,"AAAAAF63+sE=")</f>
        <v>#REF!</v>
      </c>
      <c r="GM48" t="e">
        <f>AND(#REF!,"AAAAAF63+sI=")</f>
        <v>#REF!</v>
      </c>
      <c r="GN48" t="e">
        <f>AND(#REF!,"AAAAAF63+sM=")</f>
        <v>#REF!</v>
      </c>
      <c r="GO48" t="e">
        <f>AND(#REF!,"AAAAAF63+sQ=")</f>
        <v>#REF!</v>
      </c>
      <c r="GP48" t="e">
        <f>AND(#REF!,"AAAAAF63+sU=")</f>
        <v>#REF!</v>
      </c>
      <c r="GQ48" t="e">
        <f>AND(#REF!,"AAAAAF63+sY=")</f>
        <v>#REF!</v>
      </c>
      <c r="GR48" t="e">
        <f>AND(#REF!,"AAAAAF63+sc=")</f>
        <v>#REF!</v>
      </c>
      <c r="GS48" t="e">
        <f>IF(#REF!,"AAAAAF63+sg=",0)</f>
        <v>#REF!</v>
      </c>
      <c r="GT48" t="e">
        <f>AND(#REF!,"AAAAAF63+sk=")</f>
        <v>#REF!</v>
      </c>
      <c r="GU48" t="e">
        <f>AND(#REF!,"AAAAAF63+so=")</f>
        <v>#REF!</v>
      </c>
      <c r="GV48" t="e">
        <f>AND(#REF!,"AAAAAF63+ss=")</f>
        <v>#REF!</v>
      </c>
      <c r="GW48" t="e">
        <f>AND(#REF!,"AAAAAF63+sw=")</f>
        <v>#REF!</v>
      </c>
      <c r="GX48" t="e">
        <f>AND(#REF!,"AAAAAF63+s0=")</f>
        <v>#REF!</v>
      </c>
      <c r="GY48" t="e">
        <f>AND(#REF!,"AAAAAF63+s4=")</f>
        <v>#REF!</v>
      </c>
      <c r="GZ48" t="e">
        <f>AND(#REF!,"AAAAAF63+s8=")</f>
        <v>#REF!</v>
      </c>
      <c r="HA48" t="e">
        <f>AND(#REF!,"AAAAAF63+tA=")</f>
        <v>#REF!</v>
      </c>
      <c r="HB48" t="e">
        <f>AND(#REF!,"AAAAAF63+tE=")</f>
        <v>#REF!</v>
      </c>
      <c r="HC48" t="e">
        <f>AND(#REF!,"AAAAAF63+tI=")</f>
        <v>#REF!</v>
      </c>
      <c r="HD48" t="e">
        <f>AND(#REF!,"AAAAAF63+tM=")</f>
        <v>#REF!</v>
      </c>
      <c r="HE48" t="e">
        <f>AND(#REF!,"AAAAAF63+tQ=")</f>
        <v>#REF!</v>
      </c>
      <c r="HF48" t="e">
        <f>AND(#REF!,"AAAAAF63+tU=")</f>
        <v>#REF!</v>
      </c>
      <c r="HG48" t="e">
        <f>AND(#REF!,"AAAAAF63+tY=")</f>
        <v>#REF!</v>
      </c>
      <c r="HH48" t="e">
        <f>AND(#REF!,"AAAAAF63+tc=")</f>
        <v>#REF!</v>
      </c>
      <c r="HI48" t="e">
        <f>AND(#REF!,"AAAAAF63+tg=")</f>
        <v>#REF!</v>
      </c>
      <c r="HJ48" t="e">
        <f>AND(#REF!,"AAAAAF63+tk=")</f>
        <v>#REF!</v>
      </c>
      <c r="HK48" t="e">
        <f>AND(#REF!,"AAAAAF63+to=")</f>
        <v>#REF!</v>
      </c>
      <c r="HL48" t="e">
        <f>AND(#REF!,"AAAAAF63+ts=")</f>
        <v>#REF!</v>
      </c>
      <c r="HM48" t="e">
        <f>AND(#REF!,"AAAAAF63+tw=")</f>
        <v>#REF!</v>
      </c>
      <c r="HN48" t="e">
        <f>AND(#REF!,"AAAAAF63+t0=")</f>
        <v>#REF!</v>
      </c>
      <c r="HO48" t="e">
        <f>AND(#REF!,"AAAAAF63+t4=")</f>
        <v>#REF!</v>
      </c>
      <c r="HP48" t="e">
        <f>AND(#REF!,"AAAAAF63+t8=")</f>
        <v>#REF!</v>
      </c>
      <c r="HQ48" t="e">
        <f>AND(#REF!,"AAAAAF63+uA=")</f>
        <v>#REF!</v>
      </c>
      <c r="HR48" t="e">
        <f>AND(#REF!,"AAAAAF63+uE=")</f>
        <v>#REF!</v>
      </c>
      <c r="HS48" t="e">
        <f>AND(#REF!,"AAAAAF63+uI=")</f>
        <v>#REF!</v>
      </c>
      <c r="HT48" t="e">
        <f>AND(#REF!,"AAAAAF63+uM=")</f>
        <v>#REF!</v>
      </c>
      <c r="HU48" t="e">
        <f>AND(#REF!,"AAAAAF63+uQ=")</f>
        <v>#REF!</v>
      </c>
      <c r="HV48" t="e">
        <f>AND(#REF!,"AAAAAF63+uU=")</f>
        <v>#REF!</v>
      </c>
      <c r="HW48" t="e">
        <f>AND(#REF!,"AAAAAF63+uY=")</f>
        <v>#REF!</v>
      </c>
      <c r="HX48" t="e">
        <f>AND(#REF!,"AAAAAF63+uc=")</f>
        <v>#REF!</v>
      </c>
      <c r="HY48" t="e">
        <f>AND(#REF!,"AAAAAF63+ug=")</f>
        <v>#REF!</v>
      </c>
      <c r="HZ48" t="e">
        <f>AND(#REF!,"AAAAAF63+uk=")</f>
        <v>#REF!</v>
      </c>
      <c r="IA48" t="e">
        <f>AND(#REF!,"AAAAAF63+uo=")</f>
        <v>#REF!</v>
      </c>
      <c r="IB48" t="e">
        <f>AND(#REF!,"AAAAAF63+us=")</f>
        <v>#REF!</v>
      </c>
      <c r="IC48" t="e">
        <f>AND(#REF!,"AAAAAF63+uw=")</f>
        <v>#REF!</v>
      </c>
      <c r="ID48" t="e">
        <f>AND(#REF!,"AAAAAF63+u0=")</f>
        <v>#REF!</v>
      </c>
      <c r="IE48" t="e">
        <f>AND(#REF!,"AAAAAF63+u4=")</f>
        <v>#REF!</v>
      </c>
      <c r="IF48" t="e">
        <f>AND(#REF!,"AAAAAF63+u8=")</f>
        <v>#REF!</v>
      </c>
      <c r="IG48" t="e">
        <f>AND(#REF!,"AAAAAF63+vA=")</f>
        <v>#REF!</v>
      </c>
      <c r="IH48" t="e">
        <f>AND(#REF!,"AAAAAF63+vE=")</f>
        <v>#REF!</v>
      </c>
      <c r="II48" t="e">
        <f>AND(#REF!,"AAAAAF63+vI=")</f>
        <v>#REF!</v>
      </c>
      <c r="IJ48" t="e">
        <f>AND(#REF!,"AAAAAF63+vM=")</f>
        <v>#REF!</v>
      </c>
      <c r="IK48" t="e">
        <f>IF(#REF!,"AAAAAF63+vQ=",0)</f>
        <v>#REF!</v>
      </c>
      <c r="IL48" t="e">
        <f>AND(#REF!,"AAAAAF63+vU=")</f>
        <v>#REF!</v>
      </c>
      <c r="IM48" t="e">
        <f>AND(#REF!,"AAAAAF63+vY=")</f>
        <v>#REF!</v>
      </c>
      <c r="IN48" t="e">
        <f>AND(#REF!,"AAAAAF63+vc=")</f>
        <v>#REF!</v>
      </c>
      <c r="IO48" t="e">
        <f>AND(#REF!,"AAAAAF63+vg=")</f>
        <v>#REF!</v>
      </c>
      <c r="IP48" t="e">
        <f>AND(#REF!,"AAAAAF63+vk=")</f>
        <v>#REF!</v>
      </c>
      <c r="IQ48" t="e">
        <f>AND(#REF!,"AAAAAF63+vo=")</f>
        <v>#REF!</v>
      </c>
      <c r="IR48" t="e">
        <f>AND(#REF!,"AAAAAF63+vs=")</f>
        <v>#REF!</v>
      </c>
      <c r="IS48" t="e">
        <f>AND(#REF!,"AAAAAF63+vw=")</f>
        <v>#REF!</v>
      </c>
      <c r="IT48" t="e">
        <f>AND(#REF!,"AAAAAF63+v0=")</f>
        <v>#REF!</v>
      </c>
      <c r="IU48" t="e">
        <f>AND(#REF!,"AAAAAF63+v4=")</f>
        <v>#REF!</v>
      </c>
      <c r="IV48" t="e">
        <f>AND(#REF!,"AAAAAF63+v8=")</f>
        <v>#REF!</v>
      </c>
    </row>
    <row r="49" spans="1:256" x14ac:dyDescent="0.25">
      <c r="A49" t="e">
        <f>AND(#REF!,"AAAAADX//wA=")</f>
        <v>#REF!</v>
      </c>
      <c r="B49" t="e">
        <f>AND(#REF!,"AAAAADX//wE=")</f>
        <v>#REF!</v>
      </c>
      <c r="C49" t="e">
        <f>AND(#REF!,"AAAAADX//wI=")</f>
        <v>#REF!</v>
      </c>
      <c r="D49" t="e">
        <f>AND(#REF!,"AAAAADX//wM=")</f>
        <v>#REF!</v>
      </c>
      <c r="E49" t="e">
        <f>AND(#REF!,"AAAAADX//wQ=")</f>
        <v>#REF!</v>
      </c>
      <c r="F49" t="e">
        <f>AND(#REF!,"AAAAADX//wU=")</f>
        <v>#REF!</v>
      </c>
      <c r="G49" t="e">
        <f>AND(#REF!,"AAAAADX//wY=")</f>
        <v>#REF!</v>
      </c>
      <c r="H49" t="e">
        <f>AND(#REF!,"AAAAADX//wc=")</f>
        <v>#REF!</v>
      </c>
      <c r="I49" t="e">
        <f>AND(#REF!,"AAAAADX//wg=")</f>
        <v>#REF!</v>
      </c>
      <c r="J49" t="e">
        <f>AND(#REF!,"AAAAADX//wk=")</f>
        <v>#REF!</v>
      </c>
      <c r="K49" t="e">
        <f>AND(#REF!,"AAAAADX//wo=")</f>
        <v>#REF!</v>
      </c>
      <c r="L49" t="e">
        <f>AND(#REF!,"AAAAADX//ws=")</f>
        <v>#REF!</v>
      </c>
      <c r="M49" t="e">
        <f>AND(#REF!,"AAAAADX//ww=")</f>
        <v>#REF!</v>
      </c>
      <c r="N49" t="e">
        <f>AND(#REF!,"AAAAADX//w0=")</f>
        <v>#REF!</v>
      </c>
      <c r="O49" t="e">
        <f>AND(#REF!,"AAAAADX//w4=")</f>
        <v>#REF!</v>
      </c>
      <c r="P49" t="e">
        <f>AND(#REF!,"AAAAADX//w8=")</f>
        <v>#REF!</v>
      </c>
      <c r="Q49" t="e">
        <f>AND(#REF!,"AAAAADX//xA=")</f>
        <v>#REF!</v>
      </c>
      <c r="R49" t="e">
        <f>AND(#REF!,"AAAAADX//xE=")</f>
        <v>#REF!</v>
      </c>
      <c r="S49" t="e">
        <f>AND(#REF!,"AAAAADX//xI=")</f>
        <v>#REF!</v>
      </c>
      <c r="T49" t="e">
        <f>AND(#REF!,"AAAAADX//xM=")</f>
        <v>#REF!</v>
      </c>
      <c r="U49" t="e">
        <f>AND(#REF!,"AAAAADX//xQ=")</f>
        <v>#REF!</v>
      </c>
      <c r="V49" t="e">
        <f>AND(#REF!,"AAAAADX//xU=")</f>
        <v>#REF!</v>
      </c>
      <c r="W49" t="e">
        <f>AND(#REF!,"AAAAADX//xY=")</f>
        <v>#REF!</v>
      </c>
      <c r="X49" t="e">
        <f>AND(#REF!,"AAAAADX//xc=")</f>
        <v>#REF!</v>
      </c>
      <c r="Y49" t="e">
        <f>AND(#REF!,"AAAAADX//xg=")</f>
        <v>#REF!</v>
      </c>
      <c r="Z49" t="e">
        <f>AND(#REF!,"AAAAADX//xk=")</f>
        <v>#REF!</v>
      </c>
      <c r="AA49" t="e">
        <f>AND(#REF!,"AAAAADX//xo=")</f>
        <v>#REF!</v>
      </c>
      <c r="AB49" t="e">
        <f>AND(#REF!,"AAAAADX//xs=")</f>
        <v>#REF!</v>
      </c>
      <c r="AC49" t="e">
        <f>AND(#REF!,"AAAAADX//xw=")</f>
        <v>#REF!</v>
      </c>
      <c r="AD49" t="e">
        <f>AND(#REF!,"AAAAADX//x0=")</f>
        <v>#REF!</v>
      </c>
      <c r="AE49" t="e">
        <f>AND(#REF!,"AAAAADX//x4=")</f>
        <v>#REF!</v>
      </c>
      <c r="AF49" t="e">
        <f>AND(#REF!,"AAAAADX//x8=")</f>
        <v>#REF!</v>
      </c>
      <c r="AG49" t="e">
        <f>IF(#REF!,"AAAAADX//yA=",0)</f>
        <v>#REF!</v>
      </c>
      <c r="AH49" t="e">
        <f>AND(#REF!,"AAAAADX//yE=")</f>
        <v>#REF!</v>
      </c>
      <c r="AI49" t="e">
        <f>AND(#REF!,"AAAAADX//yI=")</f>
        <v>#REF!</v>
      </c>
      <c r="AJ49" t="e">
        <f>AND(#REF!,"AAAAADX//yM=")</f>
        <v>#REF!</v>
      </c>
      <c r="AK49" t="e">
        <f>AND(#REF!,"AAAAADX//yQ=")</f>
        <v>#REF!</v>
      </c>
      <c r="AL49" t="e">
        <f>AND(#REF!,"AAAAADX//yU=")</f>
        <v>#REF!</v>
      </c>
      <c r="AM49" t="e">
        <f>AND(#REF!,"AAAAADX//yY=")</f>
        <v>#REF!</v>
      </c>
      <c r="AN49" t="e">
        <f>AND(#REF!,"AAAAADX//yc=")</f>
        <v>#REF!</v>
      </c>
      <c r="AO49" t="e">
        <f>AND(#REF!,"AAAAADX//yg=")</f>
        <v>#REF!</v>
      </c>
      <c r="AP49" t="e">
        <f>AND(#REF!,"AAAAADX//yk=")</f>
        <v>#REF!</v>
      </c>
      <c r="AQ49" t="e">
        <f>AND(#REF!,"AAAAADX//yo=")</f>
        <v>#REF!</v>
      </c>
      <c r="AR49" t="e">
        <f>AND(#REF!,"AAAAADX//ys=")</f>
        <v>#REF!</v>
      </c>
      <c r="AS49" t="e">
        <f>AND(#REF!,"AAAAADX//yw=")</f>
        <v>#REF!</v>
      </c>
      <c r="AT49" t="e">
        <f>AND(#REF!,"AAAAADX//y0=")</f>
        <v>#REF!</v>
      </c>
      <c r="AU49" t="e">
        <f>AND(#REF!,"AAAAADX//y4=")</f>
        <v>#REF!</v>
      </c>
      <c r="AV49" t="e">
        <f>AND(#REF!,"AAAAADX//y8=")</f>
        <v>#REF!</v>
      </c>
      <c r="AW49" t="e">
        <f>AND(#REF!,"AAAAADX//zA=")</f>
        <v>#REF!</v>
      </c>
      <c r="AX49" t="e">
        <f>AND(#REF!,"AAAAADX//zE=")</f>
        <v>#REF!</v>
      </c>
      <c r="AY49" t="e">
        <f>AND(#REF!,"AAAAADX//zI=")</f>
        <v>#REF!</v>
      </c>
      <c r="AZ49" t="e">
        <f>AND(#REF!,"AAAAADX//zM=")</f>
        <v>#REF!</v>
      </c>
      <c r="BA49" t="e">
        <f>AND(#REF!,"AAAAADX//zQ=")</f>
        <v>#REF!</v>
      </c>
      <c r="BB49" t="e">
        <f>AND(#REF!,"AAAAADX//zU=")</f>
        <v>#REF!</v>
      </c>
      <c r="BC49" t="e">
        <f>AND(#REF!,"AAAAADX//zY=")</f>
        <v>#REF!</v>
      </c>
      <c r="BD49" t="e">
        <f>AND(#REF!,"AAAAADX//zc=")</f>
        <v>#REF!</v>
      </c>
      <c r="BE49" t="e">
        <f>AND(#REF!,"AAAAADX//zg=")</f>
        <v>#REF!</v>
      </c>
      <c r="BF49" t="e">
        <f>AND(#REF!,"AAAAADX//zk=")</f>
        <v>#REF!</v>
      </c>
      <c r="BG49" t="e">
        <f>AND(#REF!,"AAAAADX//zo=")</f>
        <v>#REF!</v>
      </c>
      <c r="BH49" t="e">
        <f>AND(#REF!,"AAAAADX//zs=")</f>
        <v>#REF!</v>
      </c>
      <c r="BI49" t="e">
        <f>AND(#REF!,"AAAAADX//zw=")</f>
        <v>#REF!</v>
      </c>
      <c r="BJ49" t="e">
        <f>AND(#REF!,"AAAAADX//z0=")</f>
        <v>#REF!</v>
      </c>
      <c r="BK49" t="e">
        <f>AND(#REF!,"AAAAADX//z4=")</f>
        <v>#REF!</v>
      </c>
      <c r="BL49" t="e">
        <f>AND(#REF!,"AAAAADX//z8=")</f>
        <v>#REF!</v>
      </c>
      <c r="BM49" t="e">
        <f>AND(#REF!,"AAAAADX//0A=")</f>
        <v>#REF!</v>
      </c>
      <c r="BN49" t="e">
        <f>AND(#REF!,"AAAAADX//0E=")</f>
        <v>#REF!</v>
      </c>
      <c r="BO49" t="e">
        <f>AND(#REF!,"AAAAADX//0I=")</f>
        <v>#REF!</v>
      </c>
      <c r="BP49" t="e">
        <f>AND(#REF!,"AAAAADX//0M=")</f>
        <v>#REF!</v>
      </c>
      <c r="BQ49" t="e">
        <f>AND(#REF!,"AAAAADX//0Q=")</f>
        <v>#REF!</v>
      </c>
      <c r="BR49" t="e">
        <f>AND(#REF!,"AAAAADX//0U=")</f>
        <v>#REF!</v>
      </c>
      <c r="BS49" t="e">
        <f>AND(#REF!,"AAAAADX//0Y=")</f>
        <v>#REF!</v>
      </c>
      <c r="BT49" t="e">
        <f>AND(#REF!,"AAAAADX//0c=")</f>
        <v>#REF!</v>
      </c>
      <c r="BU49" t="e">
        <f>AND(#REF!,"AAAAADX//0g=")</f>
        <v>#REF!</v>
      </c>
      <c r="BV49" t="e">
        <f>AND(#REF!,"AAAAADX//0k=")</f>
        <v>#REF!</v>
      </c>
      <c r="BW49" t="e">
        <f>AND(#REF!,"AAAAADX//0o=")</f>
        <v>#REF!</v>
      </c>
      <c r="BX49" t="e">
        <f>AND(#REF!,"AAAAADX//0s=")</f>
        <v>#REF!</v>
      </c>
      <c r="BY49" t="e">
        <f>IF(#REF!,"AAAAADX//0w=",0)</f>
        <v>#REF!</v>
      </c>
      <c r="BZ49" t="e">
        <f>AND(#REF!,"AAAAADX//00=")</f>
        <v>#REF!</v>
      </c>
      <c r="CA49" t="e">
        <f>AND(#REF!,"AAAAADX//04=")</f>
        <v>#REF!</v>
      </c>
      <c r="CB49" t="e">
        <f>AND(#REF!,"AAAAADX//08=")</f>
        <v>#REF!</v>
      </c>
      <c r="CC49" t="e">
        <f>AND(#REF!,"AAAAADX//1A=")</f>
        <v>#REF!</v>
      </c>
      <c r="CD49" t="e">
        <f>AND(#REF!,"AAAAADX//1E=")</f>
        <v>#REF!</v>
      </c>
      <c r="CE49" t="e">
        <f>AND(#REF!,"AAAAADX//1I=")</f>
        <v>#REF!</v>
      </c>
      <c r="CF49" t="e">
        <f>AND(#REF!,"AAAAADX//1M=")</f>
        <v>#REF!</v>
      </c>
      <c r="CG49" t="e">
        <f>AND(#REF!,"AAAAADX//1Q=")</f>
        <v>#REF!</v>
      </c>
      <c r="CH49" t="e">
        <f>AND(#REF!,"AAAAADX//1U=")</f>
        <v>#REF!</v>
      </c>
      <c r="CI49" t="e">
        <f>AND(#REF!,"AAAAADX//1Y=")</f>
        <v>#REF!</v>
      </c>
      <c r="CJ49" t="e">
        <f>AND(#REF!,"AAAAADX//1c=")</f>
        <v>#REF!</v>
      </c>
      <c r="CK49" t="e">
        <f>AND(#REF!,"AAAAADX//1g=")</f>
        <v>#REF!</v>
      </c>
      <c r="CL49" t="e">
        <f>AND(#REF!,"AAAAADX//1k=")</f>
        <v>#REF!</v>
      </c>
      <c r="CM49" t="e">
        <f>AND(#REF!,"AAAAADX//1o=")</f>
        <v>#REF!</v>
      </c>
      <c r="CN49" t="e">
        <f>AND(#REF!,"AAAAADX//1s=")</f>
        <v>#REF!</v>
      </c>
      <c r="CO49" t="e">
        <f>AND(#REF!,"AAAAADX//1w=")</f>
        <v>#REF!</v>
      </c>
      <c r="CP49" t="e">
        <f>AND(#REF!,"AAAAADX//10=")</f>
        <v>#REF!</v>
      </c>
      <c r="CQ49" t="e">
        <f>AND(#REF!,"AAAAADX//14=")</f>
        <v>#REF!</v>
      </c>
      <c r="CR49" t="e">
        <f>AND(#REF!,"AAAAADX//18=")</f>
        <v>#REF!</v>
      </c>
      <c r="CS49" t="e">
        <f>AND(#REF!,"AAAAADX//2A=")</f>
        <v>#REF!</v>
      </c>
      <c r="CT49" t="e">
        <f>AND(#REF!,"AAAAADX//2E=")</f>
        <v>#REF!</v>
      </c>
      <c r="CU49" t="e">
        <f>AND(#REF!,"AAAAADX//2I=")</f>
        <v>#REF!</v>
      </c>
      <c r="CV49" t="e">
        <f>AND(#REF!,"AAAAADX//2M=")</f>
        <v>#REF!</v>
      </c>
      <c r="CW49" t="e">
        <f>AND(#REF!,"AAAAADX//2Q=")</f>
        <v>#REF!</v>
      </c>
      <c r="CX49" t="e">
        <f>AND(#REF!,"AAAAADX//2U=")</f>
        <v>#REF!</v>
      </c>
      <c r="CY49" t="e">
        <f>AND(#REF!,"AAAAADX//2Y=")</f>
        <v>#REF!</v>
      </c>
      <c r="CZ49" t="e">
        <f>AND(#REF!,"AAAAADX//2c=")</f>
        <v>#REF!</v>
      </c>
      <c r="DA49" t="e">
        <f>AND(#REF!,"AAAAADX//2g=")</f>
        <v>#REF!</v>
      </c>
      <c r="DB49" t="e">
        <f>AND(#REF!,"AAAAADX//2k=")</f>
        <v>#REF!</v>
      </c>
      <c r="DC49" t="e">
        <f>AND(#REF!,"AAAAADX//2o=")</f>
        <v>#REF!</v>
      </c>
      <c r="DD49" t="e">
        <f>AND(#REF!,"AAAAADX//2s=")</f>
        <v>#REF!</v>
      </c>
      <c r="DE49" t="e">
        <f>AND(#REF!,"AAAAADX//2w=")</f>
        <v>#REF!</v>
      </c>
      <c r="DF49" t="e">
        <f>AND(#REF!,"AAAAADX//20=")</f>
        <v>#REF!</v>
      </c>
      <c r="DG49" t="e">
        <f>AND(#REF!,"AAAAADX//24=")</f>
        <v>#REF!</v>
      </c>
      <c r="DH49" t="e">
        <f>AND(#REF!,"AAAAADX//28=")</f>
        <v>#REF!</v>
      </c>
      <c r="DI49" t="e">
        <f>AND(#REF!,"AAAAADX//3A=")</f>
        <v>#REF!</v>
      </c>
      <c r="DJ49" t="e">
        <f>AND(#REF!,"AAAAADX//3E=")</f>
        <v>#REF!</v>
      </c>
      <c r="DK49" t="e">
        <f>AND(#REF!,"AAAAADX//3I=")</f>
        <v>#REF!</v>
      </c>
      <c r="DL49" t="e">
        <f>AND(#REF!,"AAAAADX//3M=")</f>
        <v>#REF!</v>
      </c>
      <c r="DM49" t="e">
        <f>AND(#REF!,"AAAAADX//3Q=")</f>
        <v>#REF!</v>
      </c>
      <c r="DN49" t="e">
        <f>AND(#REF!,"AAAAADX//3U=")</f>
        <v>#REF!</v>
      </c>
      <c r="DO49" t="e">
        <f>AND(#REF!,"AAAAADX//3Y=")</f>
        <v>#REF!</v>
      </c>
      <c r="DP49" t="e">
        <f>AND(#REF!,"AAAAADX//3c=")</f>
        <v>#REF!</v>
      </c>
      <c r="DQ49" t="e">
        <f>IF(#REF!,"AAAAADX//3g=",0)</f>
        <v>#REF!</v>
      </c>
      <c r="DR49" t="e">
        <f>AND(#REF!,"AAAAADX//3k=")</f>
        <v>#REF!</v>
      </c>
      <c r="DS49" t="e">
        <f>AND(#REF!,"AAAAADX//3o=")</f>
        <v>#REF!</v>
      </c>
      <c r="DT49" t="e">
        <f>AND(#REF!,"AAAAADX//3s=")</f>
        <v>#REF!</v>
      </c>
      <c r="DU49" t="e">
        <f>AND(#REF!,"AAAAADX//3w=")</f>
        <v>#REF!</v>
      </c>
      <c r="DV49" t="e">
        <f>AND(#REF!,"AAAAADX//30=")</f>
        <v>#REF!</v>
      </c>
      <c r="DW49" t="e">
        <f>AND(#REF!,"AAAAADX//34=")</f>
        <v>#REF!</v>
      </c>
      <c r="DX49" t="e">
        <f>AND(#REF!,"AAAAADX//38=")</f>
        <v>#REF!</v>
      </c>
      <c r="DY49" t="e">
        <f>AND(#REF!,"AAAAADX//4A=")</f>
        <v>#REF!</v>
      </c>
      <c r="DZ49" t="e">
        <f>AND(#REF!,"AAAAADX//4E=")</f>
        <v>#REF!</v>
      </c>
      <c r="EA49" t="e">
        <f>AND(#REF!,"AAAAADX//4I=")</f>
        <v>#REF!</v>
      </c>
      <c r="EB49" t="e">
        <f>AND(#REF!,"AAAAADX//4M=")</f>
        <v>#REF!</v>
      </c>
      <c r="EC49" t="e">
        <f>AND(#REF!,"AAAAADX//4Q=")</f>
        <v>#REF!</v>
      </c>
      <c r="ED49" t="e">
        <f>AND(#REF!,"AAAAADX//4U=")</f>
        <v>#REF!</v>
      </c>
      <c r="EE49" t="e">
        <f>AND(#REF!,"AAAAADX//4Y=")</f>
        <v>#REF!</v>
      </c>
      <c r="EF49" t="e">
        <f>AND(#REF!,"AAAAADX//4c=")</f>
        <v>#REF!</v>
      </c>
      <c r="EG49" t="e">
        <f>AND(#REF!,"AAAAADX//4g=")</f>
        <v>#REF!</v>
      </c>
      <c r="EH49" t="e">
        <f>AND(#REF!,"AAAAADX//4k=")</f>
        <v>#REF!</v>
      </c>
      <c r="EI49" t="e">
        <f>AND(#REF!,"AAAAADX//4o=")</f>
        <v>#REF!</v>
      </c>
      <c r="EJ49" t="e">
        <f>AND(#REF!,"AAAAADX//4s=")</f>
        <v>#REF!</v>
      </c>
      <c r="EK49" t="e">
        <f>AND(#REF!,"AAAAADX//4w=")</f>
        <v>#REF!</v>
      </c>
      <c r="EL49" t="e">
        <f>AND(#REF!,"AAAAADX//40=")</f>
        <v>#REF!</v>
      </c>
      <c r="EM49" t="e">
        <f>AND(#REF!,"AAAAADX//44=")</f>
        <v>#REF!</v>
      </c>
      <c r="EN49" t="e">
        <f>AND(#REF!,"AAAAADX//48=")</f>
        <v>#REF!</v>
      </c>
      <c r="EO49" t="e">
        <f>AND(#REF!,"AAAAADX//5A=")</f>
        <v>#REF!</v>
      </c>
      <c r="EP49" t="e">
        <f>AND(#REF!,"AAAAADX//5E=")</f>
        <v>#REF!</v>
      </c>
      <c r="EQ49" t="e">
        <f>AND(#REF!,"AAAAADX//5I=")</f>
        <v>#REF!</v>
      </c>
      <c r="ER49" t="e">
        <f>AND(#REF!,"AAAAADX//5M=")</f>
        <v>#REF!</v>
      </c>
      <c r="ES49" t="e">
        <f>AND(#REF!,"AAAAADX//5Q=")</f>
        <v>#REF!</v>
      </c>
      <c r="ET49" t="e">
        <f>AND(#REF!,"AAAAADX//5U=")</f>
        <v>#REF!</v>
      </c>
      <c r="EU49" t="e">
        <f>AND(#REF!,"AAAAADX//5Y=")</f>
        <v>#REF!</v>
      </c>
      <c r="EV49" t="e">
        <f>AND(#REF!,"AAAAADX//5c=")</f>
        <v>#REF!</v>
      </c>
      <c r="EW49" t="e">
        <f>AND(#REF!,"AAAAADX//5g=")</f>
        <v>#REF!</v>
      </c>
      <c r="EX49" t="e">
        <f>AND(#REF!,"AAAAADX//5k=")</f>
        <v>#REF!</v>
      </c>
      <c r="EY49" t="e">
        <f>AND(#REF!,"AAAAADX//5o=")</f>
        <v>#REF!</v>
      </c>
      <c r="EZ49" t="e">
        <f>AND(#REF!,"AAAAADX//5s=")</f>
        <v>#REF!</v>
      </c>
      <c r="FA49" t="e">
        <f>AND(#REF!,"AAAAADX//5w=")</f>
        <v>#REF!</v>
      </c>
      <c r="FB49" t="e">
        <f>AND(#REF!,"AAAAADX//50=")</f>
        <v>#REF!</v>
      </c>
      <c r="FC49" t="e">
        <f>AND(#REF!,"AAAAADX//54=")</f>
        <v>#REF!</v>
      </c>
      <c r="FD49" t="e">
        <f>AND(#REF!,"AAAAADX//58=")</f>
        <v>#REF!</v>
      </c>
      <c r="FE49" t="e">
        <f>AND(#REF!,"AAAAADX//6A=")</f>
        <v>#REF!</v>
      </c>
      <c r="FF49" t="e">
        <f>AND(#REF!,"AAAAADX//6E=")</f>
        <v>#REF!</v>
      </c>
      <c r="FG49" t="e">
        <f>AND(#REF!,"AAAAADX//6I=")</f>
        <v>#REF!</v>
      </c>
      <c r="FH49" t="e">
        <f>AND(#REF!,"AAAAADX//6M=")</f>
        <v>#REF!</v>
      </c>
      <c r="FI49" t="e">
        <f>IF(#REF!,"AAAAADX//6Q=",0)</f>
        <v>#REF!</v>
      </c>
      <c r="FJ49" t="e">
        <f>AND(#REF!,"AAAAADX//6U=")</f>
        <v>#REF!</v>
      </c>
      <c r="FK49" t="e">
        <f>AND(#REF!,"AAAAADX//6Y=")</f>
        <v>#REF!</v>
      </c>
      <c r="FL49" t="e">
        <f>AND(#REF!,"AAAAADX//6c=")</f>
        <v>#REF!</v>
      </c>
      <c r="FM49" t="e">
        <f>AND(#REF!,"AAAAADX//6g=")</f>
        <v>#REF!</v>
      </c>
      <c r="FN49" t="e">
        <f>AND(#REF!,"AAAAADX//6k=")</f>
        <v>#REF!</v>
      </c>
      <c r="FO49" t="e">
        <f>AND(#REF!,"AAAAADX//6o=")</f>
        <v>#REF!</v>
      </c>
      <c r="FP49" t="e">
        <f>AND(#REF!,"AAAAADX//6s=")</f>
        <v>#REF!</v>
      </c>
      <c r="FQ49" t="e">
        <f>AND(#REF!,"AAAAADX//6w=")</f>
        <v>#REF!</v>
      </c>
      <c r="FR49" t="e">
        <f>AND(#REF!,"AAAAADX//60=")</f>
        <v>#REF!</v>
      </c>
      <c r="FS49" t="e">
        <f>AND(#REF!,"AAAAADX//64=")</f>
        <v>#REF!</v>
      </c>
      <c r="FT49" t="e">
        <f>AND(#REF!,"AAAAADX//68=")</f>
        <v>#REF!</v>
      </c>
      <c r="FU49" t="e">
        <f>AND(#REF!,"AAAAADX//7A=")</f>
        <v>#REF!</v>
      </c>
      <c r="FV49" t="e">
        <f>AND(#REF!,"AAAAADX//7E=")</f>
        <v>#REF!</v>
      </c>
      <c r="FW49" t="e">
        <f>AND(#REF!,"AAAAADX//7I=")</f>
        <v>#REF!</v>
      </c>
      <c r="FX49" t="e">
        <f>AND(#REF!,"AAAAADX//7M=")</f>
        <v>#REF!</v>
      </c>
      <c r="FY49" t="e">
        <f>AND(#REF!,"AAAAADX//7Q=")</f>
        <v>#REF!</v>
      </c>
      <c r="FZ49" t="e">
        <f>AND(#REF!,"AAAAADX//7U=")</f>
        <v>#REF!</v>
      </c>
      <c r="GA49" t="e">
        <f>AND(#REF!,"AAAAADX//7Y=")</f>
        <v>#REF!</v>
      </c>
      <c r="GB49" t="e">
        <f>AND(#REF!,"AAAAADX//7c=")</f>
        <v>#REF!</v>
      </c>
      <c r="GC49" t="e">
        <f>AND(#REF!,"AAAAADX//7g=")</f>
        <v>#REF!</v>
      </c>
      <c r="GD49" t="e">
        <f>AND(#REF!,"AAAAADX//7k=")</f>
        <v>#REF!</v>
      </c>
      <c r="GE49" t="e">
        <f>AND(#REF!,"AAAAADX//7o=")</f>
        <v>#REF!</v>
      </c>
      <c r="GF49" t="e">
        <f>AND(#REF!,"AAAAADX//7s=")</f>
        <v>#REF!</v>
      </c>
      <c r="GG49" t="e">
        <f>AND(#REF!,"AAAAADX//7w=")</f>
        <v>#REF!</v>
      </c>
      <c r="GH49" t="e">
        <f>AND(#REF!,"AAAAADX//70=")</f>
        <v>#REF!</v>
      </c>
      <c r="GI49" t="e">
        <f>AND(#REF!,"AAAAADX//74=")</f>
        <v>#REF!</v>
      </c>
      <c r="GJ49" t="e">
        <f>AND(#REF!,"AAAAADX//78=")</f>
        <v>#REF!</v>
      </c>
      <c r="GK49" t="e">
        <f>AND(#REF!,"AAAAADX//8A=")</f>
        <v>#REF!</v>
      </c>
      <c r="GL49" t="e">
        <f>AND(#REF!,"AAAAADX//8E=")</f>
        <v>#REF!</v>
      </c>
      <c r="GM49" t="e">
        <f>AND(#REF!,"AAAAADX//8I=")</f>
        <v>#REF!</v>
      </c>
      <c r="GN49" t="e">
        <f>AND(#REF!,"AAAAADX//8M=")</f>
        <v>#REF!</v>
      </c>
      <c r="GO49" t="e">
        <f>AND(#REF!,"AAAAADX//8Q=")</f>
        <v>#REF!</v>
      </c>
      <c r="GP49" t="e">
        <f>AND(#REF!,"AAAAADX//8U=")</f>
        <v>#REF!</v>
      </c>
      <c r="GQ49" t="e">
        <f>AND(#REF!,"AAAAADX//8Y=")</f>
        <v>#REF!</v>
      </c>
      <c r="GR49" t="e">
        <f>AND(#REF!,"AAAAADX//8c=")</f>
        <v>#REF!</v>
      </c>
      <c r="GS49" t="e">
        <f>AND(#REF!,"AAAAADX//8g=")</f>
        <v>#REF!</v>
      </c>
      <c r="GT49" t="e">
        <f>AND(#REF!,"AAAAADX//8k=")</f>
        <v>#REF!</v>
      </c>
      <c r="GU49" t="e">
        <f>AND(#REF!,"AAAAADX//8o=")</f>
        <v>#REF!</v>
      </c>
      <c r="GV49" t="e">
        <f>AND(#REF!,"AAAAADX//8s=")</f>
        <v>#REF!</v>
      </c>
      <c r="GW49" t="e">
        <f>AND(#REF!,"AAAAADX//8w=")</f>
        <v>#REF!</v>
      </c>
      <c r="GX49" t="e">
        <f>AND(#REF!,"AAAAADX//80=")</f>
        <v>#REF!</v>
      </c>
      <c r="GY49" t="e">
        <f>AND(#REF!,"AAAAADX//84=")</f>
        <v>#REF!</v>
      </c>
      <c r="GZ49" t="e">
        <f>AND(#REF!,"AAAAADX//88=")</f>
        <v>#REF!</v>
      </c>
      <c r="HA49" t="e">
        <f>IF(#REF!,"AAAAADX//9A=",0)</f>
        <v>#REF!</v>
      </c>
      <c r="HB49" t="e">
        <f>AND(#REF!,"AAAAADX//9E=")</f>
        <v>#REF!</v>
      </c>
      <c r="HC49" t="e">
        <f>AND(#REF!,"AAAAADX//9I=")</f>
        <v>#REF!</v>
      </c>
      <c r="HD49" t="e">
        <f>AND(#REF!,"AAAAADX//9M=")</f>
        <v>#REF!</v>
      </c>
      <c r="HE49" t="e">
        <f>AND(#REF!,"AAAAADX//9Q=")</f>
        <v>#REF!</v>
      </c>
      <c r="HF49" t="e">
        <f>AND(#REF!,"AAAAADX//9U=")</f>
        <v>#REF!</v>
      </c>
      <c r="HG49" t="e">
        <f>AND(#REF!,"AAAAADX//9Y=")</f>
        <v>#REF!</v>
      </c>
      <c r="HH49" t="e">
        <f>AND(#REF!,"AAAAADX//9c=")</f>
        <v>#REF!</v>
      </c>
      <c r="HI49" t="e">
        <f>AND(#REF!,"AAAAADX//9g=")</f>
        <v>#REF!</v>
      </c>
      <c r="HJ49" t="e">
        <f>AND(#REF!,"AAAAADX//9k=")</f>
        <v>#REF!</v>
      </c>
      <c r="HK49" t="e">
        <f>AND(#REF!,"AAAAADX//9o=")</f>
        <v>#REF!</v>
      </c>
      <c r="HL49" t="e">
        <f>AND(#REF!,"AAAAADX//9s=")</f>
        <v>#REF!</v>
      </c>
      <c r="HM49" t="e">
        <f>AND(#REF!,"AAAAADX//9w=")</f>
        <v>#REF!</v>
      </c>
      <c r="HN49" t="e">
        <f>AND(#REF!,"AAAAADX//90=")</f>
        <v>#REF!</v>
      </c>
      <c r="HO49" t="e">
        <f>AND(#REF!,"AAAAADX//94=")</f>
        <v>#REF!</v>
      </c>
      <c r="HP49" t="e">
        <f>AND(#REF!,"AAAAADX//98=")</f>
        <v>#REF!</v>
      </c>
      <c r="HQ49" t="e">
        <f>AND(#REF!,"AAAAADX//+A=")</f>
        <v>#REF!</v>
      </c>
      <c r="HR49" t="e">
        <f>AND(#REF!,"AAAAADX//+E=")</f>
        <v>#REF!</v>
      </c>
      <c r="HS49" t="e">
        <f>AND(#REF!,"AAAAADX//+I=")</f>
        <v>#REF!</v>
      </c>
      <c r="HT49" t="e">
        <f>AND(#REF!,"AAAAADX//+M=")</f>
        <v>#REF!</v>
      </c>
      <c r="HU49" t="e">
        <f>AND(#REF!,"AAAAADX//+Q=")</f>
        <v>#REF!</v>
      </c>
      <c r="HV49" t="e">
        <f>AND(#REF!,"AAAAADX//+U=")</f>
        <v>#REF!</v>
      </c>
      <c r="HW49" t="e">
        <f>AND(#REF!,"AAAAADX//+Y=")</f>
        <v>#REF!</v>
      </c>
      <c r="HX49" t="e">
        <f>AND(#REF!,"AAAAADX//+c=")</f>
        <v>#REF!</v>
      </c>
      <c r="HY49" t="e">
        <f>AND(#REF!,"AAAAADX//+g=")</f>
        <v>#REF!</v>
      </c>
      <c r="HZ49" t="e">
        <f>AND(#REF!,"AAAAADX//+k=")</f>
        <v>#REF!</v>
      </c>
      <c r="IA49" t="e">
        <f>AND(#REF!,"AAAAADX//+o=")</f>
        <v>#REF!</v>
      </c>
      <c r="IB49" t="e">
        <f>AND(#REF!,"AAAAADX//+s=")</f>
        <v>#REF!</v>
      </c>
      <c r="IC49" t="e">
        <f>AND(#REF!,"AAAAADX//+w=")</f>
        <v>#REF!</v>
      </c>
      <c r="ID49" t="e">
        <f>AND(#REF!,"AAAAADX//+0=")</f>
        <v>#REF!</v>
      </c>
      <c r="IE49" t="e">
        <f>AND(#REF!,"AAAAADX//+4=")</f>
        <v>#REF!</v>
      </c>
      <c r="IF49" t="e">
        <f>AND(#REF!,"AAAAADX//+8=")</f>
        <v>#REF!</v>
      </c>
      <c r="IG49" t="e">
        <f>AND(#REF!,"AAAAADX///A=")</f>
        <v>#REF!</v>
      </c>
      <c r="IH49" t="e">
        <f>AND(#REF!,"AAAAADX///E=")</f>
        <v>#REF!</v>
      </c>
      <c r="II49" t="e">
        <f>AND(#REF!,"AAAAADX///I=")</f>
        <v>#REF!</v>
      </c>
      <c r="IJ49" t="e">
        <f>AND(#REF!,"AAAAADX///M=")</f>
        <v>#REF!</v>
      </c>
      <c r="IK49" t="e">
        <f>AND(#REF!,"AAAAADX///Q=")</f>
        <v>#REF!</v>
      </c>
      <c r="IL49" t="e">
        <f>AND(#REF!,"AAAAADX///U=")</f>
        <v>#REF!</v>
      </c>
      <c r="IM49" t="e">
        <f>AND(#REF!,"AAAAADX///Y=")</f>
        <v>#REF!</v>
      </c>
      <c r="IN49" t="e">
        <f>AND(#REF!,"AAAAADX///c=")</f>
        <v>#REF!</v>
      </c>
      <c r="IO49" t="e">
        <f>AND(#REF!,"AAAAADX///g=")</f>
        <v>#REF!</v>
      </c>
      <c r="IP49" t="e">
        <f>AND(#REF!,"AAAAADX///k=")</f>
        <v>#REF!</v>
      </c>
      <c r="IQ49" t="e">
        <f>AND(#REF!,"AAAAADX///o=")</f>
        <v>#REF!</v>
      </c>
      <c r="IR49" t="e">
        <f>AND(#REF!,"AAAAADX///s=")</f>
        <v>#REF!</v>
      </c>
      <c r="IS49" t="e">
        <f>IF(#REF!,"AAAAADX///w=",0)</f>
        <v>#REF!</v>
      </c>
      <c r="IT49" t="e">
        <f>AND(#REF!,"AAAAADX///0=")</f>
        <v>#REF!</v>
      </c>
      <c r="IU49" t="e">
        <f>AND(#REF!,"AAAAADX///4=")</f>
        <v>#REF!</v>
      </c>
      <c r="IV49" t="e">
        <f>AND(#REF!,"AAAAADX///8=")</f>
        <v>#REF!</v>
      </c>
    </row>
    <row r="50" spans="1:256" x14ac:dyDescent="0.25">
      <c r="A50" t="e">
        <f>AND(#REF!,"AAAAAD7zvQA=")</f>
        <v>#REF!</v>
      </c>
      <c r="B50" t="e">
        <f>AND(#REF!,"AAAAAD7zvQE=")</f>
        <v>#REF!</v>
      </c>
      <c r="C50" t="e">
        <f>AND(#REF!,"AAAAAD7zvQI=")</f>
        <v>#REF!</v>
      </c>
      <c r="D50" t="e">
        <f>AND(#REF!,"AAAAAD7zvQM=")</f>
        <v>#REF!</v>
      </c>
      <c r="E50" t="e">
        <f>AND(#REF!,"AAAAAD7zvQQ=")</f>
        <v>#REF!</v>
      </c>
      <c r="F50" t="e">
        <f>AND(#REF!,"AAAAAD7zvQU=")</f>
        <v>#REF!</v>
      </c>
      <c r="G50" t="e">
        <f>AND(#REF!,"AAAAAD7zvQY=")</f>
        <v>#REF!</v>
      </c>
      <c r="H50" t="e">
        <f>AND(#REF!,"AAAAAD7zvQc=")</f>
        <v>#REF!</v>
      </c>
      <c r="I50" t="e">
        <f>AND(#REF!,"AAAAAD7zvQg=")</f>
        <v>#REF!</v>
      </c>
      <c r="J50" t="e">
        <f>AND(#REF!,"AAAAAD7zvQk=")</f>
        <v>#REF!</v>
      </c>
      <c r="K50" t="e">
        <f>AND(#REF!,"AAAAAD7zvQo=")</f>
        <v>#REF!</v>
      </c>
      <c r="L50" t="e">
        <f>AND(#REF!,"AAAAAD7zvQs=")</f>
        <v>#REF!</v>
      </c>
      <c r="M50" t="e">
        <f>AND(#REF!,"AAAAAD7zvQw=")</f>
        <v>#REF!</v>
      </c>
      <c r="N50" t="e">
        <f>AND(#REF!,"AAAAAD7zvQ0=")</f>
        <v>#REF!</v>
      </c>
      <c r="O50" t="e">
        <f>AND(#REF!,"AAAAAD7zvQ4=")</f>
        <v>#REF!</v>
      </c>
      <c r="P50" t="e">
        <f>AND(#REF!,"AAAAAD7zvQ8=")</f>
        <v>#REF!</v>
      </c>
      <c r="Q50" t="e">
        <f>AND(#REF!,"AAAAAD7zvRA=")</f>
        <v>#REF!</v>
      </c>
      <c r="R50" t="e">
        <f>AND(#REF!,"AAAAAD7zvRE=")</f>
        <v>#REF!</v>
      </c>
      <c r="S50" t="e">
        <f>AND(#REF!,"AAAAAD7zvRI=")</f>
        <v>#REF!</v>
      </c>
      <c r="T50" t="e">
        <f>AND(#REF!,"AAAAAD7zvRM=")</f>
        <v>#REF!</v>
      </c>
      <c r="U50" t="e">
        <f>AND(#REF!,"AAAAAD7zvRQ=")</f>
        <v>#REF!</v>
      </c>
      <c r="V50" t="e">
        <f>AND(#REF!,"AAAAAD7zvRU=")</f>
        <v>#REF!</v>
      </c>
      <c r="W50" t="e">
        <f>AND(#REF!,"AAAAAD7zvRY=")</f>
        <v>#REF!</v>
      </c>
      <c r="X50" t="e">
        <f>AND(#REF!,"AAAAAD7zvRc=")</f>
        <v>#REF!</v>
      </c>
      <c r="Y50" t="e">
        <f>AND(#REF!,"AAAAAD7zvRg=")</f>
        <v>#REF!</v>
      </c>
      <c r="Z50" t="e">
        <f>AND(#REF!,"AAAAAD7zvRk=")</f>
        <v>#REF!</v>
      </c>
      <c r="AA50" t="e">
        <f>AND(#REF!,"AAAAAD7zvRo=")</f>
        <v>#REF!</v>
      </c>
      <c r="AB50" t="e">
        <f>AND(#REF!,"AAAAAD7zvRs=")</f>
        <v>#REF!</v>
      </c>
      <c r="AC50" t="e">
        <f>AND(#REF!,"AAAAAD7zvRw=")</f>
        <v>#REF!</v>
      </c>
      <c r="AD50" t="e">
        <f>AND(#REF!,"AAAAAD7zvR0=")</f>
        <v>#REF!</v>
      </c>
      <c r="AE50" t="e">
        <f>AND(#REF!,"AAAAAD7zvR4=")</f>
        <v>#REF!</v>
      </c>
      <c r="AF50" t="e">
        <f>AND(#REF!,"AAAAAD7zvR8=")</f>
        <v>#REF!</v>
      </c>
      <c r="AG50" t="e">
        <f>AND(#REF!,"AAAAAD7zvSA=")</f>
        <v>#REF!</v>
      </c>
      <c r="AH50" t="e">
        <f>AND(#REF!,"AAAAAD7zvSE=")</f>
        <v>#REF!</v>
      </c>
      <c r="AI50" t="e">
        <f>AND(#REF!,"AAAAAD7zvSI=")</f>
        <v>#REF!</v>
      </c>
      <c r="AJ50" t="e">
        <f>AND(#REF!,"AAAAAD7zvSM=")</f>
        <v>#REF!</v>
      </c>
      <c r="AK50" t="e">
        <f>AND(#REF!,"AAAAAD7zvSQ=")</f>
        <v>#REF!</v>
      </c>
      <c r="AL50" t="e">
        <f>AND(#REF!,"AAAAAD7zvSU=")</f>
        <v>#REF!</v>
      </c>
      <c r="AM50" t="e">
        <f>AND(#REF!,"AAAAAD7zvSY=")</f>
        <v>#REF!</v>
      </c>
      <c r="AN50" t="e">
        <f>AND(#REF!,"AAAAAD7zvSc=")</f>
        <v>#REF!</v>
      </c>
      <c r="AO50" t="e">
        <f>IF(#REF!,"AAAAAD7zvSg=",0)</f>
        <v>#REF!</v>
      </c>
      <c r="AP50" t="e">
        <f>AND(#REF!,"AAAAAD7zvSk=")</f>
        <v>#REF!</v>
      </c>
      <c r="AQ50" t="e">
        <f>AND(#REF!,"AAAAAD7zvSo=")</f>
        <v>#REF!</v>
      </c>
      <c r="AR50" t="e">
        <f>AND(#REF!,"AAAAAD7zvSs=")</f>
        <v>#REF!</v>
      </c>
      <c r="AS50" t="e">
        <f>AND(#REF!,"AAAAAD7zvSw=")</f>
        <v>#REF!</v>
      </c>
      <c r="AT50" t="e">
        <f>AND(#REF!,"AAAAAD7zvS0=")</f>
        <v>#REF!</v>
      </c>
      <c r="AU50" t="e">
        <f>AND(#REF!,"AAAAAD7zvS4=")</f>
        <v>#REF!</v>
      </c>
      <c r="AV50" t="e">
        <f>AND(#REF!,"AAAAAD7zvS8=")</f>
        <v>#REF!</v>
      </c>
      <c r="AW50" t="e">
        <f>AND(#REF!,"AAAAAD7zvTA=")</f>
        <v>#REF!</v>
      </c>
      <c r="AX50" t="e">
        <f>AND(#REF!,"AAAAAD7zvTE=")</f>
        <v>#REF!</v>
      </c>
      <c r="AY50" t="e">
        <f>AND(#REF!,"AAAAAD7zvTI=")</f>
        <v>#REF!</v>
      </c>
      <c r="AZ50" t="e">
        <f>AND(#REF!,"AAAAAD7zvTM=")</f>
        <v>#REF!</v>
      </c>
      <c r="BA50" t="e">
        <f>AND(#REF!,"AAAAAD7zvTQ=")</f>
        <v>#REF!</v>
      </c>
      <c r="BB50" t="e">
        <f>AND(#REF!,"AAAAAD7zvTU=")</f>
        <v>#REF!</v>
      </c>
      <c r="BC50" t="e">
        <f>AND(#REF!,"AAAAAD7zvTY=")</f>
        <v>#REF!</v>
      </c>
      <c r="BD50" t="e">
        <f>AND(#REF!,"AAAAAD7zvTc=")</f>
        <v>#REF!</v>
      </c>
      <c r="BE50" t="e">
        <f>AND(#REF!,"AAAAAD7zvTg=")</f>
        <v>#REF!</v>
      </c>
      <c r="BF50" t="e">
        <f>AND(#REF!,"AAAAAD7zvTk=")</f>
        <v>#REF!</v>
      </c>
      <c r="BG50" t="e">
        <f>AND(#REF!,"AAAAAD7zvTo=")</f>
        <v>#REF!</v>
      </c>
      <c r="BH50" t="e">
        <f>AND(#REF!,"AAAAAD7zvTs=")</f>
        <v>#REF!</v>
      </c>
      <c r="BI50" t="e">
        <f>AND(#REF!,"AAAAAD7zvTw=")</f>
        <v>#REF!</v>
      </c>
      <c r="BJ50" t="e">
        <f>AND(#REF!,"AAAAAD7zvT0=")</f>
        <v>#REF!</v>
      </c>
      <c r="BK50" t="e">
        <f>AND(#REF!,"AAAAAD7zvT4=")</f>
        <v>#REF!</v>
      </c>
      <c r="BL50" t="e">
        <f>AND(#REF!,"AAAAAD7zvT8=")</f>
        <v>#REF!</v>
      </c>
      <c r="BM50" t="e">
        <f>AND(#REF!,"AAAAAD7zvUA=")</f>
        <v>#REF!</v>
      </c>
      <c r="BN50" t="e">
        <f>AND(#REF!,"AAAAAD7zvUE=")</f>
        <v>#REF!</v>
      </c>
      <c r="BO50" t="e">
        <f>AND(#REF!,"AAAAAD7zvUI=")</f>
        <v>#REF!</v>
      </c>
      <c r="BP50" t="e">
        <f>AND(#REF!,"AAAAAD7zvUM=")</f>
        <v>#REF!</v>
      </c>
      <c r="BQ50" t="e">
        <f>AND(#REF!,"AAAAAD7zvUQ=")</f>
        <v>#REF!</v>
      </c>
      <c r="BR50" t="e">
        <f>AND(#REF!,"AAAAAD7zvUU=")</f>
        <v>#REF!</v>
      </c>
      <c r="BS50" t="e">
        <f>AND(#REF!,"AAAAAD7zvUY=")</f>
        <v>#REF!</v>
      </c>
      <c r="BT50" t="e">
        <f>AND(#REF!,"AAAAAD7zvUc=")</f>
        <v>#REF!</v>
      </c>
      <c r="BU50" t="e">
        <f>AND(#REF!,"AAAAAD7zvUg=")</f>
        <v>#REF!</v>
      </c>
      <c r="BV50" t="e">
        <f>AND(#REF!,"AAAAAD7zvUk=")</f>
        <v>#REF!</v>
      </c>
      <c r="BW50" t="e">
        <f>AND(#REF!,"AAAAAD7zvUo=")</f>
        <v>#REF!</v>
      </c>
      <c r="BX50" t="e">
        <f>AND(#REF!,"AAAAAD7zvUs=")</f>
        <v>#REF!</v>
      </c>
      <c r="BY50" t="e">
        <f>AND(#REF!,"AAAAAD7zvUw=")</f>
        <v>#REF!</v>
      </c>
      <c r="BZ50" t="e">
        <f>AND(#REF!,"AAAAAD7zvU0=")</f>
        <v>#REF!</v>
      </c>
      <c r="CA50" t="e">
        <f>AND(#REF!,"AAAAAD7zvU4=")</f>
        <v>#REF!</v>
      </c>
      <c r="CB50" t="e">
        <f>AND(#REF!,"AAAAAD7zvU8=")</f>
        <v>#REF!</v>
      </c>
      <c r="CC50" t="e">
        <f>AND(#REF!,"AAAAAD7zvVA=")</f>
        <v>#REF!</v>
      </c>
      <c r="CD50" t="e">
        <f>AND(#REF!,"AAAAAD7zvVE=")</f>
        <v>#REF!</v>
      </c>
      <c r="CE50" t="e">
        <f>AND(#REF!,"AAAAAD7zvVI=")</f>
        <v>#REF!</v>
      </c>
      <c r="CF50" t="e">
        <f>AND(#REF!,"AAAAAD7zvVM=")</f>
        <v>#REF!</v>
      </c>
      <c r="CG50" t="e">
        <f>IF(#REF!,"AAAAAD7zvVQ=",0)</f>
        <v>#REF!</v>
      </c>
      <c r="CH50" t="e">
        <f>AND(#REF!,"AAAAAD7zvVU=")</f>
        <v>#REF!</v>
      </c>
      <c r="CI50" t="e">
        <f>AND(#REF!,"AAAAAD7zvVY=")</f>
        <v>#REF!</v>
      </c>
      <c r="CJ50" t="e">
        <f>AND(#REF!,"AAAAAD7zvVc=")</f>
        <v>#REF!</v>
      </c>
      <c r="CK50" t="e">
        <f>AND(#REF!,"AAAAAD7zvVg=")</f>
        <v>#REF!</v>
      </c>
      <c r="CL50" t="e">
        <f>AND(#REF!,"AAAAAD7zvVk=")</f>
        <v>#REF!</v>
      </c>
      <c r="CM50" t="e">
        <f>AND(#REF!,"AAAAAD7zvVo=")</f>
        <v>#REF!</v>
      </c>
      <c r="CN50" t="e">
        <f>AND(#REF!,"AAAAAD7zvVs=")</f>
        <v>#REF!</v>
      </c>
      <c r="CO50" t="e">
        <f>AND(#REF!,"AAAAAD7zvVw=")</f>
        <v>#REF!</v>
      </c>
      <c r="CP50" t="e">
        <f>AND(#REF!,"AAAAAD7zvV0=")</f>
        <v>#REF!</v>
      </c>
      <c r="CQ50" t="e">
        <f>AND(#REF!,"AAAAAD7zvV4=")</f>
        <v>#REF!</v>
      </c>
      <c r="CR50" t="e">
        <f>AND(#REF!,"AAAAAD7zvV8=")</f>
        <v>#REF!</v>
      </c>
      <c r="CS50" t="e">
        <f>AND(#REF!,"AAAAAD7zvWA=")</f>
        <v>#REF!</v>
      </c>
      <c r="CT50" t="e">
        <f>AND(#REF!,"AAAAAD7zvWE=")</f>
        <v>#REF!</v>
      </c>
      <c r="CU50" t="e">
        <f>AND(#REF!,"AAAAAD7zvWI=")</f>
        <v>#REF!</v>
      </c>
      <c r="CV50" t="e">
        <f>AND(#REF!,"AAAAAD7zvWM=")</f>
        <v>#REF!</v>
      </c>
      <c r="CW50" t="e">
        <f>AND(#REF!,"AAAAAD7zvWQ=")</f>
        <v>#REF!</v>
      </c>
      <c r="CX50" t="e">
        <f>AND(#REF!,"AAAAAD7zvWU=")</f>
        <v>#REF!</v>
      </c>
      <c r="CY50" t="e">
        <f>AND(#REF!,"AAAAAD7zvWY=")</f>
        <v>#REF!</v>
      </c>
      <c r="CZ50" t="e">
        <f>AND(#REF!,"AAAAAD7zvWc=")</f>
        <v>#REF!</v>
      </c>
      <c r="DA50" t="e">
        <f>AND(#REF!,"AAAAAD7zvWg=")</f>
        <v>#REF!</v>
      </c>
      <c r="DB50" t="e">
        <f>AND(#REF!,"AAAAAD7zvWk=")</f>
        <v>#REF!</v>
      </c>
      <c r="DC50" t="e">
        <f>AND(#REF!,"AAAAAD7zvWo=")</f>
        <v>#REF!</v>
      </c>
      <c r="DD50" t="e">
        <f>AND(#REF!,"AAAAAD7zvWs=")</f>
        <v>#REF!</v>
      </c>
      <c r="DE50" t="e">
        <f>AND(#REF!,"AAAAAD7zvWw=")</f>
        <v>#REF!</v>
      </c>
      <c r="DF50" t="e">
        <f>AND(#REF!,"AAAAAD7zvW0=")</f>
        <v>#REF!</v>
      </c>
      <c r="DG50" t="e">
        <f>AND(#REF!,"AAAAAD7zvW4=")</f>
        <v>#REF!</v>
      </c>
      <c r="DH50" t="e">
        <f>AND(#REF!,"AAAAAD7zvW8=")</f>
        <v>#REF!</v>
      </c>
      <c r="DI50" t="e">
        <f>AND(#REF!,"AAAAAD7zvXA=")</f>
        <v>#REF!</v>
      </c>
      <c r="DJ50" t="e">
        <f>AND(#REF!,"AAAAAD7zvXE=")</f>
        <v>#REF!</v>
      </c>
      <c r="DK50" t="e">
        <f>AND(#REF!,"AAAAAD7zvXI=")</f>
        <v>#REF!</v>
      </c>
      <c r="DL50" t="e">
        <f>AND(#REF!,"AAAAAD7zvXM=")</f>
        <v>#REF!</v>
      </c>
      <c r="DM50" t="e">
        <f>AND(#REF!,"AAAAAD7zvXQ=")</f>
        <v>#REF!</v>
      </c>
      <c r="DN50" t="e">
        <f>AND(#REF!,"AAAAAD7zvXU=")</f>
        <v>#REF!</v>
      </c>
      <c r="DO50" t="e">
        <f>AND(#REF!,"AAAAAD7zvXY=")</f>
        <v>#REF!</v>
      </c>
      <c r="DP50" t="e">
        <f>AND(#REF!,"AAAAAD7zvXc=")</f>
        <v>#REF!</v>
      </c>
      <c r="DQ50" t="e">
        <f>AND(#REF!,"AAAAAD7zvXg=")</f>
        <v>#REF!</v>
      </c>
      <c r="DR50" t="e">
        <f>AND(#REF!,"AAAAAD7zvXk=")</f>
        <v>#REF!</v>
      </c>
      <c r="DS50" t="e">
        <f>AND(#REF!,"AAAAAD7zvXo=")</f>
        <v>#REF!</v>
      </c>
      <c r="DT50" t="e">
        <f>AND(#REF!,"AAAAAD7zvXs=")</f>
        <v>#REF!</v>
      </c>
      <c r="DU50" t="e">
        <f>AND(#REF!,"AAAAAD7zvXw=")</f>
        <v>#REF!</v>
      </c>
      <c r="DV50" t="e">
        <f>AND(#REF!,"AAAAAD7zvX0=")</f>
        <v>#REF!</v>
      </c>
      <c r="DW50" t="e">
        <f>AND(#REF!,"AAAAAD7zvX4=")</f>
        <v>#REF!</v>
      </c>
      <c r="DX50" t="e">
        <f>AND(#REF!,"AAAAAD7zvX8=")</f>
        <v>#REF!</v>
      </c>
      <c r="DY50" t="e">
        <f>IF(#REF!,"AAAAAD7zvYA=",0)</f>
        <v>#REF!</v>
      </c>
      <c r="DZ50" t="e">
        <f>AND(#REF!,"AAAAAD7zvYE=")</f>
        <v>#REF!</v>
      </c>
      <c r="EA50" t="e">
        <f>AND(#REF!,"AAAAAD7zvYI=")</f>
        <v>#REF!</v>
      </c>
      <c r="EB50" t="e">
        <f>AND(#REF!,"AAAAAD7zvYM=")</f>
        <v>#REF!</v>
      </c>
      <c r="EC50" t="e">
        <f>AND(#REF!,"AAAAAD7zvYQ=")</f>
        <v>#REF!</v>
      </c>
      <c r="ED50" t="e">
        <f>AND(#REF!,"AAAAAD7zvYU=")</f>
        <v>#REF!</v>
      </c>
      <c r="EE50" t="e">
        <f>AND(#REF!,"AAAAAD7zvYY=")</f>
        <v>#REF!</v>
      </c>
      <c r="EF50" t="e">
        <f>AND(#REF!,"AAAAAD7zvYc=")</f>
        <v>#REF!</v>
      </c>
      <c r="EG50" t="e">
        <f>AND(#REF!,"AAAAAD7zvYg=")</f>
        <v>#REF!</v>
      </c>
      <c r="EH50" t="e">
        <f>AND(#REF!,"AAAAAD7zvYk=")</f>
        <v>#REF!</v>
      </c>
      <c r="EI50" t="e">
        <f>AND(#REF!,"AAAAAD7zvYo=")</f>
        <v>#REF!</v>
      </c>
      <c r="EJ50" t="e">
        <f>AND(#REF!,"AAAAAD7zvYs=")</f>
        <v>#REF!</v>
      </c>
      <c r="EK50" t="e">
        <f>AND(#REF!,"AAAAAD7zvYw=")</f>
        <v>#REF!</v>
      </c>
      <c r="EL50" t="e">
        <f>AND(#REF!,"AAAAAD7zvY0=")</f>
        <v>#REF!</v>
      </c>
      <c r="EM50" t="e">
        <f>AND(#REF!,"AAAAAD7zvY4=")</f>
        <v>#REF!</v>
      </c>
      <c r="EN50" t="e">
        <f>AND(#REF!,"AAAAAD7zvY8=")</f>
        <v>#REF!</v>
      </c>
      <c r="EO50" t="e">
        <f>AND(#REF!,"AAAAAD7zvZA=")</f>
        <v>#REF!</v>
      </c>
      <c r="EP50" t="e">
        <f>AND(#REF!,"AAAAAD7zvZE=")</f>
        <v>#REF!</v>
      </c>
      <c r="EQ50" t="e">
        <f>AND(#REF!,"AAAAAD7zvZI=")</f>
        <v>#REF!</v>
      </c>
      <c r="ER50" t="e">
        <f>AND(#REF!,"AAAAAD7zvZM=")</f>
        <v>#REF!</v>
      </c>
      <c r="ES50" t="e">
        <f>AND(#REF!,"AAAAAD7zvZQ=")</f>
        <v>#REF!</v>
      </c>
      <c r="ET50" t="e">
        <f>AND(#REF!,"AAAAAD7zvZU=")</f>
        <v>#REF!</v>
      </c>
      <c r="EU50" t="e">
        <f>AND(#REF!,"AAAAAD7zvZY=")</f>
        <v>#REF!</v>
      </c>
      <c r="EV50" t="e">
        <f>AND(#REF!,"AAAAAD7zvZc=")</f>
        <v>#REF!</v>
      </c>
      <c r="EW50" t="e">
        <f>AND(#REF!,"AAAAAD7zvZg=")</f>
        <v>#REF!</v>
      </c>
      <c r="EX50" t="e">
        <f>AND(#REF!,"AAAAAD7zvZk=")</f>
        <v>#REF!</v>
      </c>
      <c r="EY50" t="e">
        <f>AND(#REF!,"AAAAAD7zvZo=")</f>
        <v>#REF!</v>
      </c>
      <c r="EZ50" t="e">
        <f>AND(#REF!,"AAAAAD7zvZs=")</f>
        <v>#REF!</v>
      </c>
      <c r="FA50" t="e">
        <f>AND(#REF!,"AAAAAD7zvZw=")</f>
        <v>#REF!</v>
      </c>
      <c r="FB50" t="e">
        <f>AND(#REF!,"AAAAAD7zvZ0=")</f>
        <v>#REF!</v>
      </c>
      <c r="FC50" t="e">
        <f>AND(#REF!,"AAAAAD7zvZ4=")</f>
        <v>#REF!</v>
      </c>
      <c r="FD50" t="e">
        <f>AND(#REF!,"AAAAAD7zvZ8=")</f>
        <v>#REF!</v>
      </c>
      <c r="FE50" t="e">
        <f>AND(#REF!,"AAAAAD7zvaA=")</f>
        <v>#REF!</v>
      </c>
      <c r="FF50" t="e">
        <f>AND(#REF!,"AAAAAD7zvaE=")</f>
        <v>#REF!</v>
      </c>
      <c r="FG50" t="e">
        <f>AND(#REF!,"AAAAAD7zvaI=")</f>
        <v>#REF!</v>
      </c>
      <c r="FH50" t="e">
        <f>AND(#REF!,"AAAAAD7zvaM=")</f>
        <v>#REF!</v>
      </c>
      <c r="FI50" t="e">
        <f>AND(#REF!,"AAAAAD7zvaQ=")</f>
        <v>#REF!</v>
      </c>
      <c r="FJ50" t="e">
        <f>AND(#REF!,"AAAAAD7zvaU=")</f>
        <v>#REF!</v>
      </c>
      <c r="FK50" t="e">
        <f>AND(#REF!,"AAAAAD7zvaY=")</f>
        <v>#REF!</v>
      </c>
      <c r="FL50" t="e">
        <f>AND(#REF!,"AAAAAD7zvac=")</f>
        <v>#REF!</v>
      </c>
      <c r="FM50" t="e">
        <f>AND(#REF!,"AAAAAD7zvag=")</f>
        <v>#REF!</v>
      </c>
      <c r="FN50" t="e">
        <f>AND(#REF!,"AAAAAD7zvak=")</f>
        <v>#REF!</v>
      </c>
      <c r="FO50" t="e">
        <f>AND(#REF!,"AAAAAD7zvao=")</f>
        <v>#REF!</v>
      </c>
      <c r="FP50" t="e">
        <f>AND(#REF!,"AAAAAD7zvas=")</f>
        <v>#REF!</v>
      </c>
      <c r="FQ50" t="e">
        <f>IF(#REF!,"AAAAAD7zvaw=",0)</f>
        <v>#REF!</v>
      </c>
      <c r="FR50" t="e">
        <f>AND(#REF!,"AAAAAD7zva0=")</f>
        <v>#REF!</v>
      </c>
      <c r="FS50" t="e">
        <f>AND(#REF!,"AAAAAD7zva4=")</f>
        <v>#REF!</v>
      </c>
      <c r="FT50" t="e">
        <f>AND(#REF!,"AAAAAD7zva8=")</f>
        <v>#REF!</v>
      </c>
      <c r="FU50" t="e">
        <f>AND(#REF!,"AAAAAD7zvbA=")</f>
        <v>#REF!</v>
      </c>
      <c r="FV50" t="e">
        <f>AND(#REF!,"AAAAAD7zvbE=")</f>
        <v>#REF!</v>
      </c>
      <c r="FW50" t="e">
        <f>AND(#REF!,"AAAAAD7zvbI=")</f>
        <v>#REF!</v>
      </c>
      <c r="FX50" t="e">
        <f>AND(#REF!,"AAAAAD7zvbM=")</f>
        <v>#REF!</v>
      </c>
      <c r="FY50" t="e">
        <f>AND(#REF!,"AAAAAD7zvbQ=")</f>
        <v>#REF!</v>
      </c>
      <c r="FZ50" t="e">
        <f>AND(#REF!,"AAAAAD7zvbU=")</f>
        <v>#REF!</v>
      </c>
      <c r="GA50" t="e">
        <f>AND(#REF!,"AAAAAD7zvbY=")</f>
        <v>#REF!</v>
      </c>
      <c r="GB50" t="e">
        <f>AND(#REF!,"AAAAAD7zvbc=")</f>
        <v>#REF!</v>
      </c>
      <c r="GC50" t="e">
        <f>AND(#REF!,"AAAAAD7zvbg=")</f>
        <v>#REF!</v>
      </c>
      <c r="GD50" t="e">
        <f>AND(#REF!,"AAAAAD7zvbk=")</f>
        <v>#REF!</v>
      </c>
      <c r="GE50" t="e">
        <f>AND(#REF!,"AAAAAD7zvbo=")</f>
        <v>#REF!</v>
      </c>
      <c r="GF50" t="e">
        <f>AND(#REF!,"AAAAAD7zvbs=")</f>
        <v>#REF!</v>
      </c>
      <c r="GG50" t="e">
        <f>AND(#REF!,"AAAAAD7zvbw=")</f>
        <v>#REF!</v>
      </c>
      <c r="GH50" t="e">
        <f>AND(#REF!,"AAAAAD7zvb0=")</f>
        <v>#REF!</v>
      </c>
      <c r="GI50" t="e">
        <f>AND(#REF!,"AAAAAD7zvb4=")</f>
        <v>#REF!</v>
      </c>
      <c r="GJ50" t="e">
        <f>AND(#REF!,"AAAAAD7zvb8=")</f>
        <v>#REF!</v>
      </c>
      <c r="GK50" t="e">
        <f>AND(#REF!,"AAAAAD7zvcA=")</f>
        <v>#REF!</v>
      </c>
      <c r="GL50" t="e">
        <f>AND(#REF!,"AAAAAD7zvcE=")</f>
        <v>#REF!</v>
      </c>
      <c r="GM50" t="e">
        <f>AND(#REF!,"AAAAAD7zvcI=")</f>
        <v>#REF!</v>
      </c>
      <c r="GN50" t="e">
        <f>AND(#REF!,"AAAAAD7zvcM=")</f>
        <v>#REF!</v>
      </c>
      <c r="GO50" t="e">
        <f>AND(#REF!,"AAAAAD7zvcQ=")</f>
        <v>#REF!</v>
      </c>
      <c r="GP50" t="e">
        <f>AND(#REF!,"AAAAAD7zvcU=")</f>
        <v>#REF!</v>
      </c>
      <c r="GQ50" t="e">
        <f>AND(#REF!,"AAAAAD7zvcY=")</f>
        <v>#REF!</v>
      </c>
      <c r="GR50" t="e">
        <f>AND(#REF!,"AAAAAD7zvcc=")</f>
        <v>#REF!</v>
      </c>
      <c r="GS50" t="e">
        <f>AND(#REF!,"AAAAAD7zvcg=")</f>
        <v>#REF!</v>
      </c>
      <c r="GT50" t="e">
        <f>AND(#REF!,"AAAAAD7zvck=")</f>
        <v>#REF!</v>
      </c>
      <c r="GU50" t="e">
        <f>AND(#REF!,"AAAAAD7zvco=")</f>
        <v>#REF!</v>
      </c>
      <c r="GV50" t="e">
        <f>AND(#REF!,"AAAAAD7zvcs=")</f>
        <v>#REF!</v>
      </c>
      <c r="GW50" t="e">
        <f>AND(#REF!,"AAAAAD7zvcw=")</f>
        <v>#REF!</v>
      </c>
      <c r="GX50" t="e">
        <f>AND(#REF!,"AAAAAD7zvc0=")</f>
        <v>#REF!</v>
      </c>
      <c r="GY50" t="e">
        <f>AND(#REF!,"AAAAAD7zvc4=")</f>
        <v>#REF!</v>
      </c>
      <c r="GZ50" t="e">
        <f>AND(#REF!,"AAAAAD7zvc8=")</f>
        <v>#REF!</v>
      </c>
      <c r="HA50" t="e">
        <f>AND(#REF!,"AAAAAD7zvdA=")</f>
        <v>#REF!</v>
      </c>
      <c r="HB50" t="e">
        <f>AND(#REF!,"AAAAAD7zvdE=")</f>
        <v>#REF!</v>
      </c>
      <c r="HC50" t="e">
        <f>AND(#REF!,"AAAAAD7zvdI=")</f>
        <v>#REF!</v>
      </c>
      <c r="HD50" t="e">
        <f>AND(#REF!,"AAAAAD7zvdM=")</f>
        <v>#REF!</v>
      </c>
      <c r="HE50" t="e">
        <f>AND(#REF!,"AAAAAD7zvdQ=")</f>
        <v>#REF!</v>
      </c>
      <c r="HF50" t="e">
        <f>AND(#REF!,"AAAAAD7zvdU=")</f>
        <v>#REF!</v>
      </c>
      <c r="HG50" t="e">
        <f>AND(#REF!,"AAAAAD7zvdY=")</f>
        <v>#REF!</v>
      </c>
      <c r="HH50" t="e">
        <f>AND(#REF!,"AAAAAD7zvdc=")</f>
        <v>#REF!</v>
      </c>
      <c r="HI50" t="e">
        <f>IF(#REF!,"AAAAAD7zvdg=",0)</f>
        <v>#REF!</v>
      </c>
      <c r="HJ50" t="e">
        <f>AND(#REF!,"AAAAAD7zvdk=")</f>
        <v>#REF!</v>
      </c>
      <c r="HK50" t="e">
        <f>AND(#REF!,"AAAAAD7zvdo=")</f>
        <v>#REF!</v>
      </c>
      <c r="HL50" t="e">
        <f>AND(#REF!,"AAAAAD7zvds=")</f>
        <v>#REF!</v>
      </c>
      <c r="HM50" t="e">
        <f>AND(#REF!,"AAAAAD7zvdw=")</f>
        <v>#REF!</v>
      </c>
      <c r="HN50" t="e">
        <f>AND(#REF!,"AAAAAD7zvd0=")</f>
        <v>#REF!</v>
      </c>
      <c r="HO50" t="e">
        <f>AND(#REF!,"AAAAAD7zvd4=")</f>
        <v>#REF!</v>
      </c>
      <c r="HP50" t="e">
        <f>AND(#REF!,"AAAAAD7zvd8=")</f>
        <v>#REF!</v>
      </c>
      <c r="HQ50" t="e">
        <f>AND(#REF!,"AAAAAD7zveA=")</f>
        <v>#REF!</v>
      </c>
      <c r="HR50" t="e">
        <f>AND(#REF!,"AAAAAD7zveE=")</f>
        <v>#REF!</v>
      </c>
      <c r="HS50" t="e">
        <f>AND(#REF!,"AAAAAD7zveI=")</f>
        <v>#REF!</v>
      </c>
      <c r="HT50" t="e">
        <f>AND(#REF!,"AAAAAD7zveM=")</f>
        <v>#REF!</v>
      </c>
      <c r="HU50" t="e">
        <f>AND(#REF!,"AAAAAD7zveQ=")</f>
        <v>#REF!</v>
      </c>
      <c r="HV50" t="e">
        <f>AND(#REF!,"AAAAAD7zveU=")</f>
        <v>#REF!</v>
      </c>
      <c r="HW50" t="e">
        <f>AND(#REF!,"AAAAAD7zveY=")</f>
        <v>#REF!</v>
      </c>
      <c r="HX50" t="e">
        <f>AND(#REF!,"AAAAAD7zvec=")</f>
        <v>#REF!</v>
      </c>
      <c r="HY50" t="e">
        <f>AND(#REF!,"AAAAAD7zveg=")</f>
        <v>#REF!</v>
      </c>
      <c r="HZ50" t="e">
        <f>AND(#REF!,"AAAAAD7zvek=")</f>
        <v>#REF!</v>
      </c>
      <c r="IA50" t="e">
        <f>AND(#REF!,"AAAAAD7zveo=")</f>
        <v>#REF!</v>
      </c>
      <c r="IB50" t="e">
        <f>AND(#REF!,"AAAAAD7zves=")</f>
        <v>#REF!</v>
      </c>
      <c r="IC50" t="e">
        <f>AND(#REF!,"AAAAAD7zvew=")</f>
        <v>#REF!</v>
      </c>
      <c r="ID50" t="e">
        <f>AND(#REF!,"AAAAAD7zve0=")</f>
        <v>#REF!</v>
      </c>
      <c r="IE50" t="e">
        <f>AND(#REF!,"AAAAAD7zve4=")</f>
        <v>#REF!</v>
      </c>
      <c r="IF50" t="e">
        <f>AND(#REF!,"AAAAAD7zve8=")</f>
        <v>#REF!</v>
      </c>
      <c r="IG50" t="e">
        <f>AND(#REF!,"AAAAAD7zvfA=")</f>
        <v>#REF!</v>
      </c>
      <c r="IH50" t="e">
        <f>AND(#REF!,"AAAAAD7zvfE=")</f>
        <v>#REF!</v>
      </c>
      <c r="II50" t="e">
        <f>AND(#REF!,"AAAAAD7zvfI=")</f>
        <v>#REF!</v>
      </c>
      <c r="IJ50" t="e">
        <f>AND(#REF!,"AAAAAD7zvfM=")</f>
        <v>#REF!</v>
      </c>
      <c r="IK50" t="e">
        <f>AND(#REF!,"AAAAAD7zvfQ=")</f>
        <v>#REF!</v>
      </c>
      <c r="IL50" t="e">
        <f>AND(#REF!,"AAAAAD7zvfU=")</f>
        <v>#REF!</v>
      </c>
      <c r="IM50" t="e">
        <f>AND(#REF!,"AAAAAD7zvfY=")</f>
        <v>#REF!</v>
      </c>
      <c r="IN50" t="e">
        <f>AND(#REF!,"AAAAAD7zvfc=")</f>
        <v>#REF!</v>
      </c>
      <c r="IO50" t="e">
        <f>AND(#REF!,"AAAAAD7zvfg=")</f>
        <v>#REF!</v>
      </c>
      <c r="IP50" t="e">
        <f>AND(#REF!,"AAAAAD7zvfk=")</f>
        <v>#REF!</v>
      </c>
      <c r="IQ50" t="e">
        <f>AND(#REF!,"AAAAAD7zvfo=")</f>
        <v>#REF!</v>
      </c>
      <c r="IR50" t="e">
        <f>AND(#REF!,"AAAAAD7zvfs=")</f>
        <v>#REF!</v>
      </c>
      <c r="IS50" t="e">
        <f>AND(#REF!,"AAAAAD7zvfw=")</f>
        <v>#REF!</v>
      </c>
      <c r="IT50" t="e">
        <f>AND(#REF!,"AAAAAD7zvf0=")</f>
        <v>#REF!</v>
      </c>
      <c r="IU50" t="e">
        <f>AND(#REF!,"AAAAAD7zvf4=")</f>
        <v>#REF!</v>
      </c>
      <c r="IV50" t="e">
        <f>AND(#REF!,"AAAAAD7zvf8=")</f>
        <v>#REF!</v>
      </c>
    </row>
    <row r="51" spans="1:256" x14ac:dyDescent="0.25">
      <c r="A51" t="e">
        <f>AND(#REF!,"AAAAAGlefwA=")</f>
        <v>#REF!</v>
      </c>
      <c r="B51" t="e">
        <f>AND(#REF!,"AAAAAGlefwE=")</f>
        <v>#REF!</v>
      </c>
      <c r="C51" t="e">
        <f>AND(#REF!,"AAAAAGlefwI=")</f>
        <v>#REF!</v>
      </c>
      <c r="D51" t="e">
        <f>AND(#REF!,"AAAAAGlefwM=")</f>
        <v>#REF!</v>
      </c>
      <c r="E51" t="e">
        <f>IF(#REF!,"AAAAAGlefwQ=",0)</f>
        <v>#REF!</v>
      </c>
      <c r="F51" t="e">
        <f>AND(#REF!,"AAAAAGlefwU=")</f>
        <v>#REF!</v>
      </c>
      <c r="G51" t="e">
        <f>AND(#REF!,"AAAAAGlefwY=")</f>
        <v>#REF!</v>
      </c>
      <c r="H51" t="e">
        <f>AND(#REF!,"AAAAAGlefwc=")</f>
        <v>#REF!</v>
      </c>
      <c r="I51" t="e">
        <f>AND(#REF!,"AAAAAGlefwg=")</f>
        <v>#REF!</v>
      </c>
      <c r="J51" t="e">
        <f>AND(#REF!,"AAAAAGlefwk=")</f>
        <v>#REF!</v>
      </c>
      <c r="K51" t="e">
        <f>AND(#REF!,"AAAAAGlefwo=")</f>
        <v>#REF!</v>
      </c>
      <c r="L51" t="e">
        <f>AND(#REF!,"AAAAAGlefws=")</f>
        <v>#REF!</v>
      </c>
      <c r="M51" t="e">
        <f>AND(#REF!,"AAAAAGlefww=")</f>
        <v>#REF!</v>
      </c>
      <c r="N51" t="e">
        <f>AND(#REF!,"AAAAAGlefw0=")</f>
        <v>#REF!</v>
      </c>
      <c r="O51" t="e">
        <f>AND(#REF!,"AAAAAGlefw4=")</f>
        <v>#REF!</v>
      </c>
      <c r="P51" t="e">
        <f>AND(#REF!,"AAAAAGlefw8=")</f>
        <v>#REF!</v>
      </c>
      <c r="Q51" t="e">
        <f>AND(#REF!,"AAAAAGlefxA=")</f>
        <v>#REF!</v>
      </c>
      <c r="R51" t="e">
        <f>AND(#REF!,"AAAAAGlefxE=")</f>
        <v>#REF!</v>
      </c>
      <c r="S51" t="e">
        <f>AND(#REF!,"AAAAAGlefxI=")</f>
        <v>#REF!</v>
      </c>
      <c r="T51" t="e">
        <f>AND(#REF!,"AAAAAGlefxM=")</f>
        <v>#REF!</v>
      </c>
      <c r="U51" t="e">
        <f>AND(#REF!,"AAAAAGlefxQ=")</f>
        <v>#REF!</v>
      </c>
      <c r="V51" t="e">
        <f>AND(#REF!,"AAAAAGlefxU=")</f>
        <v>#REF!</v>
      </c>
      <c r="W51" t="e">
        <f>AND(#REF!,"AAAAAGlefxY=")</f>
        <v>#REF!</v>
      </c>
      <c r="X51" t="e">
        <f>AND(#REF!,"AAAAAGlefxc=")</f>
        <v>#REF!</v>
      </c>
      <c r="Y51" t="e">
        <f>AND(#REF!,"AAAAAGlefxg=")</f>
        <v>#REF!</v>
      </c>
      <c r="Z51" t="e">
        <f>AND(#REF!,"AAAAAGlefxk=")</f>
        <v>#REF!</v>
      </c>
      <c r="AA51" t="e">
        <f>AND(#REF!,"AAAAAGlefxo=")</f>
        <v>#REF!</v>
      </c>
      <c r="AB51" t="e">
        <f>AND(#REF!,"AAAAAGlefxs=")</f>
        <v>#REF!</v>
      </c>
      <c r="AC51" t="e">
        <f>AND(#REF!,"AAAAAGlefxw=")</f>
        <v>#REF!</v>
      </c>
      <c r="AD51" t="e">
        <f>AND(#REF!,"AAAAAGlefx0=")</f>
        <v>#REF!</v>
      </c>
      <c r="AE51" t="e">
        <f>AND(#REF!,"AAAAAGlefx4=")</f>
        <v>#REF!</v>
      </c>
      <c r="AF51" t="e">
        <f>AND(#REF!,"AAAAAGlefx8=")</f>
        <v>#REF!</v>
      </c>
      <c r="AG51" t="e">
        <f>AND(#REF!,"AAAAAGlefyA=")</f>
        <v>#REF!</v>
      </c>
      <c r="AH51" t="e">
        <f>AND(#REF!,"AAAAAGlefyE=")</f>
        <v>#REF!</v>
      </c>
      <c r="AI51" t="e">
        <f>AND(#REF!,"AAAAAGlefyI=")</f>
        <v>#REF!</v>
      </c>
      <c r="AJ51" t="e">
        <f>AND(#REF!,"AAAAAGlefyM=")</f>
        <v>#REF!</v>
      </c>
      <c r="AK51" t="e">
        <f>AND(#REF!,"AAAAAGlefyQ=")</f>
        <v>#REF!</v>
      </c>
      <c r="AL51" t="e">
        <f>AND(#REF!,"AAAAAGlefyU=")</f>
        <v>#REF!</v>
      </c>
      <c r="AM51" t="e">
        <f>AND(#REF!,"AAAAAGlefyY=")</f>
        <v>#REF!</v>
      </c>
      <c r="AN51" t="e">
        <f>AND(#REF!,"AAAAAGlefyc=")</f>
        <v>#REF!</v>
      </c>
      <c r="AO51" t="e">
        <f>AND(#REF!,"AAAAAGlefyg=")</f>
        <v>#REF!</v>
      </c>
      <c r="AP51" t="e">
        <f>AND(#REF!,"AAAAAGlefyk=")</f>
        <v>#REF!</v>
      </c>
      <c r="AQ51" t="e">
        <f>AND(#REF!,"AAAAAGlefyo=")</f>
        <v>#REF!</v>
      </c>
      <c r="AR51" t="e">
        <f>AND(#REF!,"AAAAAGlefys=")</f>
        <v>#REF!</v>
      </c>
      <c r="AS51" t="e">
        <f>AND(#REF!,"AAAAAGlefyw=")</f>
        <v>#REF!</v>
      </c>
      <c r="AT51" t="e">
        <f>AND(#REF!,"AAAAAGlefy0=")</f>
        <v>#REF!</v>
      </c>
      <c r="AU51" t="e">
        <f>AND(#REF!,"AAAAAGlefy4=")</f>
        <v>#REF!</v>
      </c>
      <c r="AV51" t="e">
        <f>AND(#REF!,"AAAAAGlefy8=")</f>
        <v>#REF!</v>
      </c>
      <c r="AW51" t="e">
        <f>IF(#REF!,"AAAAAGlefzA=",0)</f>
        <v>#REF!</v>
      </c>
      <c r="AX51" t="e">
        <f>AND(#REF!,"AAAAAGlefzE=")</f>
        <v>#REF!</v>
      </c>
      <c r="AY51" t="e">
        <f>AND(#REF!,"AAAAAGlefzI=")</f>
        <v>#REF!</v>
      </c>
      <c r="AZ51" t="e">
        <f>AND(#REF!,"AAAAAGlefzM=")</f>
        <v>#REF!</v>
      </c>
      <c r="BA51" t="e">
        <f>AND(#REF!,"AAAAAGlefzQ=")</f>
        <v>#REF!</v>
      </c>
      <c r="BB51" t="e">
        <f>AND(#REF!,"AAAAAGlefzU=")</f>
        <v>#REF!</v>
      </c>
      <c r="BC51" t="e">
        <f>AND(#REF!,"AAAAAGlefzY=")</f>
        <v>#REF!</v>
      </c>
      <c r="BD51" t="e">
        <f>AND(#REF!,"AAAAAGlefzc=")</f>
        <v>#REF!</v>
      </c>
      <c r="BE51" t="e">
        <f>AND(#REF!,"AAAAAGlefzg=")</f>
        <v>#REF!</v>
      </c>
      <c r="BF51" t="e">
        <f>AND(#REF!,"AAAAAGlefzk=")</f>
        <v>#REF!</v>
      </c>
      <c r="BG51" t="e">
        <f>AND(#REF!,"AAAAAGlefzo=")</f>
        <v>#REF!</v>
      </c>
      <c r="BH51" t="e">
        <f>AND(#REF!,"AAAAAGlefzs=")</f>
        <v>#REF!</v>
      </c>
      <c r="BI51" t="e">
        <f>AND(#REF!,"AAAAAGlefzw=")</f>
        <v>#REF!</v>
      </c>
      <c r="BJ51" t="e">
        <f>AND(#REF!,"AAAAAGlefz0=")</f>
        <v>#REF!</v>
      </c>
      <c r="BK51" t="e">
        <f>AND(#REF!,"AAAAAGlefz4=")</f>
        <v>#REF!</v>
      </c>
      <c r="BL51" t="e">
        <f>AND(#REF!,"AAAAAGlefz8=")</f>
        <v>#REF!</v>
      </c>
      <c r="BM51" t="e">
        <f>AND(#REF!,"AAAAAGlef0A=")</f>
        <v>#REF!</v>
      </c>
      <c r="BN51" t="e">
        <f>AND(#REF!,"AAAAAGlef0E=")</f>
        <v>#REF!</v>
      </c>
      <c r="BO51" t="e">
        <f>AND(#REF!,"AAAAAGlef0I=")</f>
        <v>#REF!</v>
      </c>
      <c r="BP51" t="e">
        <f>AND(#REF!,"AAAAAGlef0M=")</f>
        <v>#REF!</v>
      </c>
      <c r="BQ51" t="e">
        <f>AND(#REF!,"AAAAAGlef0Q=")</f>
        <v>#REF!</v>
      </c>
      <c r="BR51" t="e">
        <f>AND(#REF!,"AAAAAGlef0U=")</f>
        <v>#REF!</v>
      </c>
      <c r="BS51" t="e">
        <f>AND(#REF!,"AAAAAGlef0Y=")</f>
        <v>#REF!</v>
      </c>
      <c r="BT51" t="e">
        <f>AND(#REF!,"AAAAAGlef0c=")</f>
        <v>#REF!</v>
      </c>
      <c r="BU51" t="e">
        <f>AND(#REF!,"AAAAAGlef0g=")</f>
        <v>#REF!</v>
      </c>
      <c r="BV51" t="e">
        <f>AND(#REF!,"AAAAAGlef0k=")</f>
        <v>#REF!</v>
      </c>
      <c r="BW51" t="e">
        <f>AND(#REF!,"AAAAAGlef0o=")</f>
        <v>#REF!</v>
      </c>
      <c r="BX51" t="e">
        <f>AND(#REF!,"AAAAAGlef0s=")</f>
        <v>#REF!</v>
      </c>
      <c r="BY51" t="e">
        <f>AND(#REF!,"AAAAAGlef0w=")</f>
        <v>#REF!</v>
      </c>
      <c r="BZ51" t="e">
        <f>AND(#REF!,"AAAAAGlef00=")</f>
        <v>#REF!</v>
      </c>
      <c r="CA51" t="e">
        <f>AND(#REF!,"AAAAAGlef04=")</f>
        <v>#REF!</v>
      </c>
      <c r="CB51" t="e">
        <f>AND(#REF!,"AAAAAGlef08=")</f>
        <v>#REF!</v>
      </c>
      <c r="CC51" t="e">
        <f>AND(#REF!,"AAAAAGlef1A=")</f>
        <v>#REF!</v>
      </c>
      <c r="CD51" t="e">
        <f>AND(#REF!,"AAAAAGlef1E=")</f>
        <v>#REF!</v>
      </c>
      <c r="CE51" t="e">
        <f>AND(#REF!,"AAAAAGlef1I=")</f>
        <v>#REF!</v>
      </c>
      <c r="CF51" t="e">
        <f>AND(#REF!,"AAAAAGlef1M=")</f>
        <v>#REF!</v>
      </c>
      <c r="CG51" t="e">
        <f>AND(#REF!,"AAAAAGlef1Q=")</f>
        <v>#REF!</v>
      </c>
      <c r="CH51" t="e">
        <f>AND(#REF!,"AAAAAGlef1U=")</f>
        <v>#REF!</v>
      </c>
      <c r="CI51" t="e">
        <f>AND(#REF!,"AAAAAGlef1Y=")</f>
        <v>#REF!</v>
      </c>
      <c r="CJ51" t="e">
        <f>AND(#REF!,"AAAAAGlef1c=")</f>
        <v>#REF!</v>
      </c>
      <c r="CK51" t="e">
        <f>AND(#REF!,"AAAAAGlef1g=")</f>
        <v>#REF!</v>
      </c>
      <c r="CL51" t="e">
        <f>AND(#REF!,"AAAAAGlef1k=")</f>
        <v>#REF!</v>
      </c>
      <c r="CM51" t="e">
        <f>AND(#REF!,"AAAAAGlef1o=")</f>
        <v>#REF!</v>
      </c>
      <c r="CN51" t="e">
        <f>AND(#REF!,"AAAAAGlef1s=")</f>
        <v>#REF!</v>
      </c>
      <c r="CO51" t="e">
        <f>IF(#REF!,"AAAAAGlef1w=",0)</f>
        <v>#REF!</v>
      </c>
      <c r="CP51" t="e">
        <f>AND(#REF!,"AAAAAGlef10=")</f>
        <v>#REF!</v>
      </c>
      <c r="CQ51" t="e">
        <f>AND(#REF!,"AAAAAGlef14=")</f>
        <v>#REF!</v>
      </c>
      <c r="CR51" t="e">
        <f>AND(#REF!,"AAAAAGlef18=")</f>
        <v>#REF!</v>
      </c>
      <c r="CS51" t="e">
        <f>AND(#REF!,"AAAAAGlef2A=")</f>
        <v>#REF!</v>
      </c>
      <c r="CT51" t="e">
        <f>AND(#REF!,"AAAAAGlef2E=")</f>
        <v>#REF!</v>
      </c>
      <c r="CU51" t="e">
        <f>AND(#REF!,"AAAAAGlef2I=")</f>
        <v>#REF!</v>
      </c>
      <c r="CV51" t="e">
        <f>AND(#REF!,"AAAAAGlef2M=")</f>
        <v>#REF!</v>
      </c>
      <c r="CW51" t="e">
        <f>AND(#REF!,"AAAAAGlef2Q=")</f>
        <v>#REF!</v>
      </c>
      <c r="CX51" t="e">
        <f>AND(#REF!,"AAAAAGlef2U=")</f>
        <v>#REF!</v>
      </c>
      <c r="CY51" t="e">
        <f>AND(#REF!,"AAAAAGlef2Y=")</f>
        <v>#REF!</v>
      </c>
      <c r="CZ51" t="e">
        <f>AND(#REF!,"AAAAAGlef2c=")</f>
        <v>#REF!</v>
      </c>
      <c r="DA51" t="e">
        <f>AND(#REF!,"AAAAAGlef2g=")</f>
        <v>#REF!</v>
      </c>
      <c r="DB51" t="e">
        <f>AND(#REF!,"AAAAAGlef2k=")</f>
        <v>#REF!</v>
      </c>
      <c r="DC51" t="e">
        <f>AND(#REF!,"AAAAAGlef2o=")</f>
        <v>#REF!</v>
      </c>
      <c r="DD51" t="e">
        <f>AND(#REF!,"AAAAAGlef2s=")</f>
        <v>#REF!</v>
      </c>
      <c r="DE51" t="e">
        <f>AND(#REF!,"AAAAAGlef2w=")</f>
        <v>#REF!</v>
      </c>
      <c r="DF51" t="e">
        <f>AND(#REF!,"AAAAAGlef20=")</f>
        <v>#REF!</v>
      </c>
      <c r="DG51" t="e">
        <f>AND(#REF!,"AAAAAGlef24=")</f>
        <v>#REF!</v>
      </c>
      <c r="DH51" t="e">
        <f>AND(#REF!,"AAAAAGlef28=")</f>
        <v>#REF!</v>
      </c>
      <c r="DI51" t="e">
        <f>AND(#REF!,"AAAAAGlef3A=")</f>
        <v>#REF!</v>
      </c>
      <c r="DJ51" t="e">
        <f>AND(#REF!,"AAAAAGlef3E=")</f>
        <v>#REF!</v>
      </c>
      <c r="DK51" t="e">
        <f>AND(#REF!,"AAAAAGlef3I=")</f>
        <v>#REF!</v>
      </c>
      <c r="DL51" t="e">
        <f>AND(#REF!,"AAAAAGlef3M=")</f>
        <v>#REF!</v>
      </c>
      <c r="DM51" t="e">
        <f>AND(#REF!,"AAAAAGlef3Q=")</f>
        <v>#REF!</v>
      </c>
      <c r="DN51" t="e">
        <f>AND(#REF!,"AAAAAGlef3U=")</f>
        <v>#REF!</v>
      </c>
      <c r="DO51" t="e">
        <f>AND(#REF!,"AAAAAGlef3Y=")</f>
        <v>#REF!</v>
      </c>
      <c r="DP51" t="e">
        <f>AND(#REF!,"AAAAAGlef3c=")</f>
        <v>#REF!</v>
      </c>
      <c r="DQ51" t="e">
        <f>AND(#REF!,"AAAAAGlef3g=")</f>
        <v>#REF!</v>
      </c>
      <c r="DR51" t="e">
        <f>AND(#REF!,"AAAAAGlef3k=")</f>
        <v>#REF!</v>
      </c>
      <c r="DS51" t="e">
        <f>AND(#REF!,"AAAAAGlef3o=")</f>
        <v>#REF!</v>
      </c>
      <c r="DT51" t="e">
        <f>AND(#REF!,"AAAAAGlef3s=")</f>
        <v>#REF!</v>
      </c>
      <c r="DU51" t="e">
        <f>AND(#REF!,"AAAAAGlef3w=")</f>
        <v>#REF!</v>
      </c>
      <c r="DV51" t="e">
        <f>AND(#REF!,"AAAAAGlef30=")</f>
        <v>#REF!</v>
      </c>
      <c r="DW51" t="e">
        <f>AND(#REF!,"AAAAAGlef34=")</f>
        <v>#REF!</v>
      </c>
      <c r="DX51" t="e">
        <f>AND(#REF!,"AAAAAGlef38=")</f>
        <v>#REF!</v>
      </c>
      <c r="DY51" t="e">
        <f>AND(#REF!,"AAAAAGlef4A=")</f>
        <v>#REF!</v>
      </c>
      <c r="DZ51" t="e">
        <f>AND(#REF!,"AAAAAGlef4E=")</f>
        <v>#REF!</v>
      </c>
      <c r="EA51" t="e">
        <f>AND(#REF!,"AAAAAGlef4I=")</f>
        <v>#REF!</v>
      </c>
      <c r="EB51" t="e">
        <f>AND(#REF!,"AAAAAGlef4M=")</f>
        <v>#REF!</v>
      </c>
      <c r="EC51" t="e">
        <f>AND(#REF!,"AAAAAGlef4Q=")</f>
        <v>#REF!</v>
      </c>
      <c r="ED51" t="e">
        <f>AND(#REF!,"AAAAAGlef4U=")</f>
        <v>#REF!</v>
      </c>
      <c r="EE51" t="e">
        <f>AND(#REF!,"AAAAAGlef4Y=")</f>
        <v>#REF!</v>
      </c>
      <c r="EF51" t="e">
        <f>AND(#REF!,"AAAAAGlef4c=")</f>
        <v>#REF!</v>
      </c>
      <c r="EG51" t="e">
        <f>IF(#REF!,"AAAAAGlef4g=",0)</f>
        <v>#REF!</v>
      </c>
      <c r="EH51" t="e">
        <f>AND(#REF!,"AAAAAGlef4k=")</f>
        <v>#REF!</v>
      </c>
      <c r="EI51" t="e">
        <f>AND(#REF!,"AAAAAGlef4o=")</f>
        <v>#REF!</v>
      </c>
      <c r="EJ51" t="e">
        <f>AND(#REF!,"AAAAAGlef4s=")</f>
        <v>#REF!</v>
      </c>
      <c r="EK51" t="e">
        <f>AND(#REF!,"AAAAAGlef4w=")</f>
        <v>#REF!</v>
      </c>
      <c r="EL51" t="e">
        <f>AND(#REF!,"AAAAAGlef40=")</f>
        <v>#REF!</v>
      </c>
      <c r="EM51" t="e">
        <f>AND(#REF!,"AAAAAGlef44=")</f>
        <v>#REF!</v>
      </c>
      <c r="EN51" t="e">
        <f>AND(#REF!,"AAAAAGlef48=")</f>
        <v>#REF!</v>
      </c>
      <c r="EO51" t="e">
        <f>AND(#REF!,"AAAAAGlef5A=")</f>
        <v>#REF!</v>
      </c>
      <c r="EP51" t="e">
        <f>AND(#REF!,"AAAAAGlef5E=")</f>
        <v>#REF!</v>
      </c>
      <c r="EQ51" t="e">
        <f>AND(#REF!,"AAAAAGlef5I=")</f>
        <v>#REF!</v>
      </c>
      <c r="ER51" t="e">
        <f>AND(#REF!,"AAAAAGlef5M=")</f>
        <v>#REF!</v>
      </c>
      <c r="ES51" t="e">
        <f>AND(#REF!,"AAAAAGlef5Q=")</f>
        <v>#REF!</v>
      </c>
      <c r="ET51" t="e">
        <f>AND(#REF!,"AAAAAGlef5U=")</f>
        <v>#REF!</v>
      </c>
      <c r="EU51" t="e">
        <f>AND(#REF!,"AAAAAGlef5Y=")</f>
        <v>#REF!</v>
      </c>
      <c r="EV51" t="e">
        <f>AND(#REF!,"AAAAAGlef5c=")</f>
        <v>#REF!</v>
      </c>
      <c r="EW51" t="e">
        <f>AND(#REF!,"AAAAAGlef5g=")</f>
        <v>#REF!</v>
      </c>
      <c r="EX51" t="e">
        <f>AND(#REF!,"AAAAAGlef5k=")</f>
        <v>#REF!</v>
      </c>
      <c r="EY51" t="e">
        <f>AND(#REF!,"AAAAAGlef5o=")</f>
        <v>#REF!</v>
      </c>
      <c r="EZ51" t="e">
        <f>AND(#REF!,"AAAAAGlef5s=")</f>
        <v>#REF!</v>
      </c>
      <c r="FA51" t="e">
        <f>AND(#REF!,"AAAAAGlef5w=")</f>
        <v>#REF!</v>
      </c>
      <c r="FB51" t="e">
        <f>AND(#REF!,"AAAAAGlef50=")</f>
        <v>#REF!</v>
      </c>
      <c r="FC51" t="e">
        <f>AND(#REF!,"AAAAAGlef54=")</f>
        <v>#REF!</v>
      </c>
      <c r="FD51" t="e">
        <f>AND(#REF!,"AAAAAGlef58=")</f>
        <v>#REF!</v>
      </c>
      <c r="FE51" t="e">
        <f>AND(#REF!,"AAAAAGlef6A=")</f>
        <v>#REF!</v>
      </c>
      <c r="FF51" t="e">
        <f>AND(#REF!,"AAAAAGlef6E=")</f>
        <v>#REF!</v>
      </c>
      <c r="FG51" t="e">
        <f>AND(#REF!,"AAAAAGlef6I=")</f>
        <v>#REF!</v>
      </c>
      <c r="FH51" t="e">
        <f>AND(#REF!,"AAAAAGlef6M=")</f>
        <v>#REF!</v>
      </c>
      <c r="FI51" t="e">
        <f>AND(#REF!,"AAAAAGlef6Q=")</f>
        <v>#REF!</v>
      </c>
      <c r="FJ51" t="e">
        <f>AND(#REF!,"AAAAAGlef6U=")</f>
        <v>#REF!</v>
      </c>
      <c r="FK51" t="e">
        <f>AND(#REF!,"AAAAAGlef6Y=")</f>
        <v>#REF!</v>
      </c>
      <c r="FL51" t="e">
        <f>AND(#REF!,"AAAAAGlef6c=")</f>
        <v>#REF!</v>
      </c>
      <c r="FM51" t="e">
        <f>AND(#REF!,"AAAAAGlef6g=")</f>
        <v>#REF!</v>
      </c>
      <c r="FN51" t="e">
        <f>AND(#REF!,"AAAAAGlef6k=")</f>
        <v>#REF!</v>
      </c>
      <c r="FO51" t="e">
        <f>AND(#REF!,"AAAAAGlef6o=")</f>
        <v>#REF!</v>
      </c>
      <c r="FP51" t="e">
        <f>AND(#REF!,"AAAAAGlef6s=")</f>
        <v>#REF!</v>
      </c>
      <c r="FQ51" t="e">
        <f>AND(#REF!,"AAAAAGlef6w=")</f>
        <v>#REF!</v>
      </c>
      <c r="FR51" t="e">
        <f>AND(#REF!,"AAAAAGlef60=")</f>
        <v>#REF!</v>
      </c>
      <c r="FS51" t="e">
        <f>AND(#REF!,"AAAAAGlef64=")</f>
        <v>#REF!</v>
      </c>
      <c r="FT51" t="e">
        <f>AND(#REF!,"AAAAAGlef68=")</f>
        <v>#REF!</v>
      </c>
      <c r="FU51" t="e">
        <f>AND(#REF!,"AAAAAGlef7A=")</f>
        <v>#REF!</v>
      </c>
      <c r="FV51" t="e">
        <f>AND(#REF!,"AAAAAGlef7E=")</f>
        <v>#REF!</v>
      </c>
      <c r="FW51" t="e">
        <f>AND(#REF!,"AAAAAGlef7I=")</f>
        <v>#REF!</v>
      </c>
      <c r="FX51" t="e">
        <f>AND(#REF!,"AAAAAGlef7M=")</f>
        <v>#REF!</v>
      </c>
      <c r="FY51" t="e">
        <f>IF(#REF!,"AAAAAGlef7Q=",0)</f>
        <v>#REF!</v>
      </c>
      <c r="FZ51" t="e">
        <f>AND(#REF!,"AAAAAGlef7U=")</f>
        <v>#REF!</v>
      </c>
      <c r="GA51" t="e">
        <f>AND(#REF!,"AAAAAGlef7Y=")</f>
        <v>#REF!</v>
      </c>
      <c r="GB51" t="e">
        <f>AND(#REF!,"AAAAAGlef7c=")</f>
        <v>#REF!</v>
      </c>
      <c r="GC51" t="e">
        <f>AND(#REF!,"AAAAAGlef7g=")</f>
        <v>#REF!</v>
      </c>
      <c r="GD51" t="e">
        <f>AND(#REF!,"AAAAAGlef7k=")</f>
        <v>#REF!</v>
      </c>
      <c r="GE51" t="e">
        <f>AND(#REF!,"AAAAAGlef7o=")</f>
        <v>#REF!</v>
      </c>
      <c r="GF51" t="e">
        <f>AND(#REF!,"AAAAAGlef7s=")</f>
        <v>#REF!</v>
      </c>
      <c r="GG51" t="e">
        <f>AND(#REF!,"AAAAAGlef7w=")</f>
        <v>#REF!</v>
      </c>
      <c r="GH51" t="e">
        <f>AND(#REF!,"AAAAAGlef70=")</f>
        <v>#REF!</v>
      </c>
      <c r="GI51" t="e">
        <f>AND(#REF!,"AAAAAGlef74=")</f>
        <v>#REF!</v>
      </c>
      <c r="GJ51" t="e">
        <f>AND(#REF!,"AAAAAGlef78=")</f>
        <v>#REF!</v>
      </c>
      <c r="GK51" t="e">
        <f>AND(#REF!,"AAAAAGlef8A=")</f>
        <v>#REF!</v>
      </c>
      <c r="GL51" t="e">
        <f>AND(#REF!,"AAAAAGlef8E=")</f>
        <v>#REF!</v>
      </c>
      <c r="GM51" t="e">
        <f>AND(#REF!,"AAAAAGlef8I=")</f>
        <v>#REF!</v>
      </c>
      <c r="GN51" t="e">
        <f>AND(#REF!,"AAAAAGlef8M=")</f>
        <v>#REF!</v>
      </c>
      <c r="GO51" t="e">
        <f>AND(#REF!,"AAAAAGlef8Q=")</f>
        <v>#REF!</v>
      </c>
      <c r="GP51" t="e">
        <f>AND(#REF!,"AAAAAGlef8U=")</f>
        <v>#REF!</v>
      </c>
      <c r="GQ51" t="e">
        <f>AND(#REF!,"AAAAAGlef8Y=")</f>
        <v>#REF!</v>
      </c>
      <c r="GR51" t="e">
        <f>AND(#REF!,"AAAAAGlef8c=")</f>
        <v>#REF!</v>
      </c>
      <c r="GS51" t="e">
        <f>AND(#REF!,"AAAAAGlef8g=")</f>
        <v>#REF!</v>
      </c>
      <c r="GT51" t="e">
        <f>AND(#REF!,"AAAAAGlef8k=")</f>
        <v>#REF!</v>
      </c>
      <c r="GU51" t="e">
        <f>AND(#REF!,"AAAAAGlef8o=")</f>
        <v>#REF!</v>
      </c>
      <c r="GV51" t="e">
        <f>AND(#REF!,"AAAAAGlef8s=")</f>
        <v>#REF!</v>
      </c>
      <c r="GW51" t="e">
        <f>AND(#REF!,"AAAAAGlef8w=")</f>
        <v>#REF!</v>
      </c>
      <c r="GX51" t="e">
        <f>AND(#REF!,"AAAAAGlef80=")</f>
        <v>#REF!</v>
      </c>
      <c r="GY51" t="e">
        <f>AND(#REF!,"AAAAAGlef84=")</f>
        <v>#REF!</v>
      </c>
      <c r="GZ51" t="e">
        <f>AND(#REF!,"AAAAAGlef88=")</f>
        <v>#REF!</v>
      </c>
      <c r="HA51" t="e">
        <f>AND(#REF!,"AAAAAGlef9A=")</f>
        <v>#REF!</v>
      </c>
      <c r="HB51" t="e">
        <f>AND(#REF!,"AAAAAGlef9E=")</f>
        <v>#REF!</v>
      </c>
      <c r="HC51" t="e">
        <f>AND(#REF!,"AAAAAGlef9I=")</f>
        <v>#REF!</v>
      </c>
      <c r="HD51" t="e">
        <f>AND(#REF!,"AAAAAGlef9M=")</f>
        <v>#REF!</v>
      </c>
      <c r="HE51" t="e">
        <f>AND(#REF!,"AAAAAGlef9Q=")</f>
        <v>#REF!</v>
      </c>
      <c r="HF51" t="e">
        <f>AND(#REF!,"AAAAAGlef9U=")</f>
        <v>#REF!</v>
      </c>
      <c r="HG51" t="e">
        <f>AND(#REF!,"AAAAAGlef9Y=")</f>
        <v>#REF!</v>
      </c>
      <c r="HH51" t="e">
        <f>AND(#REF!,"AAAAAGlef9c=")</f>
        <v>#REF!</v>
      </c>
      <c r="HI51" t="e">
        <f>AND(#REF!,"AAAAAGlef9g=")</f>
        <v>#REF!</v>
      </c>
      <c r="HJ51" t="e">
        <f>AND(#REF!,"AAAAAGlef9k=")</f>
        <v>#REF!</v>
      </c>
      <c r="HK51" t="e">
        <f>AND(#REF!,"AAAAAGlef9o=")</f>
        <v>#REF!</v>
      </c>
      <c r="HL51" t="e">
        <f>AND(#REF!,"AAAAAGlef9s=")</f>
        <v>#REF!</v>
      </c>
      <c r="HM51" t="e">
        <f>AND(#REF!,"AAAAAGlef9w=")</f>
        <v>#REF!</v>
      </c>
      <c r="HN51" t="e">
        <f>AND(#REF!,"AAAAAGlef90=")</f>
        <v>#REF!</v>
      </c>
      <c r="HO51" t="e">
        <f>AND(#REF!,"AAAAAGlef94=")</f>
        <v>#REF!</v>
      </c>
      <c r="HP51" t="e">
        <f>AND(#REF!,"AAAAAGlef98=")</f>
        <v>#REF!</v>
      </c>
      <c r="HQ51" t="e">
        <f>IF(#REF!,"AAAAAGlef+A=",0)</f>
        <v>#REF!</v>
      </c>
      <c r="HR51" t="e">
        <f>AND(#REF!,"AAAAAGlef+E=")</f>
        <v>#REF!</v>
      </c>
      <c r="HS51" t="e">
        <f>AND(#REF!,"AAAAAGlef+I=")</f>
        <v>#REF!</v>
      </c>
      <c r="HT51" t="e">
        <f>AND(#REF!,"AAAAAGlef+M=")</f>
        <v>#REF!</v>
      </c>
      <c r="HU51" t="e">
        <f>AND(#REF!,"AAAAAGlef+Q=")</f>
        <v>#REF!</v>
      </c>
      <c r="HV51" t="e">
        <f>AND(#REF!,"AAAAAGlef+U=")</f>
        <v>#REF!</v>
      </c>
      <c r="HW51" t="e">
        <f>AND(#REF!,"AAAAAGlef+Y=")</f>
        <v>#REF!</v>
      </c>
      <c r="HX51" t="e">
        <f>AND(#REF!,"AAAAAGlef+c=")</f>
        <v>#REF!</v>
      </c>
      <c r="HY51" t="e">
        <f>AND(#REF!,"AAAAAGlef+g=")</f>
        <v>#REF!</v>
      </c>
      <c r="HZ51" t="e">
        <f>AND(#REF!,"AAAAAGlef+k=")</f>
        <v>#REF!</v>
      </c>
      <c r="IA51" t="e">
        <f>AND(#REF!,"AAAAAGlef+o=")</f>
        <v>#REF!</v>
      </c>
      <c r="IB51" t="e">
        <f>AND(#REF!,"AAAAAGlef+s=")</f>
        <v>#REF!</v>
      </c>
      <c r="IC51" t="e">
        <f>AND(#REF!,"AAAAAGlef+w=")</f>
        <v>#REF!</v>
      </c>
      <c r="ID51" t="e">
        <f>AND(#REF!,"AAAAAGlef+0=")</f>
        <v>#REF!</v>
      </c>
      <c r="IE51" t="e">
        <f>AND(#REF!,"AAAAAGlef+4=")</f>
        <v>#REF!</v>
      </c>
      <c r="IF51" t="e">
        <f>AND(#REF!,"AAAAAGlef+8=")</f>
        <v>#REF!</v>
      </c>
      <c r="IG51" t="e">
        <f>AND(#REF!,"AAAAAGlef/A=")</f>
        <v>#REF!</v>
      </c>
      <c r="IH51" t="e">
        <f>AND(#REF!,"AAAAAGlef/E=")</f>
        <v>#REF!</v>
      </c>
      <c r="II51" t="e">
        <f>AND(#REF!,"AAAAAGlef/I=")</f>
        <v>#REF!</v>
      </c>
      <c r="IJ51" t="e">
        <f>AND(#REF!,"AAAAAGlef/M=")</f>
        <v>#REF!</v>
      </c>
      <c r="IK51" t="e">
        <f>AND(#REF!,"AAAAAGlef/Q=")</f>
        <v>#REF!</v>
      </c>
      <c r="IL51" t="e">
        <f>AND(#REF!,"AAAAAGlef/U=")</f>
        <v>#REF!</v>
      </c>
      <c r="IM51" t="e">
        <f>AND(#REF!,"AAAAAGlef/Y=")</f>
        <v>#REF!</v>
      </c>
      <c r="IN51" t="e">
        <f>AND(#REF!,"AAAAAGlef/c=")</f>
        <v>#REF!</v>
      </c>
      <c r="IO51" t="e">
        <f>AND(#REF!,"AAAAAGlef/g=")</f>
        <v>#REF!</v>
      </c>
      <c r="IP51" t="e">
        <f>AND(#REF!,"AAAAAGlef/k=")</f>
        <v>#REF!</v>
      </c>
      <c r="IQ51" t="e">
        <f>AND(#REF!,"AAAAAGlef/o=")</f>
        <v>#REF!</v>
      </c>
      <c r="IR51" t="e">
        <f>AND(#REF!,"AAAAAGlef/s=")</f>
        <v>#REF!</v>
      </c>
      <c r="IS51" t="e">
        <f>AND(#REF!,"AAAAAGlef/w=")</f>
        <v>#REF!</v>
      </c>
      <c r="IT51" t="e">
        <f>AND(#REF!,"AAAAAGlef/0=")</f>
        <v>#REF!</v>
      </c>
      <c r="IU51" t="e">
        <f>AND(#REF!,"AAAAAGlef/4=")</f>
        <v>#REF!</v>
      </c>
      <c r="IV51" t="e">
        <f>AND(#REF!,"AAAAAGlef/8=")</f>
        <v>#REF!</v>
      </c>
    </row>
    <row r="52" spans="1:256" x14ac:dyDescent="0.25">
      <c r="A52" t="e">
        <f>AND(#REF!,"AAAAAE/3bwA=")</f>
        <v>#REF!</v>
      </c>
      <c r="B52" t="e">
        <f>AND(#REF!,"AAAAAE/3bwE=")</f>
        <v>#REF!</v>
      </c>
      <c r="C52" t="e">
        <f>AND(#REF!,"AAAAAE/3bwI=")</f>
        <v>#REF!</v>
      </c>
      <c r="D52" t="e">
        <f>AND(#REF!,"AAAAAE/3bwM=")</f>
        <v>#REF!</v>
      </c>
      <c r="E52" t="e">
        <f>AND(#REF!,"AAAAAE/3bwQ=")</f>
        <v>#REF!</v>
      </c>
      <c r="F52" t="e">
        <f>AND(#REF!,"AAAAAE/3bwU=")</f>
        <v>#REF!</v>
      </c>
      <c r="G52" t="e">
        <f>AND(#REF!,"AAAAAE/3bwY=")</f>
        <v>#REF!</v>
      </c>
      <c r="H52" t="e">
        <f>AND(#REF!,"AAAAAE/3bwc=")</f>
        <v>#REF!</v>
      </c>
      <c r="I52" t="e">
        <f>AND(#REF!,"AAAAAE/3bwg=")</f>
        <v>#REF!</v>
      </c>
      <c r="J52" t="e">
        <f>AND(#REF!,"AAAAAE/3bwk=")</f>
        <v>#REF!</v>
      </c>
      <c r="K52" t="e">
        <f>AND(#REF!,"AAAAAE/3bwo=")</f>
        <v>#REF!</v>
      </c>
      <c r="L52" t="e">
        <f>AND(#REF!,"AAAAAE/3bws=")</f>
        <v>#REF!</v>
      </c>
      <c r="M52" t="e">
        <f>IF(#REF!,"AAAAAE/3bww=",0)</f>
        <v>#REF!</v>
      </c>
      <c r="N52" t="e">
        <f>AND(#REF!,"AAAAAE/3bw0=")</f>
        <v>#REF!</v>
      </c>
      <c r="O52" t="e">
        <f>AND(#REF!,"AAAAAE/3bw4=")</f>
        <v>#REF!</v>
      </c>
      <c r="P52" t="e">
        <f>AND(#REF!,"AAAAAE/3bw8=")</f>
        <v>#REF!</v>
      </c>
      <c r="Q52" t="e">
        <f>AND(#REF!,"AAAAAE/3bxA=")</f>
        <v>#REF!</v>
      </c>
      <c r="R52" t="e">
        <f>AND(#REF!,"AAAAAE/3bxE=")</f>
        <v>#REF!</v>
      </c>
      <c r="S52" t="e">
        <f>AND(#REF!,"AAAAAE/3bxI=")</f>
        <v>#REF!</v>
      </c>
      <c r="T52" t="e">
        <f>AND(#REF!,"AAAAAE/3bxM=")</f>
        <v>#REF!</v>
      </c>
      <c r="U52" t="e">
        <f>AND(#REF!,"AAAAAE/3bxQ=")</f>
        <v>#REF!</v>
      </c>
      <c r="V52" t="e">
        <f>AND(#REF!,"AAAAAE/3bxU=")</f>
        <v>#REF!</v>
      </c>
      <c r="W52" t="e">
        <f>AND(#REF!,"AAAAAE/3bxY=")</f>
        <v>#REF!</v>
      </c>
      <c r="X52" t="e">
        <f>AND(#REF!,"AAAAAE/3bxc=")</f>
        <v>#REF!</v>
      </c>
      <c r="Y52" t="e">
        <f>AND(#REF!,"AAAAAE/3bxg=")</f>
        <v>#REF!</v>
      </c>
      <c r="Z52" t="e">
        <f>AND(#REF!,"AAAAAE/3bxk=")</f>
        <v>#REF!</v>
      </c>
      <c r="AA52" t="e">
        <f>AND(#REF!,"AAAAAE/3bxo=")</f>
        <v>#REF!</v>
      </c>
      <c r="AB52" t="e">
        <f>AND(#REF!,"AAAAAE/3bxs=")</f>
        <v>#REF!</v>
      </c>
      <c r="AC52" t="e">
        <f>AND(#REF!,"AAAAAE/3bxw=")</f>
        <v>#REF!</v>
      </c>
      <c r="AD52" t="e">
        <f>AND(#REF!,"AAAAAE/3bx0=")</f>
        <v>#REF!</v>
      </c>
      <c r="AE52" t="e">
        <f>AND(#REF!,"AAAAAE/3bx4=")</f>
        <v>#REF!</v>
      </c>
      <c r="AF52" t="e">
        <f>AND(#REF!,"AAAAAE/3bx8=")</f>
        <v>#REF!</v>
      </c>
      <c r="AG52" t="e">
        <f>AND(#REF!,"AAAAAE/3byA=")</f>
        <v>#REF!</v>
      </c>
      <c r="AH52" t="e">
        <f>AND(#REF!,"AAAAAE/3byE=")</f>
        <v>#REF!</v>
      </c>
      <c r="AI52" t="e">
        <f>AND(#REF!,"AAAAAE/3byI=")</f>
        <v>#REF!</v>
      </c>
      <c r="AJ52" t="e">
        <f>AND(#REF!,"AAAAAE/3byM=")</f>
        <v>#REF!</v>
      </c>
      <c r="AK52" t="e">
        <f>AND(#REF!,"AAAAAE/3byQ=")</f>
        <v>#REF!</v>
      </c>
      <c r="AL52" t="e">
        <f>AND(#REF!,"AAAAAE/3byU=")</f>
        <v>#REF!</v>
      </c>
      <c r="AM52" t="e">
        <f>AND(#REF!,"AAAAAE/3byY=")</f>
        <v>#REF!</v>
      </c>
      <c r="AN52" t="e">
        <f>AND(#REF!,"AAAAAE/3byc=")</f>
        <v>#REF!</v>
      </c>
      <c r="AO52" t="e">
        <f>AND(#REF!,"AAAAAE/3byg=")</f>
        <v>#REF!</v>
      </c>
      <c r="AP52" t="e">
        <f>AND(#REF!,"AAAAAE/3byk=")</f>
        <v>#REF!</v>
      </c>
      <c r="AQ52" t="e">
        <f>AND(#REF!,"AAAAAE/3byo=")</f>
        <v>#REF!</v>
      </c>
      <c r="AR52" t="e">
        <f>AND(#REF!,"AAAAAE/3bys=")</f>
        <v>#REF!</v>
      </c>
      <c r="AS52" t="e">
        <f>AND(#REF!,"AAAAAE/3byw=")</f>
        <v>#REF!</v>
      </c>
      <c r="AT52" t="e">
        <f>AND(#REF!,"AAAAAE/3by0=")</f>
        <v>#REF!</v>
      </c>
      <c r="AU52" t="e">
        <f>AND(#REF!,"AAAAAE/3by4=")</f>
        <v>#REF!</v>
      </c>
      <c r="AV52" t="e">
        <f>AND(#REF!,"AAAAAE/3by8=")</f>
        <v>#REF!</v>
      </c>
      <c r="AW52" t="e">
        <f>AND(#REF!,"AAAAAE/3bzA=")</f>
        <v>#REF!</v>
      </c>
      <c r="AX52" t="e">
        <f>AND(#REF!,"AAAAAE/3bzE=")</f>
        <v>#REF!</v>
      </c>
      <c r="AY52" t="e">
        <f>AND(#REF!,"AAAAAE/3bzI=")</f>
        <v>#REF!</v>
      </c>
      <c r="AZ52" t="e">
        <f>AND(#REF!,"AAAAAE/3bzM=")</f>
        <v>#REF!</v>
      </c>
      <c r="BA52" t="e">
        <f>AND(#REF!,"AAAAAE/3bzQ=")</f>
        <v>#REF!</v>
      </c>
      <c r="BB52" t="e">
        <f>AND(#REF!,"AAAAAE/3bzU=")</f>
        <v>#REF!</v>
      </c>
      <c r="BC52" t="e">
        <f>AND(#REF!,"AAAAAE/3bzY=")</f>
        <v>#REF!</v>
      </c>
      <c r="BD52" t="e">
        <f>AND(#REF!,"AAAAAE/3bzc=")</f>
        <v>#REF!</v>
      </c>
      <c r="BE52" t="e">
        <f>IF(#REF!,"AAAAAE/3bzg=",0)</f>
        <v>#REF!</v>
      </c>
      <c r="BF52" t="e">
        <f>AND(#REF!,"AAAAAE/3bzk=")</f>
        <v>#REF!</v>
      </c>
      <c r="BG52" t="e">
        <f>AND(#REF!,"AAAAAE/3bzo=")</f>
        <v>#REF!</v>
      </c>
      <c r="BH52" t="e">
        <f>AND(#REF!,"AAAAAE/3bzs=")</f>
        <v>#REF!</v>
      </c>
      <c r="BI52" t="e">
        <f>AND(#REF!,"AAAAAE/3bzw=")</f>
        <v>#REF!</v>
      </c>
      <c r="BJ52" t="e">
        <f>AND(#REF!,"AAAAAE/3bz0=")</f>
        <v>#REF!</v>
      </c>
      <c r="BK52" t="e">
        <f>AND(#REF!,"AAAAAE/3bz4=")</f>
        <v>#REF!</v>
      </c>
      <c r="BL52" t="e">
        <f>AND(#REF!,"AAAAAE/3bz8=")</f>
        <v>#REF!</v>
      </c>
      <c r="BM52" t="e">
        <f>AND(#REF!,"AAAAAE/3b0A=")</f>
        <v>#REF!</v>
      </c>
      <c r="BN52" t="e">
        <f>AND(#REF!,"AAAAAE/3b0E=")</f>
        <v>#REF!</v>
      </c>
      <c r="BO52" t="e">
        <f>AND(#REF!,"AAAAAE/3b0I=")</f>
        <v>#REF!</v>
      </c>
      <c r="BP52" t="e">
        <f>AND(#REF!,"AAAAAE/3b0M=")</f>
        <v>#REF!</v>
      </c>
      <c r="BQ52" t="e">
        <f>AND(#REF!,"AAAAAE/3b0Q=")</f>
        <v>#REF!</v>
      </c>
      <c r="BR52" t="e">
        <f>AND(#REF!,"AAAAAE/3b0U=")</f>
        <v>#REF!</v>
      </c>
      <c r="BS52" t="e">
        <f>AND(#REF!,"AAAAAE/3b0Y=")</f>
        <v>#REF!</v>
      </c>
      <c r="BT52" t="e">
        <f>AND(#REF!,"AAAAAE/3b0c=")</f>
        <v>#REF!</v>
      </c>
      <c r="BU52" t="e">
        <f>AND(#REF!,"AAAAAE/3b0g=")</f>
        <v>#REF!</v>
      </c>
      <c r="BV52" t="e">
        <f>AND(#REF!,"AAAAAE/3b0k=")</f>
        <v>#REF!</v>
      </c>
      <c r="BW52" t="e">
        <f>AND(#REF!,"AAAAAE/3b0o=")</f>
        <v>#REF!</v>
      </c>
      <c r="BX52" t="e">
        <f>AND(#REF!,"AAAAAE/3b0s=")</f>
        <v>#REF!</v>
      </c>
      <c r="BY52" t="e">
        <f>AND(#REF!,"AAAAAE/3b0w=")</f>
        <v>#REF!</v>
      </c>
      <c r="BZ52" t="e">
        <f>AND(#REF!,"AAAAAE/3b00=")</f>
        <v>#REF!</v>
      </c>
      <c r="CA52" t="e">
        <f>AND(#REF!,"AAAAAE/3b04=")</f>
        <v>#REF!</v>
      </c>
      <c r="CB52" t="e">
        <f>AND(#REF!,"AAAAAE/3b08=")</f>
        <v>#REF!</v>
      </c>
      <c r="CC52" t="e">
        <f>AND(#REF!,"AAAAAE/3b1A=")</f>
        <v>#REF!</v>
      </c>
      <c r="CD52" t="e">
        <f>AND(#REF!,"AAAAAE/3b1E=")</f>
        <v>#REF!</v>
      </c>
      <c r="CE52" t="e">
        <f>AND(#REF!,"AAAAAE/3b1I=")</f>
        <v>#REF!</v>
      </c>
      <c r="CF52" t="e">
        <f>AND(#REF!,"AAAAAE/3b1M=")</f>
        <v>#REF!</v>
      </c>
      <c r="CG52" t="e">
        <f>AND(#REF!,"AAAAAE/3b1Q=")</f>
        <v>#REF!</v>
      </c>
      <c r="CH52" t="e">
        <f>AND(#REF!,"AAAAAE/3b1U=")</f>
        <v>#REF!</v>
      </c>
      <c r="CI52" t="e">
        <f>AND(#REF!,"AAAAAE/3b1Y=")</f>
        <v>#REF!</v>
      </c>
      <c r="CJ52" t="e">
        <f>AND(#REF!,"AAAAAE/3b1c=")</f>
        <v>#REF!</v>
      </c>
      <c r="CK52" t="e">
        <f>AND(#REF!,"AAAAAE/3b1g=")</f>
        <v>#REF!</v>
      </c>
      <c r="CL52" t="e">
        <f>AND(#REF!,"AAAAAE/3b1k=")</f>
        <v>#REF!</v>
      </c>
      <c r="CM52" t="e">
        <f>AND(#REF!,"AAAAAE/3b1o=")</f>
        <v>#REF!</v>
      </c>
      <c r="CN52" t="e">
        <f>AND(#REF!,"AAAAAE/3b1s=")</f>
        <v>#REF!</v>
      </c>
      <c r="CO52" t="e">
        <f>AND(#REF!,"AAAAAE/3b1w=")</f>
        <v>#REF!</v>
      </c>
      <c r="CP52" t="e">
        <f>AND(#REF!,"AAAAAE/3b10=")</f>
        <v>#REF!</v>
      </c>
      <c r="CQ52" t="e">
        <f>AND(#REF!,"AAAAAE/3b14=")</f>
        <v>#REF!</v>
      </c>
      <c r="CR52" t="e">
        <f>AND(#REF!,"AAAAAE/3b18=")</f>
        <v>#REF!</v>
      </c>
      <c r="CS52" t="e">
        <f>AND(#REF!,"AAAAAE/3b2A=")</f>
        <v>#REF!</v>
      </c>
      <c r="CT52" t="e">
        <f>AND(#REF!,"AAAAAE/3b2E=")</f>
        <v>#REF!</v>
      </c>
      <c r="CU52" t="e">
        <f>AND(#REF!,"AAAAAE/3b2I=")</f>
        <v>#REF!</v>
      </c>
      <c r="CV52" t="e">
        <f>AND(#REF!,"AAAAAE/3b2M=")</f>
        <v>#REF!</v>
      </c>
      <c r="CW52" t="e">
        <f>IF(#REF!,"AAAAAE/3b2Q=",0)</f>
        <v>#REF!</v>
      </c>
      <c r="CX52" t="e">
        <f>AND(#REF!,"AAAAAE/3b2U=")</f>
        <v>#REF!</v>
      </c>
      <c r="CY52" t="e">
        <f>AND(#REF!,"AAAAAE/3b2Y=")</f>
        <v>#REF!</v>
      </c>
      <c r="CZ52" t="e">
        <f>AND(#REF!,"AAAAAE/3b2c=")</f>
        <v>#REF!</v>
      </c>
      <c r="DA52" t="e">
        <f>AND(#REF!,"AAAAAE/3b2g=")</f>
        <v>#REF!</v>
      </c>
      <c r="DB52" t="e">
        <f>AND(#REF!,"AAAAAE/3b2k=")</f>
        <v>#REF!</v>
      </c>
      <c r="DC52" t="e">
        <f>AND(#REF!,"AAAAAE/3b2o=")</f>
        <v>#REF!</v>
      </c>
      <c r="DD52" t="e">
        <f>AND(#REF!,"AAAAAE/3b2s=")</f>
        <v>#REF!</v>
      </c>
      <c r="DE52" t="e">
        <f>AND(#REF!,"AAAAAE/3b2w=")</f>
        <v>#REF!</v>
      </c>
      <c r="DF52" t="e">
        <f>AND(#REF!,"AAAAAE/3b20=")</f>
        <v>#REF!</v>
      </c>
      <c r="DG52" t="e">
        <f>AND(#REF!,"AAAAAE/3b24=")</f>
        <v>#REF!</v>
      </c>
      <c r="DH52" t="e">
        <f>AND(#REF!,"AAAAAE/3b28=")</f>
        <v>#REF!</v>
      </c>
      <c r="DI52" t="e">
        <f>AND(#REF!,"AAAAAE/3b3A=")</f>
        <v>#REF!</v>
      </c>
      <c r="DJ52" t="e">
        <f>AND(#REF!,"AAAAAE/3b3E=")</f>
        <v>#REF!</v>
      </c>
      <c r="DK52" t="e">
        <f>AND(#REF!,"AAAAAE/3b3I=")</f>
        <v>#REF!</v>
      </c>
      <c r="DL52" t="e">
        <f>AND(#REF!,"AAAAAE/3b3M=")</f>
        <v>#REF!</v>
      </c>
      <c r="DM52" t="e">
        <f>AND(#REF!,"AAAAAE/3b3Q=")</f>
        <v>#REF!</v>
      </c>
      <c r="DN52" t="e">
        <f>AND(#REF!,"AAAAAE/3b3U=")</f>
        <v>#REF!</v>
      </c>
      <c r="DO52" t="e">
        <f>AND(#REF!,"AAAAAE/3b3Y=")</f>
        <v>#REF!</v>
      </c>
      <c r="DP52" t="e">
        <f>AND(#REF!,"AAAAAE/3b3c=")</f>
        <v>#REF!</v>
      </c>
      <c r="DQ52" t="e">
        <f>AND(#REF!,"AAAAAE/3b3g=")</f>
        <v>#REF!</v>
      </c>
      <c r="DR52" t="e">
        <f>AND(#REF!,"AAAAAE/3b3k=")</f>
        <v>#REF!</v>
      </c>
      <c r="DS52" t="e">
        <f>AND(#REF!,"AAAAAE/3b3o=")</f>
        <v>#REF!</v>
      </c>
      <c r="DT52" t="e">
        <f>AND(#REF!,"AAAAAE/3b3s=")</f>
        <v>#REF!</v>
      </c>
      <c r="DU52" t="e">
        <f>AND(#REF!,"AAAAAE/3b3w=")</f>
        <v>#REF!</v>
      </c>
      <c r="DV52" t="e">
        <f>AND(#REF!,"AAAAAE/3b30=")</f>
        <v>#REF!</v>
      </c>
      <c r="DW52" t="e">
        <f>AND(#REF!,"AAAAAE/3b34=")</f>
        <v>#REF!</v>
      </c>
      <c r="DX52" t="e">
        <f>AND(#REF!,"AAAAAE/3b38=")</f>
        <v>#REF!</v>
      </c>
      <c r="DY52" t="e">
        <f>AND(#REF!,"AAAAAE/3b4A=")</f>
        <v>#REF!</v>
      </c>
      <c r="DZ52" t="e">
        <f>AND(#REF!,"AAAAAE/3b4E=")</f>
        <v>#REF!</v>
      </c>
      <c r="EA52" t="e">
        <f>AND(#REF!,"AAAAAE/3b4I=")</f>
        <v>#REF!</v>
      </c>
      <c r="EB52" t="e">
        <f>AND(#REF!,"AAAAAE/3b4M=")</f>
        <v>#REF!</v>
      </c>
      <c r="EC52" t="e">
        <f>AND(#REF!,"AAAAAE/3b4Q=")</f>
        <v>#REF!</v>
      </c>
      <c r="ED52" t="e">
        <f>AND(#REF!,"AAAAAE/3b4U=")</f>
        <v>#REF!</v>
      </c>
      <c r="EE52" t="e">
        <f>AND(#REF!,"AAAAAE/3b4Y=")</f>
        <v>#REF!</v>
      </c>
      <c r="EF52" t="e">
        <f>AND(#REF!,"AAAAAE/3b4c=")</f>
        <v>#REF!</v>
      </c>
      <c r="EG52" t="e">
        <f>AND(#REF!,"AAAAAE/3b4g=")</f>
        <v>#REF!</v>
      </c>
      <c r="EH52" t="e">
        <f>AND(#REF!,"AAAAAE/3b4k=")</f>
        <v>#REF!</v>
      </c>
      <c r="EI52" t="e">
        <f>AND(#REF!,"AAAAAE/3b4o=")</f>
        <v>#REF!</v>
      </c>
      <c r="EJ52" t="e">
        <f>AND(#REF!,"AAAAAE/3b4s=")</f>
        <v>#REF!</v>
      </c>
      <c r="EK52" t="e">
        <f>AND(#REF!,"AAAAAE/3b4w=")</f>
        <v>#REF!</v>
      </c>
      <c r="EL52" t="e">
        <f>AND(#REF!,"AAAAAE/3b40=")</f>
        <v>#REF!</v>
      </c>
      <c r="EM52" t="e">
        <f>AND(#REF!,"AAAAAE/3b44=")</f>
        <v>#REF!</v>
      </c>
      <c r="EN52" t="e">
        <f>AND(#REF!,"AAAAAE/3b48=")</f>
        <v>#REF!</v>
      </c>
      <c r="EO52" t="e">
        <f>IF(#REF!,"AAAAAE/3b5A=",0)</f>
        <v>#REF!</v>
      </c>
      <c r="EP52" t="e">
        <f>AND(#REF!,"AAAAAE/3b5E=")</f>
        <v>#REF!</v>
      </c>
      <c r="EQ52" t="e">
        <f>AND(#REF!,"AAAAAE/3b5I=")</f>
        <v>#REF!</v>
      </c>
      <c r="ER52" t="e">
        <f>AND(#REF!,"AAAAAE/3b5M=")</f>
        <v>#REF!</v>
      </c>
      <c r="ES52" t="e">
        <f>AND(#REF!,"AAAAAE/3b5Q=")</f>
        <v>#REF!</v>
      </c>
      <c r="ET52" t="e">
        <f>AND(#REF!,"AAAAAE/3b5U=")</f>
        <v>#REF!</v>
      </c>
      <c r="EU52" t="e">
        <f>AND(#REF!,"AAAAAE/3b5Y=")</f>
        <v>#REF!</v>
      </c>
      <c r="EV52" t="e">
        <f>AND(#REF!,"AAAAAE/3b5c=")</f>
        <v>#REF!</v>
      </c>
      <c r="EW52" t="e">
        <f>AND(#REF!,"AAAAAE/3b5g=")</f>
        <v>#REF!</v>
      </c>
      <c r="EX52" t="e">
        <f>AND(#REF!,"AAAAAE/3b5k=")</f>
        <v>#REF!</v>
      </c>
      <c r="EY52" t="e">
        <f>AND(#REF!,"AAAAAE/3b5o=")</f>
        <v>#REF!</v>
      </c>
      <c r="EZ52" t="e">
        <f>AND(#REF!,"AAAAAE/3b5s=")</f>
        <v>#REF!</v>
      </c>
      <c r="FA52" t="e">
        <f>AND(#REF!,"AAAAAE/3b5w=")</f>
        <v>#REF!</v>
      </c>
      <c r="FB52" t="e">
        <f>AND(#REF!,"AAAAAE/3b50=")</f>
        <v>#REF!</v>
      </c>
      <c r="FC52" t="e">
        <f>AND(#REF!,"AAAAAE/3b54=")</f>
        <v>#REF!</v>
      </c>
      <c r="FD52" t="e">
        <f>AND(#REF!,"AAAAAE/3b58=")</f>
        <v>#REF!</v>
      </c>
      <c r="FE52" t="e">
        <f>AND(#REF!,"AAAAAE/3b6A=")</f>
        <v>#REF!</v>
      </c>
      <c r="FF52" t="e">
        <f>AND(#REF!,"AAAAAE/3b6E=")</f>
        <v>#REF!</v>
      </c>
      <c r="FG52" t="e">
        <f>AND(#REF!,"AAAAAE/3b6I=")</f>
        <v>#REF!</v>
      </c>
      <c r="FH52" t="e">
        <f>AND(#REF!,"AAAAAE/3b6M=")</f>
        <v>#REF!</v>
      </c>
      <c r="FI52" t="e">
        <f>AND(#REF!,"AAAAAE/3b6Q=")</f>
        <v>#REF!</v>
      </c>
      <c r="FJ52" t="e">
        <f>AND(#REF!,"AAAAAE/3b6U=")</f>
        <v>#REF!</v>
      </c>
      <c r="FK52" t="e">
        <f>AND(#REF!,"AAAAAE/3b6Y=")</f>
        <v>#REF!</v>
      </c>
      <c r="FL52" t="e">
        <f>AND(#REF!,"AAAAAE/3b6c=")</f>
        <v>#REF!</v>
      </c>
      <c r="FM52" t="e">
        <f>AND(#REF!,"AAAAAE/3b6g=")</f>
        <v>#REF!</v>
      </c>
      <c r="FN52" t="e">
        <f>AND(#REF!,"AAAAAE/3b6k=")</f>
        <v>#REF!</v>
      </c>
      <c r="FO52" t="e">
        <f>AND(#REF!,"AAAAAE/3b6o=")</f>
        <v>#REF!</v>
      </c>
      <c r="FP52" t="e">
        <f>AND(#REF!,"AAAAAE/3b6s=")</f>
        <v>#REF!</v>
      </c>
      <c r="FQ52" t="e">
        <f>AND(#REF!,"AAAAAE/3b6w=")</f>
        <v>#REF!</v>
      </c>
      <c r="FR52" t="e">
        <f>AND(#REF!,"AAAAAE/3b60=")</f>
        <v>#REF!</v>
      </c>
      <c r="FS52" t="e">
        <f>AND(#REF!,"AAAAAE/3b64=")</f>
        <v>#REF!</v>
      </c>
      <c r="FT52" t="e">
        <f>AND(#REF!,"AAAAAE/3b68=")</f>
        <v>#REF!</v>
      </c>
      <c r="FU52" t="e">
        <f>AND(#REF!,"AAAAAE/3b7A=")</f>
        <v>#REF!</v>
      </c>
      <c r="FV52" t="e">
        <f>AND(#REF!,"AAAAAE/3b7E=")</f>
        <v>#REF!</v>
      </c>
      <c r="FW52" t="e">
        <f>AND(#REF!,"AAAAAE/3b7I=")</f>
        <v>#REF!</v>
      </c>
      <c r="FX52" t="e">
        <f>AND(#REF!,"AAAAAE/3b7M=")</f>
        <v>#REF!</v>
      </c>
      <c r="FY52" t="e">
        <f>AND(#REF!,"AAAAAE/3b7Q=")</f>
        <v>#REF!</v>
      </c>
      <c r="FZ52" t="e">
        <f>AND(#REF!,"AAAAAE/3b7U=")</f>
        <v>#REF!</v>
      </c>
      <c r="GA52" t="e">
        <f>AND(#REF!,"AAAAAE/3b7Y=")</f>
        <v>#REF!</v>
      </c>
      <c r="GB52" t="e">
        <f>AND(#REF!,"AAAAAE/3b7c=")</f>
        <v>#REF!</v>
      </c>
      <c r="GC52" t="e">
        <f>AND(#REF!,"AAAAAE/3b7g=")</f>
        <v>#REF!</v>
      </c>
      <c r="GD52" t="e">
        <f>AND(#REF!,"AAAAAE/3b7k=")</f>
        <v>#REF!</v>
      </c>
      <c r="GE52" t="e">
        <f>AND(#REF!,"AAAAAE/3b7o=")</f>
        <v>#REF!</v>
      </c>
      <c r="GF52" t="e">
        <f>AND(#REF!,"AAAAAE/3b7s=")</f>
        <v>#REF!</v>
      </c>
      <c r="GG52" t="e">
        <f>IF(#REF!,"AAAAAE/3b7w=",0)</f>
        <v>#REF!</v>
      </c>
      <c r="GH52" t="e">
        <f>AND(#REF!,"AAAAAE/3b70=")</f>
        <v>#REF!</v>
      </c>
      <c r="GI52" t="e">
        <f>AND(#REF!,"AAAAAE/3b74=")</f>
        <v>#REF!</v>
      </c>
      <c r="GJ52" t="e">
        <f>AND(#REF!,"AAAAAE/3b78=")</f>
        <v>#REF!</v>
      </c>
      <c r="GK52" t="e">
        <f>AND(#REF!,"AAAAAE/3b8A=")</f>
        <v>#REF!</v>
      </c>
      <c r="GL52" t="e">
        <f>AND(#REF!,"AAAAAE/3b8E=")</f>
        <v>#REF!</v>
      </c>
      <c r="GM52" t="e">
        <f>AND(#REF!,"AAAAAE/3b8I=")</f>
        <v>#REF!</v>
      </c>
      <c r="GN52" t="e">
        <f>AND(#REF!,"AAAAAE/3b8M=")</f>
        <v>#REF!</v>
      </c>
      <c r="GO52" t="e">
        <f>AND(#REF!,"AAAAAE/3b8Q=")</f>
        <v>#REF!</v>
      </c>
      <c r="GP52" t="e">
        <f>AND(#REF!,"AAAAAE/3b8U=")</f>
        <v>#REF!</v>
      </c>
      <c r="GQ52" t="e">
        <f>AND(#REF!,"AAAAAE/3b8Y=")</f>
        <v>#REF!</v>
      </c>
      <c r="GR52" t="e">
        <f>AND(#REF!,"AAAAAE/3b8c=")</f>
        <v>#REF!</v>
      </c>
      <c r="GS52" t="e">
        <f>AND(#REF!,"AAAAAE/3b8g=")</f>
        <v>#REF!</v>
      </c>
      <c r="GT52" t="e">
        <f>AND(#REF!,"AAAAAE/3b8k=")</f>
        <v>#REF!</v>
      </c>
      <c r="GU52" t="e">
        <f>AND(#REF!,"AAAAAE/3b8o=")</f>
        <v>#REF!</v>
      </c>
      <c r="GV52" t="e">
        <f>AND(#REF!,"AAAAAE/3b8s=")</f>
        <v>#REF!</v>
      </c>
      <c r="GW52" t="e">
        <f>AND(#REF!,"AAAAAE/3b8w=")</f>
        <v>#REF!</v>
      </c>
      <c r="GX52" t="e">
        <f>AND(#REF!,"AAAAAE/3b80=")</f>
        <v>#REF!</v>
      </c>
      <c r="GY52" t="e">
        <f>AND(#REF!,"AAAAAE/3b84=")</f>
        <v>#REF!</v>
      </c>
      <c r="GZ52" t="e">
        <f>AND(#REF!,"AAAAAE/3b88=")</f>
        <v>#REF!</v>
      </c>
      <c r="HA52" t="e">
        <f>AND(#REF!,"AAAAAE/3b9A=")</f>
        <v>#REF!</v>
      </c>
      <c r="HB52" t="e">
        <f>AND(#REF!,"AAAAAE/3b9E=")</f>
        <v>#REF!</v>
      </c>
      <c r="HC52" t="e">
        <f>AND(#REF!,"AAAAAE/3b9I=")</f>
        <v>#REF!</v>
      </c>
      <c r="HD52" t="e">
        <f>AND(#REF!,"AAAAAE/3b9M=")</f>
        <v>#REF!</v>
      </c>
      <c r="HE52" t="e">
        <f>AND(#REF!,"AAAAAE/3b9Q=")</f>
        <v>#REF!</v>
      </c>
      <c r="HF52" t="e">
        <f>AND(#REF!,"AAAAAE/3b9U=")</f>
        <v>#REF!</v>
      </c>
      <c r="HG52" t="e">
        <f>AND(#REF!,"AAAAAE/3b9Y=")</f>
        <v>#REF!</v>
      </c>
      <c r="HH52" t="e">
        <f>AND(#REF!,"AAAAAE/3b9c=")</f>
        <v>#REF!</v>
      </c>
      <c r="HI52" t="e">
        <f>AND(#REF!,"AAAAAE/3b9g=")</f>
        <v>#REF!</v>
      </c>
      <c r="HJ52" t="e">
        <f>AND(#REF!,"AAAAAE/3b9k=")</f>
        <v>#REF!</v>
      </c>
      <c r="HK52" t="e">
        <f>AND(#REF!,"AAAAAE/3b9o=")</f>
        <v>#REF!</v>
      </c>
      <c r="HL52" t="e">
        <f>AND(#REF!,"AAAAAE/3b9s=")</f>
        <v>#REF!</v>
      </c>
      <c r="HM52" t="e">
        <f>AND(#REF!,"AAAAAE/3b9w=")</f>
        <v>#REF!</v>
      </c>
      <c r="HN52" t="e">
        <f>AND(#REF!,"AAAAAE/3b90=")</f>
        <v>#REF!</v>
      </c>
      <c r="HO52" t="e">
        <f>AND(#REF!,"AAAAAE/3b94=")</f>
        <v>#REF!</v>
      </c>
      <c r="HP52" t="e">
        <f>AND(#REF!,"AAAAAE/3b98=")</f>
        <v>#REF!</v>
      </c>
      <c r="HQ52" t="e">
        <f>AND(#REF!,"AAAAAE/3b+A=")</f>
        <v>#REF!</v>
      </c>
      <c r="HR52" t="e">
        <f>AND(#REF!,"AAAAAE/3b+E=")</f>
        <v>#REF!</v>
      </c>
      <c r="HS52" t="e">
        <f>AND(#REF!,"AAAAAE/3b+I=")</f>
        <v>#REF!</v>
      </c>
      <c r="HT52" t="e">
        <f>AND(#REF!,"AAAAAE/3b+M=")</f>
        <v>#REF!</v>
      </c>
      <c r="HU52" t="e">
        <f>AND(#REF!,"AAAAAE/3b+Q=")</f>
        <v>#REF!</v>
      </c>
      <c r="HV52" t="e">
        <f>AND(#REF!,"AAAAAE/3b+U=")</f>
        <v>#REF!</v>
      </c>
      <c r="HW52" t="e">
        <f>AND(#REF!,"AAAAAE/3b+Y=")</f>
        <v>#REF!</v>
      </c>
      <c r="HX52" t="e">
        <f>AND(#REF!,"AAAAAE/3b+c=")</f>
        <v>#REF!</v>
      </c>
      <c r="HY52" t="e">
        <f>IF(#REF!,"AAAAAE/3b+g=",0)</f>
        <v>#REF!</v>
      </c>
      <c r="HZ52" t="e">
        <f>AND(#REF!,"AAAAAE/3b+k=")</f>
        <v>#REF!</v>
      </c>
      <c r="IA52" t="e">
        <f>AND(#REF!,"AAAAAE/3b+o=")</f>
        <v>#REF!</v>
      </c>
      <c r="IB52" t="e">
        <f>AND(#REF!,"AAAAAE/3b+s=")</f>
        <v>#REF!</v>
      </c>
      <c r="IC52" t="e">
        <f>AND(#REF!,"AAAAAE/3b+w=")</f>
        <v>#REF!</v>
      </c>
      <c r="ID52" t="e">
        <f>AND(#REF!,"AAAAAE/3b+0=")</f>
        <v>#REF!</v>
      </c>
      <c r="IE52" t="e">
        <f>AND(#REF!,"AAAAAE/3b+4=")</f>
        <v>#REF!</v>
      </c>
      <c r="IF52" t="e">
        <f>AND(#REF!,"AAAAAE/3b+8=")</f>
        <v>#REF!</v>
      </c>
      <c r="IG52" t="e">
        <f>AND(#REF!,"AAAAAE/3b/A=")</f>
        <v>#REF!</v>
      </c>
      <c r="IH52" t="e">
        <f>AND(#REF!,"AAAAAE/3b/E=")</f>
        <v>#REF!</v>
      </c>
      <c r="II52" t="e">
        <f>AND(#REF!,"AAAAAE/3b/I=")</f>
        <v>#REF!</v>
      </c>
      <c r="IJ52" t="e">
        <f>AND(#REF!,"AAAAAE/3b/M=")</f>
        <v>#REF!</v>
      </c>
      <c r="IK52" t="e">
        <f>AND(#REF!,"AAAAAE/3b/Q=")</f>
        <v>#REF!</v>
      </c>
      <c r="IL52" t="e">
        <f>AND(#REF!,"AAAAAE/3b/U=")</f>
        <v>#REF!</v>
      </c>
      <c r="IM52" t="e">
        <f>AND(#REF!,"AAAAAE/3b/Y=")</f>
        <v>#REF!</v>
      </c>
      <c r="IN52" t="e">
        <f>AND(#REF!,"AAAAAE/3b/c=")</f>
        <v>#REF!</v>
      </c>
      <c r="IO52" t="e">
        <f>AND(#REF!,"AAAAAE/3b/g=")</f>
        <v>#REF!</v>
      </c>
      <c r="IP52" t="e">
        <f>AND(#REF!,"AAAAAE/3b/k=")</f>
        <v>#REF!</v>
      </c>
      <c r="IQ52" t="e">
        <f>AND(#REF!,"AAAAAE/3b/o=")</f>
        <v>#REF!</v>
      </c>
      <c r="IR52" t="e">
        <f>AND(#REF!,"AAAAAE/3b/s=")</f>
        <v>#REF!</v>
      </c>
      <c r="IS52" t="e">
        <f>AND(#REF!,"AAAAAE/3b/w=")</f>
        <v>#REF!</v>
      </c>
      <c r="IT52" t="e">
        <f>AND(#REF!,"AAAAAE/3b/0=")</f>
        <v>#REF!</v>
      </c>
      <c r="IU52" t="e">
        <f>AND(#REF!,"AAAAAE/3b/4=")</f>
        <v>#REF!</v>
      </c>
      <c r="IV52" t="e">
        <f>AND(#REF!,"AAAAAE/3b/8=")</f>
        <v>#REF!</v>
      </c>
    </row>
    <row r="53" spans="1:256" x14ac:dyDescent="0.25">
      <c r="A53" t="e">
        <f>AND(#REF!,"AAAAAHv31wA=")</f>
        <v>#REF!</v>
      </c>
      <c r="B53" t="e">
        <f>AND(#REF!,"AAAAAHv31wE=")</f>
        <v>#REF!</v>
      </c>
      <c r="C53" t="e">
        <f>AND(#REF!,"AAAAAHv31wI=")</f>
        <v>#REF!</v>
      </c>
      <c r="D53" t="e">
        <f>AND(#REF!,"AAAAAHv31wM=")</f>
        <v>#REF!</v>
      </c>
      <c r="E53" t="e">
        <f>AND(#REF!,"AAAAAHv31wQ=")</f>
        <v>#REF!</v>
      </c>
      <c r="F53" t="e">
        <f>AND(#REF!,"AAAAAHv31wU=")</f>
        <v>#REF!</v>
      </c>
      <c r="G53" t="e">
        <f>AND(#REF!,"AAAAAHv31wY=")</f>
        <v>#REF!</v>
      </c>
      <c r="H53" t="e">
        <f>AND(#REF!,"AAAAAHv31wc=")</f>
        <v>#REF!</v>
      </c>
      <c r="I53" t="e">
        <f>AND(#REF!,"AAAAAHv31wg=")</f>
        <v>#REF!</v>
      </c>
      <c r="J53" t="e">
        <f>AND(#REF!,"AAAAAHv31wk=")</f>
        <v>#REF!</v>
      </c>
      <c r="K53" t="e">
        <f>AND(#REF!,"AAAAAHv31wo=")</f>
        <v>#REF!</v>
      </c>
      <c r="L53" t="e">
        <f>AND(#REF!,"AAAAAHv31ws=")</f>
        <v>#REF!</v>
      </c>
      <c r="M53" t="e">
        <f>AND(#REF!,"AAAAAHv31ww=")</f>
        <v>#REF!</v>
      </c>
      <c r="N53" t="e">
        <f>AND(#REF!,"AAAAAHv31w0=")</f>
        <v>#REF!</v>
      </c>
      <c r="O53" t="e">
        <f>AND(#REF!,"AAAAAHv31w4=")</f>
        <v>#REF!</v>
      </c>
      <c r="P53" t="e">
        <f>AND(#REF!,"AAAAAHv31w8=")</f>
        <v>#REF!</v>
      </c>
      <c r="Q53" t="e">
        <f>AND(#REF!,"AAAAAHv31xA=")</f>
        <v>#REF!</v>
      </c>
      <c r="R53" t="e">
        <f>AND(#REF!,"AAAAAHv31xE=")</f>
        <v>#REF!</v>
      </c>
      <c r="S53" t="e">
        <f>AND(#REF!,"AAAAAHv31xI=")</f>
        <v>#REF!</v>
      </c>
      <c r="T53" t="e">
        <f>AND(#REF!,"AAAAAHv31xM=")</f>
        <v>#REF!</v>
      </c>
      <c r="U53" t="e">
        <f>IF(#REF!,"AAAAAHv31xQ=",0)</f>
        <v>#REF!</v>
      </c>
      <c r="V53" t="e">
        <f>AND(#REF!,"AAAAAHv31xU=")</f>
        <v>#REF!</v>
      </c>
      <c r="W53" t="e">
        <f>AND(#REF!,"AAAAAHv31xY=")</f>
        <v>#REF!</v>
      </c>
      <c r="X53" t="e">
        <f>AND(#REF!,"AAAAAHv31xc=")</f>
        <v>#REF!</v>
      </c>
      <c r="Y53" t="e">
        <f>AND(#REF!,"AAAAAHv31xg=")</f>
        <v>#REF!</v>
      </c>
      <c r="Z53" t="e">
        <f>AND(#REF!,"AAAAAHv31xk=")</f>
        <v>#REF!</v>
      </c>
      <c r="AA53" t="e">
        <f>AND(#REF!,"AAAAAHv31xo=")</f>
        <v>#REF!</v>
      </c>
      <c r="AB53" t="e">
        <f>AND(#REF!,"AAAAAHv31xs=")</f>
        <v>#REF!</v>
      </c>
      <c r="AC53" t="e">
        <f>AND(#REF!,"AAAAAHv31xw=")</f>
        <v>#REF!</v>
      </c>
      <c r="AD53" t="e">
        <f>AND(#REF!,"AAAAAHv31x0=")</f>
        <v>#REF!</v>
      </c>
      <c r="AE53" t="e">
        <f>AND(#REF!,"AAAAAHv31x4=")</f>
        <v>#REF!</v>
      </c>
      <c r="AF53" t="e">
        <f>AND(#REF!,"AAAAAHv31x8=")</f>
        <v>#REF!</v>
      </c>
      <c r="AG53" t="e">
        <f>AND(#REF!,"AAAAAHv31yA=")</f>
        <v>#REF!</v>
      </c>
      <c r="AH53" t="e">
        <f>AND(#REF!,"AAAAAHv31yE=")</f>
        <v>#REF!</v>
      </c>
      <c r="AI53" t="e">
        <f>AND(#REF!,"AAAAAHv31yI=")</f>
        <v>#REF!</v>
      </c>
      <c r="AJ53" t="e">
        <f>AND(#REF!,"AAAAAHv31yM=")</f>
        <v>#REF!</v>
      </c>
      <c r="AK53" t="e">
        <f>AND(#REF!,"AAAAAHv31yQ=")</f>
        <v>#REF!</v>
      </c>
      <c r="AL53" t="e">
        <f>AND(#REF!,"AAAAAHv31yU=")</f>
        <v>#REF!</v>
      </c>
      <c r="AM53" t="e">
        <f>AND(#REF!,"AAAAAHv31yY=")</f>
        <v>#REF!</v>
      </c>
      <c r="AN53" t="e">
        <f>AND(#REF!,"AAAAAHv31yc=")</f>
        <v>#REF!</v>
      </c>
      <c r="AO53" t="e">
        <f>AND(#REF!,"AAAAAHv31yg=")</f>
        <v>#REF!</v>
      </c>
      <c r="AP53" t="e">
        <f>AND(#REF!,"AAAAAHv31yk=")</f>
        <v>#REF!</v>
      </c>
      <c r="AQ53" t="e">
        <f>AND(#REF!,"AAAAAHv31yo=")</f>
        <v>#REF!</v>
      </c>
      <c r="AR53" t="e">
        <f>AND(#REF!,"AAAAAHv31ys=")</f>
        <v>#REF!</v>
      </c>
      <c r="AS53" t="e">
        <f>AND(#REF!,"AAAAAHv31yw=")</f>
        <v>#REF!</v>
      </c>
      <c r="AT53" t="e">
        <f>AND(#REF!,"AAAAAHv31y0=")</f>
        <v>#REF!</v>
      </c>
      <c r="AU53" t="e">
        <f>AND(#REF!,"AAAAAHv31y4=")</f>
        <v>#REF!</v>
      </c>
      <c r="AV53" t="e">
        <f>AND(#REF!,"AAAAAHv31y8=")</f>
        <v>#REF!</v>
      </c>
      <c r="AW53" t="e">
        <f>AND(#REF!,"AAAAAHv31zA=")</f>
        <v>#REF!</v>
      </c>
      <c r="AX53" t="e">
        <f>AND(#REF!,"AAAAAHv31zE=")</f>
        <v>#REF!</v>
      </c>
      <c r="AY53" t="e">
        <f>AND(#REF!,"AAAAAHv31zI=")</f>
        <v>#REF!</v>
      </c>
      <c r="AZ53" t="e">
        <f>AND(#REF!,"AAAAAHv31zM=")</f>
        <v>#REF!</v>
      </c>
      <c r="BA53" t="e">
        <f>AND(#REF!,"AAAAAHv31zQ=")</f>
        <v>#REF!</v>
      </c>
      <c r="BB53" t="e">
        <f>AND(#REF!,"AAAAAHv31zU=")</f>
        <v>#REF!</v>
      </c>
      <c r="BC53" t="e">
        <f>AND(#REF!,"AAAAAHv31zY=")</f>
        <v>#REF!</v>
      </c>
      <c r="BD53" t="e">
        <f>AND(#REF!,"AAAAAHv31zc=")</f>
        <v>#REF!</v>
      </c>
      <c r="BE53" t="e">
        <f>AND(#REF!,"AAAAAHv31zg=")</f>
        <v>#REF!</v>
      </c>
      <c r="BF53" t="e">
        <f>AND(#REF!,"AAAAAHv31zk=")</f>
        <v>#REF!</v>
      </c>
      <c r="BG53" t="e">
        <f>AND(#REF!,"AAAAAHv31zo=")</f>
        <v>#REF!</v>
      </c>
      <c r="BH53" t="e">
        <f>AND(#REF!,"AAAAAHv31zs=")</f>
        <v>#REF!</v>
      </c>
      <c r="BI53" t="e">
        <f>AND(#REF!,"AAAAAHv31zw=")</f>
        <v>#REF!</v>
      </c>
      <c r="BJ53" t="e">
        <f>AND(#REF!,"AAAAAHv31z0=")</f>
        <v>#REF!</v>
      </c>
      <c r="BK53" t="e">
        <f>AND(#REF!,"AAAAAHv31z4=")</f>
        <v>#REF!</v>
      </c>
      <c r="BL53" t="e">
        <f>AND(#REF!,"AAAAAHv31z8=")</f>
        <v>#REF!</v>
      </c>
      <c r="BM53" t="e">
        <f>IF(#REF!,"AAAAAHv310A=",0)</f>
        <v>#REF!</v>
      </c>
      <c r="BN53" t="e">
        <f>AND(#REF!,"AAAAAHv310E=")</f>
        <v>#REF!</v>
      </c>
      <c r="BO53" t="e">
        <f>AND(#REF!,"AAAAAHv310I=")</f>
        <v>#REF!</v>
      </c>
      <c r="BP53" t="e">
        <f>AND(#REF!,"AAAAAHv310M=")</f>
        <v>#REF!</v>
      </c>
      <c r="BQ53" t="e">
        <f>AND(#REF!,"AAAAAHv310Q=")</f>
        <v>#REF!</v>
      </c>
      <c r="BR53" t="e">
        <f>AND(#REF!,"AAAAAHv310U=")</f>
        <v>#REF!</v>
      </c>
      <c r="BS53" t="e">
        <f>AND(#REF!,"AAAAAHv310Y=")</f>
        <v>#REF!</v>
      </c>
      <c r="BT53" t="e">
        <f>AND(#REF!,"AAAAAHv310c=")</f>
        <v>#REF!</v>
      </c>
      <c r="BU53" t="e">
        <f>AND(#REF!,"AAAAAHv310g=")</f>
        <v>#REF!</v>
      </c>
      <c r="BV53" t="e">
        <f>AND(#REF!,"AAAAAHv310k=")</f>
        <v>#REF!</v>
      </c>
      <c r="BW53" t="e">
        <f>AND(#REF!,"AAAAAHv310o=")</f>
        <v>#REF!</v>
      </c>
      <c r="BX53" t="e">
        <f>AND(#REF!,"AAAAAHv310s=")</f>
        <v>#REF!</v>
      </c>
      <c r="BY53" t="e">
        <f>AND(#REF!,"AAAAAHv310w=")</f>
        <v>#REF!</v>
      </c>
      <c r="BZ53" t="e">
        <f>AND(#REF!,"AAAAAHv3100=")</f>
        <v>#REF!</v>
      </c>
      <c r="CA53" t="e">
        <f>AND(#REF!,"AAAAAHv3104=")</f>
        <v>#REF!</v>
      </c>
      <c r="CB53" t="e">
        <f>AND(#REF!,"AAAAAHv3108=")</f>
        <v>#REF!</v>
      </c>
      <c r="CC53" t="e">
        <f>AND(#REF!,"AAAAAHv311A=")</f>
        <v>#REF!</v>
      </c>
      <c r="CD53" t="e">
        <f>AND(#REF!,"AAAAAHv311E=")</f>
        <v>#REF!</v>
      </c>
      <c r="CE53" t="e">
        <f>AND(#REF!,"AAAAAHv311I=")</f>
        <v>#REF!</v>
      </c>
      <c r="CF53" t="e">
        <f>AND(#REF!,"AAAAAHv311M=")</f>
        <v>#REF!</v>
      </c>
      <c r="CG53" t="e">
        <f>AND(#REF!,"AAAAAHv311Q=")</f>
        <v>#REF!</v>
      </c>
      <c r="CH53" t="e">
        <f>AND(#REF!,"AAAAAHv311U=")</f>
        <v>#REF!</v>
      </c>
      <c r="CI53" t="e">
        <f>AND(#REF!,"AAAAAHv311Y=")</f>
        <v>#REF!</v>
      </c>
      <c r="CJ53" t="e">
        <f>AND(#REF!,"AAAAAHv311c=")</f>
        <v>#REF!</v>
      </c>
      <c r="CK53" t="e">
        <f>AND(#REF!,"AAAAAHv311g=")</f>
        <v>#REF!</v>
      </c>
      <c r="CL53" t="e">
        <f>AND(#REF!,"AAAAAHv311k=")</f>
        <v>#REF!</v>
      </c>
      <c r="CM53" t="e">
        <f>AND(#REF!,"AAAAAHv311o=")</f>
        <v>#REF!</v>
      </c>
      <c r="CN53" t="e">
        <f>AND(#REF!,"AAAAAHv311s=")</f>
        <v>#REF!</v>
      </c>
      <c r="CO53" t="e">
        <f>AND(#REF!,"AAAAAHv311w=")</f>
        <v>#REF!</v>
      </c>
      <c r="CP53" t="e">
        <f>AND(#REF!,"AAAAAHv3110=")</f>
        <v>#REF!</v>
      </c>
      <c r="CQ53" t="e">
        <f>AND(#REF!,"AAAAAHv3114=")</f>
        <v>#REF!</v>
      </c>
      <c r="CR53" t="e">
        <f>AND(#REF!,"AAAAAHv3118=")</f>
        <v>#REF!</v>
      </c>
      <c r="CS53" t="e">
        <f>AND(#REF!,"AAAAAHv312A=")</f>
        <v>#REF!</v>
      </c>
      <c r="CT53" t="e">
        <f>AND(#REF!,"AAAAAHv312E=")</f>
        <v>#REF!</v>
      </c>
      <c r="CU53" t="e">
        <f>AND(#REF!,"AAAAAHv312I=")</f>
        <v>#REF!</v>
      </c>
      <c r="CV53" t="e">
        <f>AND(#REF!,"AAAAAHv312M=")</f>
        <v>#REF!</v>
      </c>
      <c r="CW53" t="e">
        <f>AND(#REF!,"AAAAAHv312Q=")</f>
        <v>#REF!</v>
      </c>
      <c r="CX53" t="e">
        <f>AND(#REF!,"AAAAAHv312U=")</f>
        <v>#REF!</v>
      </c>
      <c r="CY53" t="e">
        <f>AND(#REF!,"AAAAAHv312Y=")</f>
        <v>#REF!</v>
      </c>
      <c r="CZ53" t="e">
        <f>AND(#REF!,"AAAAAHv312c=")</f>
        <v>#REF!</v>
      </c>
      <c r="DA53" t="e">
        <f>AND(#REF!,"AAAAAHv312g=")</f>
        <v>#REF!</v>
      </c>
      <c r="DB53" t="e">
        <f>AND(#REF!,"AAAAAHv312k=")</f>
        <v>#REF!</v>
      </c>
      <c r="DC53" t="e">
        <f>AND(#REF!,"AAAAAHv312o=")</f>
        <v>#REF!</v>
      </c>
      <c r="DD53" t="e">
        <f>AND(#REF!,"AAAAAHv312s=")</f>
        <v>#REF!</v>
      </c>
      <c r="DE53" t="e">
        <f>IF(#REF!,"AAAAAHv312w=",0)</f>
        <v>#REF!</v>
      </c>
      <c r="DF53" t="e">
        <f>AND(#REF!,"AAAAAHv3120=")</f>
        <v>#REF!</v>
      </c>
      <c r="DG53" t="e">
        <f>AND(#REF!,"AAAAAHv3124=")</f>
        <v>#REF!</v>
      </c>
      <c r="DH53" t="e">
        <f>AND(#REF!,"AAAAAHv3128=")</f>
        <v>#REF!</v>
      </c>
      <c r="DI53" t="e">
        <f>AND(#REF!,"AAAAAHv313A=")</f>
        <v>#REF!</v>
      </c>
      <c r="DJ53" t="e">
        <f>AND(#REF!,"AAAAAHv313E=")</f>
        <v>#REF!</v>
      </c>
      <c r="DK53" t="e">
        <f>AND(#REF!,"AAAAAHv313I=")</f>
        <v>#REF!</v>
      </c>
      <c r="DL53" t="e">
        <f>AND(#REF!,"AAAAAHv313M=")</f>
        <v>#REF!</v>
      </c>
      <c r="DM53" t="e">
        <f>AND(#REF!,"AAAAAHv313Q=")</f>
        <v>#REF!</v>
      </c>
      <c r="DN53" t="e">
        <f>AND(#REF!,"AAAAAHv313U=")</f>
        <v>#REF!</v>
      </c>
      <c r="DO53" t="e">
        <f>AND(#REF!,"AAAAAHv313Y=")</f>
        <v>#REF!</v>
      </c>
      <c r="DP53" t="e">
        <f>AND(#REF!,"AAAAAHv313c=")</f>
        <v>#REF!</v>
      </c>
      <c r="DQ53" t="e">
        <f>AND(#REF!,"AAAAAHv313g=")</f>
        <v>#REF!</v>
      </c>
      <c r="DR53" t="e">
        <f>AND(#REF!,"AAAAAHv313k=")</f>
        <v>#REF!</v>
      </c>
      <c r="DS53" t="e">
        <f>AND(#REF!,"AAAAAHv313o=")</f>
        <v>#REF!</v>
      </c>
      <c r="DT53" t="e">
        <f>AND(#REF!,"AAAAAHv313s=")</f>
        <v>#REF!</v>
      </c>
      <c r="DU53" t="e">
        <f>AND(#REF!,"AAAAAHv313w=")</f>
        <v>#REF!</v>
      </c>
      <c r="DV53" t="e">
        <f>AND(#REF!,"AAAAAHv3130=")</f>
        <v>#REF!</v>
      </c>
      <c r="DW53" t="e">
        <f>AND(#REF!,"AAAAAHv3134=")</f>
        <v>#REF!</v>
      </c>
      <c r="DX53" t="e">
        <f>AND(#REF!,"AAAAAHv3138=")</f>
        <v>#REF!</v>
      </c>
      <c r="DY53" t="e">
        <f>AND(#REF!,"AAAAAHv314A=")</f>
        <v>#REF!</v>
      </c>
      <c r="DZ53" t="e">
        <f>AND(#REF!,"AAAAAHv314E=")</f>
        <v>#REF!</v>
      </c>
      <c r="EA53" t="e">
        <f>AND(#REF!,"AAAAAHv314I=")</f>
        <v>#REF!</v>
      </c>
      <c r="EB53" t="e">
        <f>AND(#REF!,"AAAAAHv314M=")</f>
        <v>#REF!</v>
      </c>
      <c r="EC53" t="e">
        <f>AND(#REF!,"AAAAAHv314Q=")</f>
        <v>#REF!</v>
      </c>
      <c r="ED53" t="e">
        <f>AND(#REF!,"AAAAAHv314U=")</f>
        <v>#REF!</v>
      </c>
      <c r="EE53" t="e">
        <f>AND(#REF!,"AAAAAHv314Y=")</f>
        <v>#REF!</v>
      </c>
      <c r="EF53" t="e">
        <f>AND(#REF!,"AAAAAHv314c=")</f>
        <v>#REF!</v>
      </c>
      <c r="EG53" t="e">
        <f>AND(#REF!,"AAAAAHv314g=")</f>
        <v>#REF!</v>
      </c>
      <c r="EH53" t="e">
        <f>AND(#REF!,"AAAAAHv314k=")</f>
        <v>#REF!</v>
      </c>
      <c r="EI53" t="e">
        <f>AND(#REF!,"AAAAAHv314o=")</f>
        <v>#REF!</v>
      </c>
      <c r="EJ53" t="e">
        <f>AND(#REF!,"AAAAAHv314s=")</f>
        <v>#REF!</v>
      </c>
      <c r="EK53" t="e">
        <f>AND(#REF!,"AAAAAHv314w=")</f>
        <v>#REF!</v>
      </c>
      <c r="EL53" t="e">
        <f>AND(#REF!,"AAAAAHv3140=")</f>
        <v>#REF!</v>
      </c>
      <c r="EM53" t="e">
        <f>AND(#REF!,"AAAAAHv3144=")</f>
        <v>#REF!</v>
      </c>
      <c r="EN53" t="e">
        <f>AND(#REF!,"AAAAAHv3148=")</f>
        <v>#REF!</v>
      </c>
      <c r="EO53" t="e">
        <f>AND(#REF!,"AAAAAHv315A=")</f>
        <v>#REF!</v>
      </c>
      <c r="EP53" t="e">
        <f>AND(#REF!,"AAAAAHv315E=")</f>
        <v>#REF!</v>
      </c>
      <c r="EQ53" t="e">
        <f>AND(#REF!,"AAAAAHv315I=")</f>
        <v>#REF!</v>
      </c>
      <c r="ER53" t="e">
        <f>AND(#REF!,"AAAAAHv315M=")</f>
        <v>#REF!</v>
      </c>
      <c r="ES53" t="e">
        <f>AND(#REF!,"AAAAAHv315Q=")</f>
        <v>#REF!</v>
      </c>
      <c r="ET53" t="e">
        <f>AND(#REF!,"AAAAAHv315U=")</f>
        <v>#REF!</v>
      </c>
      <c r="EU53" t="e">
        <f>AND(#REF!,"AAAAAHv315Y=")</f>
        <v>#REF!</v>
      </c>
      <c r="EV53" t="e">
        <f>AND(#REF!,"AAAAAHv315c=")</f>
        <v>#REF!</v>
      </c>
      <c r="EW53" t="e">
        <f>IF(#REF!,"AAAAAHv315g=",0)</f>
        <v>#REF!</v>
      </c>
      <c r="EX53" t="e">
        <f>AND(#REF!,"AAAAAHv315k=")</f>
        <v>#REF!</v>
      </c>
      <c r="EY53" t="e">
        <f>AND(#REF!,"AAAAAHv315o=")</f>
        <v>#REF!</v>
      </c>
      <c r="EZ53" t="e">
        <f>AND(#REF!,"AAAAAHv315s=")</f>
        <v>#REF!</v>
      </c>
      <c r="FA53" t="e">
        <f>AND(#REF!,"AAAAAHv315w=")</f>
        <v>#REF!</v>
      </c>
      <c r="FB53" t="e">
        <f>AND(#REF!,"AAAAAHv3150=")</f>
        <v>#REF!</v>
      </c>
      <c r="FC53" t="e">
        <f>AND(#REF!,"AAAAAHv3154=")</f>
        <v>#REF!</v>
      </c>
      <c r="FD53" t="e">
        <f>AND(#REF!,"AAAAAHv3158=")</f>
        <v>#REF!</v>
      </c>
      <c r="FE53" t="e">
        <f>AND(#REF!,"AAAAAHv316A=")</f>
        <v>#REF!</v>
      </c>
      <c r="FF53" t="e">
        <f>AND(#REF!,"AAAAAHv316E=")</f>
        <v>#REF!</v>
      </c>
      <c r="FG53" t="e">
        <f>AND(#REF!,"AAAAAHv316I=")</f>
        <v>#REF!</v>
      </c>
      <c r="FH53" t="e">
        <f>AND(#REF!,"AAAAAHv316M=")</f>
        <v>#REF!</v>
      </c>
      <c r="FI53" t="e">
        <f>AND(#REF!,"AAAAAHv316Q=")</f>
        <v>#REF!</v>
      </c>
      <c r="FJ53" t="e">
        <f>AND(#REF!,"AAAAAHv316U=")</f>
        <v>#REF!</v>
      </c>
      <c r="FK53" t="e">
        <f>AND(#REF!,"AAAAAHv316Y=")</f>
        <v>#REF!</v>
      </c>
      <c r="FL53" t="e">
        <f>AND(#REF!,"AAAAAHv316c=")</f>
        <v>#REF!</v>
      </c>
      <c r="FM53" t="e">
        <f>AND(#REF!,"AAAAAHv316g=")</f>
        <v>#REF!</v>
      </c>
      <c r="FN53" t="e">
        <f>AND(#REF!,"AAAAAHv316k=")</f>
        <v>#REF!</v>
      </c>
      <c r="FO53" t="e">
        <f>AND(#REF!,"AAAAAHv316o=")</f>
        <v>#REF!</v>
      </c>
      <c r="FP53" t="e">
        <f>AND(#REF!,"AAAAAHv316s=")</f>
        <v>#REF!</v>
      </c>
      <c r="FQ53" t="e">
        <f>AND(#REF!,"AAAAAHv316w=")</f>
        <v>#REF!</v>
      </c>
      <c r="FR53" t="e">
        <f>AND(#REF!,"AAAAAHv3160=")</f>
        <v>#REF!</v>
      </c>
      <c r="FS53" t="e">
        <f>AND(#REF!,"AAAAAHv3164=")</f>
        <v>#REF!</v>
      </c>
      <c r="FT53" t="e">
        <f>AND(#REF!,"AAAAAHv3168=")</f>
        <v>#REF!</v>
      </c>
      <c r="FU53" t="e">
        <f>AND(#REF!,"AAAAAHv317A=")</f>
        <v>#REF!</v>
      </c>
      <c r="FV53" t="e">
        <f>AND(#REF!,"AAAAAHv317E=")</f>
        <v>#REF!</v>
      </c>
      <c r="FW53" t="e">
        <f>AND(#REF!,"AAAAAHv317I=")</f>
        <v>#REF!</v>
      </c>
      <c r="FX53" t="e">
        <f>AND(#REF!,"AAAAAHv317M=")</f>
        <v>#REF!</v>
      </c>
      <c r="FY53" t="e">
        <f>AND(#REF!,"AAAAAHv317Q=")</f>
        <v>#REF!</v>
      </c>
      <c r="FZ53" t="e">
        <f>AND(#REF!,"AAAAAHv317U=")</f>
        <v>#REF!</v>
      </c>
      <c r="GA53" t="e">
        <f>AND(#REF!,"AAAAAHv317Y=")</f>
        <v>#REF!</v>
      </c>
      <c r="GB53" t="e">
        <f>AND(#REF!,"AAAAAHv317c=")</f>
        <v>#REF!</v>
      </c>
      <c r="GC53" t="e">
        <f>AND(#REF!,"AAAAAHv317g=")</f>
        <v>#REF!</v>
      </c>
      <c r="GD53" t="e">
        <f>AND(#REF!,"AAAAAHv317k=")</f>
        <v>#REF!</v>
      </c>
      <c r="GE53" t="e">
        <f>AND(#REF!,"AAAAAHv317o=")</f>
        <v>#REF!</v>
      </c>
      <c r="GF53" t="e">
        <f>AND(#REF!,"AAAAAHv317s=")</f>
        <v>#REF!</v>
      </c>
      <c r="GG53" t="e">
        <f>AND(#REF!,"AAAAAHv317w=")</f>
        <v>#REF!</v>
      </c>
      <c r="GH53" t="e">
        <f>AND(#REF!,"AAAAAHv3170=")</f>
        <v>#REF!</v>
      </c>
      <c r="GI53" t="e">
        <f>AND(#REF!,"AAAAAHv3174=")</f>
        <v>#REF!</v>
      </c>
      <c r="GJ53" t="e">
        <f>AND(#REF!,"AAAAAHv3178=")</f>
        <v>#REF!</v>
      </c>
      <c r="GK53" t="e">
        <f>AND(#REF!,"AAAAAHv318A=")</f>
        <v>#REF!</v>
      </c>
      <c r="GL53" t="e">
        <f>AND(#REF!,"AAAAAHv318E=")</f>
        <v>#REF!</v>
      </c>
      <c r="GM53" t="e">
        <f>AND(#REF!,"AAAAAHv318I=")</f>
        <v>#REF!</v>
      </c>
      <c r="GN53" t="e">
        <f>AND(#REF!,"AAAAAHv318M=")</f>
        <v>#REF!</v>
      </c>
      <c r="GO53" t="e">
        <f>IF(#REF!,"AAAAAHv318Q=",0)</f>
        <v>#REF!</v>
      </c>
      <c r="GP53" t="e">
        <f>AND(#REF!,"AAAAAHv318U=")</f>
        <v>#REF!</v>
      </c>
      <c r="GQ53" t="e">
        <f>AND(#REF!,"AAAAAHv318Y=")</f>
        <v>#REF!</v>
      </c>
      <c r="GR53" t="e">
        <f>AND(#REF!,"AAAAAHv318c=")</f>
        <v>#REF!</v>
      </c>
      <c r="GS53" t="e">
        <f>AND(#REF!,"AAAAAHv318g=")</f>
        <v>#REF!</v>
      </c>
      <c r="GT53" t="e">
        <f>AND(#REF!,"AAAAAHv318k=")</f>
        <v>#REF!</v>
      </c>
      <c r="GU53" t="e">
        <f>AND(#REF!,"AAAAAHv318o=")</f>
        <v>#REF!</v>
      </c>
      <c r="GV53" t="e">
        <f>AND(#REF!,"AAAAAHv318s=")</f>
        <v>#REF!</v>
      </c>
      <c r="GW53" t="e">
        <f>AND(#REF!,"AAAAAHv318w=")</f>
        <v>#REF!</v>
      </c>
      <c r="GX53" t="e">
        <f>AND(#REF!,"AAAAAHv3180=")</f>
        <v>#REF!</v>
      </c>
      <c r="GY53" t="e">
        <f>AND(#REF!,"AAAAAHv3184=")</f>
        <v>#REF!</v>
      </c>
      <c r="GZ53" t="e">
        <f>AND(#REF!,"AAAAAHv3188=")</f>
        <v>#REF!</v>
      </c>
      <c r="HA53" t="e">
        <f>AND(#REF!,"AAAAAHv319A=")</f>
        <v>#REF!</v>
      </c>
      <c r="HB53" t="e">
        <f>AND(#REF!,"AAAAAHv319E=")</f>
        <v>#REF!</v>
      </c>
      <c r="HC53" t="e">
        <f>AND(#REF!,"AAAAAHv319I=")</f>
        <v>#REF!</v>
      </c>
      <c r="HD53" t="e">
        <f>AND(#REF!,"AAAAAHv319M=")</f>
        <v>#REF!</v>
      </c>
      <c r="HE53" t="e">
        <f>AND(#REF!,"AAAAAHv319Q=")</f>
        <v>#REF!</v>
      </c>
      <c r="HF53" t="e">
        <f>AND(#REF!,"AAAAAHv319U=")</f>
        <v>#REF!</v>
      </c>
      <c r="HG53" t="e">
        <f>AND(#REF!,"AAAAAHv319Y=")</f>
        <v>#REF!</v>
      </c>
      <c r="HH53" t="e">
        <f>AND(#REF!,"AAAAAHv319c=")</f>
        <v>#REF!</v>
      </c>
      <c r="HI53" t="e">
        <f>AND(#REF!,"AAAAAHv319g=")</f>
        <v>#REF!</v>
      </c>
      <c r="HJ53" t="e">
        <f>AND(#REF!,"AAAAAHv319k=")</f>
        <v>#REF!</v>
      </c>
      <c r="HK53" t="e">
        <f>AND(#REF!,"AAAAAHv319o=")</f>
        <v>#REF!</v>
      </c>
      <c r="HL53" t="e">
        <f>AND(#REF!,"AAAAAHv319s=")</f>
        <v>#REF!</v>
      </c>
      <c r="HM53" t="e">
        <f>AND(#REF!,"AAAAAHv319w=")</f>
        <v>#REF!</v>
      </c>
      <c r="HN53" t="e">
        <f>AND(#REF!,"AAAAAHv3190=")</f>
        <v>#REF!</v>
      </c>
      <c r="HO53" t="e">
        <f>AND(#REF!,"AAAAAHv3194=")</f>
        <v>#REF!</v>
      </c>
      <c r="HP53" t="e">
        <f>AND(#REF!,"AAAAAHv3198=")</f>
        <v>#REF!</v>
      </c>
      <c r="HQ53" t="e">
        <f>AND(#REF!,"AAAAAHv31+A=")</f>
        <v>#REF!</v>
      </c>
      <c r="HR53" t="e">
        <f>AND(#REF!,"AAAAAHv31+E=")</f>
        <v>#REF!</v>
      </c>
      <c r="HS53" t="e">
        <f>AND(#REF!,"AAAAAHv31+I=")</f>
        <v>#REF!</v>
      </c>
      <c r="HT53" t="e">
        <f>AND(#REF!,"AAAAAHv31+M=")</f>
        <v>#REF!</v>
      </c>
      <c r="HU53" t="e">
        <f>AND(#REF!,"AAAAAHv31+Q=")</f>
        <v>#REF!</v>
      </c>
      <c r="HV53" t="e">
        <f>AND(#REF!,"AAAAAHv31+U=")</f>
        <v>#REF!</v>
      </c>
      <c r="HW53" t="e">
        <f>AND(#REF!,"AAAAAHv31+Y=")</f>
        <v>#REF!</v>
      </c>
      <c r="HX53" t="e">
        <f>AND(#REF!,"AAAAAHv31+c=")</f>
        <v>#REF!</v>
      </c>
      <c r="HY53" t="e">
        <f>AND(#REF!,"AAAAAHv31+g=")</f>
        <v>#REF!</v>
      </c>
      <c r="HZ53" t="e">
        <f>AND(#REF!,"AAAAAHv31+k=")</f>
        <v>#REF!</v>
      </c>
      <c r="IA53" t="e">
        <f>AND(#REF!,"AAAAAHv31+o=")</f>
        <v>#REF!</v>
      </c>
      <c r="IB53" t="e">
        <f>AND(#REF!,"AAAAAHv31+s=")</f>
        <v>#REF!</v>
      </c>
      <c r="IC53" t="e">
        <f>AND(#REF!,"AAAAAHv31+w=")</f>
        <v>#REF!</v>
      </c>
      <c r="ID53" t="e">
        <f>AND(#REF!,"AAAAAHv31+0=")</f>
        <v>#REF!</v>
      </c>
      <c r="IE53" t="e">
        <f>AND(#REF!,"AAAAAHv31+4=")</f>
        <v>#REF!</v>
      </c>
      <c r="IF53" t="e">
        <f>AND(#REF!,"AAAAAHv31+8=")</f>
        <v>#REF!</v>
      </c>
      <c r="IG53" t="e">
        <f>IF(#REF!,"AAAAAHv31/A=",0)</f>
        <v>#REF!</v>
      </c>
      <c r="IH53" t="e">
        <f>AND(#REF!,"AAAAAHv31/E=")</f>
        <v>#REF!</v>
      </c>
      <c r="II53" t="e">
        <f>AND(#REF!,"AAAAAHv31/I=")</f>
        <v>#REF!</v>
      </c>
      <c r="IJ53" t="e">
        <f>AND(#REF!,"AAAAAHv31/M=")</f>
        <v>#REF!</v>
      </c>
      <c r="IK53" t="e">
        <f>AND(#REF!,"AAAAAHv31/Q=")</f>
        <v>#REF!</v>
      </c>
      <c r="IL53" t="e">
        <f>AND(#REF!,"AAAAAHv31/U=")</f>
        <v>#REF!</v>
      </c>
      <c r="IM53" t="e">
        <f>AND(#REF!,"AAAAAHv31/Y=")</f>
        <v>#REF!</v>
      </c>
      <c r="IN53" t="e">
        <f>AND(#REF!,"AAAAAHv31/c=")</f>
        <v>#REF!</v>
      </c>
      <c r="IO53" t="e">
        <f>AND(#REF!,"AAAAAHv31/g=")</f>
        <v>#REF!</v>
      </c>
      <c r="IP53" t="e">
        <f>AND(#REF!,"AAAAAHv31/k=")</f>
        <v>#REF!</v>
      </c>
      <c r="IQ53" t="e">
        <f>AND(#REF!,"AAAAAHv31/o=")</f>
        <v>#REF!</v>
      </c>
      <c r="IR53" t="e">
        <f>AND(#REF!,"AAAAAHv31/s=")</f>
        <v>#REF!</v>
      </c>
      <c r="IS53" t="e">
        <f>AND(#REF!,"AAAAAHv31/w=")</f>
        <v>#REF!</v>
      </c>
      <c r="IT53" t="e">
        <f>AND(#REF!,"AAAAAHv31/0=")</f>
        <v>#REF!</v>
      </c>
      <c r="IU53" t="e">
        <f>AND(#REF!,"AAAAAHv31/4=")</f>
        <v>#REF!</v>
      </c>
      <c r="IV53" t="e">
        <f>AND(#REF!,"AAAAAHv31/8=")</f>
        <v>#REF!</v>
      </c>
    </row>
    <row r="54" spans="1:256" x14ac:dyDescent="0.25">
      <c r="A54" t="e">
        <f>AND(#REF!,"AAAAAA/TywA=")</f>
        <v>#REF!</v>
      </c>
      <c r="B54" t="e">
        <f>AND(#REF!,"AAAAAA/TywE=")</f>
        <v>#REF!</v>
      </c>
      <c r="C54" t="e">
        <f>AND(#REF!,"AAAAAA/TywI=")</f>
        <v>#REF!</v>
      </c>
      <c r="D54" t="e">
        <f>AND(#REF!,"AAAAAA/TywM=")</f>
        <v>#REF!</v>
      </c>
      <c r="E54" t="e">
        <f>AND(#REF!,"AAAAAA/TywQ=")</f>
        <v>#REF!</v>
      </c>
      <c r="F54" t="e">
        <f>AND(#REF!,"AAAAAA/TywU=")</f>
        <v>#REF!</v>
      </c>
      <c r="G54" t="e">
        <f>AND(#REF!,"AAAAAA/TywY=")</f>
        <v>#REF!</v>
      </c>
      <c r="H54" t="e">
        <f>AND(#REF!,"AAAAAA/Tywc=")</f>
        <v>#REF!</v>
      </c>
      <c r="I54" t="e">
        <f>AND(#REF!,"AAAAAA/Tywg=")</f>
        <v>#REF!</v>
      </c>
      <c r="J54" t="e">
        <f>AND(#REF!,"AAAAAA/Tywk=")</f>
        <v>#REF!</v>
      </c>
      <c r="K54" t="e">
        <f>AND(#REF!,"AAAAAA/Tywo=")</f>
        <v>#REF!</v>
      </c>
      <c r="L54" t="e">
        <f>AND(#REF!,"AAAAAA/Tyws=")</f>
        <v>#REF!</v>
      </c>
      <c r="M54" t="e">
        <f>AND(#REF!,"AAAAAA/Tyww=")</f>
        <v>#REF!</v>
      </c>
      <c r="N54" t="e">
        <f>AND(#REF!,"AAAAAA/Tyw0=")</f>
        <v>#REF!</v>
      </c>
      <c r="O54" t="e">
        <f>AND(#REF!,"AAAAAA/Tyw4=")</f>
        <v>#REF!</v>
      </c>
      <c r="P54" t="e">
        <f>AND(#REF!,"AAAAAA/Tyw8=")</f>
        <v>#REF!</v>
      </c>
      <c r="Q54" t="e">
        <f>AND(#REF!,"AAAAAA/TyxA=")</f>
        <v>#REF!</v>
      </c>
      <c r="R54" t="e">
        <f>AND(#REF!,"AAAAAA/TyxE=")</f>
        <v>#REF!</v>
      </c>
      <c r="S54" t="e">
        <f>AND(#REF!,"AAAAAA/TyxI=")</f>
        <v>#REF!</v>
      </c>
      <c r="T54" t="e">
        <f>AND(#REF!,"AAAAAA/TyxM=")</f>
        <v>#REF!</v>
      </c>
      <c r="U54" t="e">
        <f>AND(#REF!,"AAAAAA/TyxQ=")</f>
        <v>#REF!</v>
      </c>
      <c r="V54" t="e">
        <f>AND(#REF!,"AAAAAA/TyxU=")</f>
        <v>#REF!</v>
      </c>
      <c r="W54" t="e">
        <f>AND(#REF!,"AAAAAA/TyxY=")</f>
        <v>#REF!</v>
      </c>
      <c r="X54" t="e">
        <f>AND(#REF!,"AAAAAA/Tyxc=")</f>
        <v>#REF!</v>
      </c>
      <c r="Y54" t="e">
        <f>AND(#REF!,"AAAAAA/Tyxg=")</f>
        <v>#REF!</v>
      </c>
      <c r="Z54" t="e">
        <f>AND(#REF!,"AAAAAA/Tyxk=")</f>
        <v>#REF!</v>
      </c>
      <c r="AA54" t="e">
        <f>AND(#REF!,"AAAAAA/Tyxo=")</f>
        <v>#REF!</v>
      </c>
      <c r="AB54" t="e">
        <f>AND(#REF!,"AAAAAA/Tyxs=")</f>
        <v>#REF!</v>
      </c>
      <c r="AC54" t="e">
        <f>IF(#REF!,"AAAAAA/Tyxw=",0)</f>
        <v>#REF!</v>
      </c>
      <c r="AD54" t="e">
        <f>AND(#REF!,"AAAAAA/Tyx0=")</f>
        <v>#REF!</v>
      </c>
      <c r="AE54" t="e">
        <f>AND(#REF!,"AAAAAA/Tyx4=")</f>
        <v>#REF!</v>
      </c>
      <c r="AF54" t="e">
        <f>AND(#REF!,"AAAAAA/Tyx8=")</f>
        <v>#REF!</v>
      </c>
      <c r="AG54" t="e">
        <f>AND(#REF!,"AAAAAA/TyyA=")</f>
        <v>#REF!</v>
      </c>
      <c r="AH54" t="e">
        <f>AND(#REF!,"AAAAAA/TyyE=")</f>
        <v>#REF!</v>
      </c>
      <c r="AI54" t="e">
        <f>AND(#REF!,"AAAAAA/TyyI=")</f>
        <v>#REF!</v>
      </c>
      <c r="AJ54" t="e">
        <f>AND(#REF!,"AAAAAA/TyyM=")</f>
        <v>#REF!</v>
      </c>
      <c r="AK54" t="e">
        <f>AND(#REF!,"AAAAAA/TyyQ=")</f>
        <v>#REF!</v>
      </c>
      <c r="AL54" t="e">
        <f>AND(#REF!,"AAAAAA/TyyU=")</f>
        <v>#REF!</v>
      </c>
      <c r="AM54" t="e">
        <f>AND(#REF!,"AAAAAA/TyyY=")</f>
        <v>#REF!</v>
      </c>
      <c r="AN54" t="e">
        <f>AND(#REF!,"AAAAAA/Tyyc=")</f>
        <v>#REF!</v>
      </c>
      <c r="AO54" t="e">
        <f>AND(#REF!,"AAAAAA/Tyyg=")</f>
        <v>#REF!</v>
      </c>
      <c r="AP54" t="e">
        <f>AND(#REF!,"AAAAAA/Tyyk=")</f>
        <v>#REF!</v>
      </c>
      <c r="AQ54" t="e">
        <f>AND(#REF!,"AAAAAA/Tyyo=")</f>
        <v>#REF!</v>
      </c>
      <c r="AR54" t="e">
        <f>AND(#REF!,"AAAAAA/Tyys=")</f>
        <v>#REF!</v>
      </c>
      <c r="AS54" t="e">
        <f>AND(#REF!,"AAAAAA/Tyyw=")</f>
        <v>#REF!</v>
      </c>
      <c r="AT54" t="e">
        <f>AND(#REF!,"AAAAAA/Tyy0=")</f>
        <v>#REF!</v>
      </c>
      <c r="AU54" t="e">
        <f>AND(#REF!,"AAAAAA/Tyy4=")</f>
        <v>#REF!</v>
      </c>
      <c r="AV54" t="e">
        <f>AND(#REF!,"AAAAAA/Tyy8=")</f>
        <v>#REF!</v>
      </c>
      <c r="AW54" t="e">
        <f>AND(#REF!,"AAAAAA/TyzA=")</f>
        <v>#REF!</v>
      </c>
      <c r="AX54" t="e">
        <f>AND(#REF!,"AAAAAA/TyzE=")</f>
        <v>#REF!</v>
      </c>
      <c r="AY54" t="e">
        <f>AND(#REF!,"AAAAAA/TyzI=")</f>
        <v>#REF!</v>
      </c>
      <c r="AZ54" t="e">
        <f>AND(#REF!,"AAAAAA/TyzM=")</f>
        <v>#REF!</v>
      </c>
      <c r="BA54" t="e">
        <f>AND(#REF!,"AAAAAA/TyzQ=")</f>
        <v>#REF!</v>
      </c>
      <c r="BB54" t="e">
        <f>AND(#REF!,"AAAAAA/TyzU=")</f>
        <v>#REF!</v>
      </c>
      <c r="BC54" t="e">
        <f>AND(#REF!,"AAAAAA/TyzY=")</f>
        <v>#REF!</v>
      </c>
      <c r="BD54" t="e">
        <f>AND(#REF!,"AAAAAA/Tyzc=")</f>
        <v>#REF!</v>
      </c>
      <c r="BE54" t="e">
        <f>AND(#REF!,"AAAAAA/Tyzg=")</f>
        <v>#REF!</v>
      </c>
      <c r="BF54" t="e">
        <f>AND(#REF!,"AAAAAA/Tyzk=")</f>
        <v>#REF!</v>
      </c>
      <c r="BG54" t="e">
        <f>AND(#REF!,"AAAAAA/Tyzo=")</f>
        <v>#REF!</v>
      </c>
      <c r="BH54" t="e">
        <f>AND(#REF!,"AAAAAA/Tyzs=")</f>
        <v>#REF!</v>
      </c>
      <c r="BI54" t="e">
        <f>AND(#REF!,"AAAAAA/Tyzw=")</f>
        <v>#REF!</v>
      </c>
      <c r="BJ54" t="e">
        <f>AND(#REF!,"AAAAAA/Tyz0=")</f>
        <v>#REF!</v>
      </c>
      <c r="BK54" t="e">
        <f>AND(#REF!,"AAAAAA/Tyz4=")</f>
        <v>#REF!</v>
      </c>
      <c r="BL54" t="e">
        <f>AND(#REF!,"AAAAAA/Tyz8=")</f>
        <v>#REF!</v>
      </c>
      <c r="BM54" t="e">
        <f>AND(#REF!,"AAAAAA/Ty0A=")</f>
        <v>#REF!</v>
      </c>
      <c r="BN54" t="e">
        <f>AND(#REF!,"AAAAAA/Ty0E=")</f>
        <v>#REF!</v>
      </c>
      <c r="BO54" t="e">
        <f>AND(#REF!,"AAAAAA/Ty0I=")</f>
        <v>#REF!</v>
      </c>
      <c r="BP54" t="e">
        <f>AND(#REF!,"AAAAAA/Ty0M=")</f>
        <v>#REF!</v>
      </c>
      <c r="BQ54" t="e">
        <f>AND(#REF!,"AAAAAA/Ty0Q=")</f>
        <v>#REF!</v>
      </c>
      <c r="BR54" t="e">
        <f>AND(#REF!,"AAAAAA/Ty0U=")</f>
        <v>#REF!</v>
      </c>
      <c r="BS54" t="e">
        <f>AND(#REF!,"AAAAAA/Ty0Y=")</f>
        <v>#REF!</v>
      </c>
      <c r="BT54" t="e">
        <f>AND(#REF!,"AAAAAA/Ty0c=")</f>
        <v>#REF!</v>
      </c>
      <c r="BU54" t="e">
        <f>IF(#REF!,"AAAAAA/Ty0g=",0)</f>
        <v>#REF!</v>
      </c>
      <c r="BV54" t="e">
        <f>AND(#REF!,"AAAAAA/Ty0k=")</f>
        <v>#REF!</v>
      </c>
      <c r="BW54" t="e">
        <f>AND(#REF!,"AAAAAA/Ty0o=")</f>
        <v>#REF!</v>
      </c>
      <c r="BX54" t="e">
        <f>AND(#REF!,"AAAAAA/Ty0s=")</f>
        <v>#REF!</v>
      </c>
      <c r="BY54" t="e">
        <f>AND(#REF!,"AAAAAA/Ty0w=")</f>
        <v>#REF!</v>
      </c>
      <c r="BZ54" t="e">
        <f>AND(#REF!,"AAAAAA/Ty00=")</f>
        <v>#REF!</v>
      </c>
      <c r="CA54" t="e">
        <f>AND(#REF!,"AAAAAA/Ty04=")</f>
        <v>#REF!</v>
      </c>
      <c r="CB54" t="e">
        <f>AND(#REF!,"AAAAAA/Ty08=")</f>
        <v>#REF!</v>
      </c>
      <c r="CC54" t="e">
        <f>AND(#REF!,"AAAAAA/Ty1A=")</f>
        <v>#REF!</v>
      </c>
      <c r="CD54" t="e">
        <f>AND(#REF!,"AAAAAA/Ty1E=")</f>
        <v>#REF!</v>
      </c>
      <c r="CE54" t="e">
        <f>AND(#REF!,"AAAAAA/Ty1I=")</f>
        <v>#REF!</v>
      </c>
      <c r="CF54" t="e">
        <f>AND(#REF!,"AAAAAA/Ty1M=")</f>
        <v>#REF!</v>
      </c>
      <c r="CG54" t="e">
        <f>AND(#REF!,"AAAAAA/Ty1Q=")</f>
        <v>#REF!</v>
      </c>
      <c r="CH54" t="e">
        <f>AND(#REF!,"AAAAAA/Ty1U=")</f>
        <v>#REF!</v>
      </c>
      <c r="CI54" t="e">
        <f>AND(#REF!,"AAAAAA/Ty1Y=")</f>
        <v>#REF!</v>
      </c>
      <c r="CJ54" t="e">
        <f>AND(#REF!,"AAAAAA/Ty1c=")</f>
        <v>#REF!</v>
      </c>
      <c r="CK54" t="e">
        <f>AND(#REF!,"AAAAAA/Ty1g=")</f>
        <v>#REF!</v>
      </c>
      <c r="CL54" t="e">
        <f>AND(#REF!,"AAAAAA/Ty1k=")</f>
        <v>#REF!</v>
      </c>
      <c r="CM54" t="e">
        <f>AND(#REF!,"AAAAAA/Ty1o=")</f>
        <v>#REF!</v>
      </c>
      <c r="CN54" t="e">
        <f>AND(#REF!,"AAAAAA/Ty1s=")</f>
        <v>#REF!</v>
      </c>
      <c r="CO54" t="e">
        <f>AND(#REF!,"AAAAAA/Ty1w=")</f>
        <v>#REF!</v>
      </c>
      <c r="CP54" t="e">
        <f>AND(#REF!,"AAAAAA/Ty10=")</f>
        <v>#REF!</v>
      </c>
      <c r="CQ54" t="e">
        <f>AND(#REF!,"AAAAAA/Ty14=")</f>
        <v>#REF!</v>
      </c>
      <c r="CR54" t="e">
        <f>AND(#REF!,"AAAAAA/Ty18=")</f>
        <v>#REF!</v>
      </c>
      <c r="CS54" t="e">
        <f>AND(#REF!,"AAAAAA/Ty2A=")</f>
        <v>#REF!</v>
      </c>
      <c r="CT54" t="e">
        <f>AND(#REF!,"AAAAAA/Ty2E=")</f>
        <v>#REF!</v>
      </c>
      <c r="CU54" t="e">
        <f>AND(#REF!,"AAAAAA/Ty2I=")</f>
        <v>#REF!</v>
      </c>
      <c r="CV54" t="e">
        <f>AND(#REF!,"AAAAAA/Ty2M=")</f>
        <v>#REF!</v>
      </c>
      <c r="CW54" t="e">
        <f>AND(#REF!,"AAAAAA/Ty2Q=")</f>
        <v>#REF!</v>
      </c>
      <c r="CX54" t="e">
        <f>AND(#REF!,"AAAAAA/Ty2U=")</f>
        <v>#REF!</v>
      </c>
      <c r="CY54" t="e">
        <f>AND(#REF!,"AAAAAA/Ty2Y=")</f>
        <v>#REF!</v>
      </c>
      <c r="CZ54" t="e">
        <f>AND(#REF!,"AAAAAA/Ty2c=")</f>
        <v>#REF!</v>
      </c>
      <c r="DA54" t="e">
        <f>AND(#REF!,"AAAAAA/Ty2g=")</f>
        <v>#REF!</v>
      </c>
      <c r="DB54" t="e">
        <f>AND(#REF!,"AAAAAA/Ty2k=")</f>
        <v>#REF!</v>
      </c>
      <c r="DC54" t="e">
        <f>AND(#REF!,"AAAAAA/Ty2o=")</f>
        <v>#REF!</v>
      </c>
      <c r="DD54" t="e">
        <f>AND(#REF!,"AAAAAA/Ty2s=")</f>
        <v>#REF!</v>
      </c>
      <c r="DE54" t="e">
        <f>AND(#REF!,"AAAAAA/Ty2w=")</f>
        <v>#REF!</v>
      </c>
      <c r="DF54" t="e">
        <f>AND(#REF!,"AAAAAA/Ty20=")</f>
        <v>#REF!</v>
      </c>
      <c r="DG54" t="e">
        <f>AND(#REF!,"AAAAAA/Ty24=")</f>
        <v>#REF!</v>
      </c>
      <c r="DH54" t="e">
        <f>AND(#REF!,"AAAAAA/Ty28=")</f>
        <v>#REF!</v>
      </c>
      <c r="DI54" t="e">
        <f>AND(#REF!,"AAAAAA/Ty3A=")</f>
        <v>#REF!</v>
      </c>
      <c r="DJ54" t="e">
        <f>AND(#REF!,"AAAAAA/Ty3E=")</f>
        <v>#REF!</v>
      </c>
      <c r="DK54" t="e">
        <f>AND(#REF!,"AAAAAA/Ty3I=")</f>
        <v>#REF!</v>
      </c>
      <c r="DL54" t="e">
        <f>AND(#REF!,"AAAAAA/Ty3M=")</f>
        <v>#REF!</v>
      </c>
      <c r="DM54" t="e">
        <f>IF(#REF!,"AAAAAA/Ty3Q=",0)</f>
        <v>#REF!</v>
      </c>
      <c r="DN54" t="e">
        <f>AND(#REF!,"AAAAAA/Ty3U=")</f>
        <v>#REF!</v>
      </c>
      <c r="DO54" t="e">
        <f>AND(#REF!,"AAAAAA/Ty3Y=")</f>
        <v>#REF!</v>
      </c>
      <c r="DP54" t="e">
        <f>AND(#REF!,"AAAAAA/Ty3c=")</f>
        <v>#REF!</v>
      </c>
      <c r="DQ54" t="e">
        <f>AND(#REF!,"AAAAAA/Ty3g=")</f>
        <v>#REF!</v>
      </c>
      <c r="DR54" t="e">
        <f>AND(#REF!,"AAAAAA/Ty3k=")</f>
        <v>#REF!</v>
      </c>
      <c r="DS54" t="e">
        <f>AND(#REF!,"AAAAAA/Ty3o=")</f>
        <v>#REF!</v>
      </c>
      <c r="DT54" t="e">
        <f>AND(#REF!,"AAAAAA/Ty3s=")</f>
        <v>#REF!</v>
      </c>
      <c r="DU54" t="e">
        <f>AND(#REF!,"AAAAAA/Ty3w=")</f>
        <v>#REF!</v>
      </c>
      <c r="DV54" t="e">
        <f>AND(#REF!,"AAAAAA/Ty30=")</f>
        <v>#REF!</v>
      </c>
      <c r="DW54" t="e">
        <f>AND(#REF!,"AAAAAA/Ty34=")</f>
        <v>#REF!</v>
      </c>
      <c r="DX54" t="e">
        <f>AND(#REF!,"AAAAAA/Ty38=")</f>
        <v>#REF!</v>
      </c>
      <c r="DY54" t="e">
        <f>AND(#REF!,"AAAAAA/Ty4A=")</f>
        <v>#REF!</v>
      </c>
      <c r="DZ54" t="e">
        <f>AND(#REF!,"AAAAAA/Ty4E=")</f>
        <v>#REF!</v>
      </c>
      <c r="EA54" t="e">
        <f>AND(#REF!,"AAAAAA/Ty4I=")</f>
        <v>#REF!</v>
      </c>
      <c r="EB54" t="e">
        <f>AND(#REF!,"AAAAAA/Ty4M=")</f>
        <v>#REF!</v>
      </c>
      <c r="EC54" t="e">
        <f>AND(#REF!,"AAAAAA/Ty4Q=")</f>
        <v>#REF!</v>
      </c>
      <c r="ED54" t="e">
        <f>AND(#REF!,"AAAAAA/Ty4U=")</f>
        <v>#REF!</v>
      </c>
      <c r="EE54" t="e">
        <f>AND(#REF!,"AAAAAA/Ty4Y=")</f>
        <v>#REF!</v>
      </c>
      <c r="EF54" t="e">
        <f>AND(#REF!,"AAAAAA/Ty4c=")</f>
        <v>#REF!</v>
      </c>
      <c r="EG54" t="e">
        <f>AND(#REF!,"AAAAAA/Ty4g=")</f>
        <v>#REF!</v>
      </c>
      <c r="EH54" t="e">
        <f>AND(#REF!,"AAAAAA/Ty4k=")</f>
        <v>#REF!</v>
      </c>
      <c r="EI54" t="e">
        <f>AND(#REF!,"AAAAAA/Ty4o=")</f>
        <v>#REF!</v>
      </c>
      <c r="EJ54" t="e">
        <f>AND(#REF!,"AAAAAA/Ty4s=")</f>
        <v>#REF!</v>
      </c>
      <c r="EK54" t="e">
        <f>AND(#REF!,"AAAAAA/Ty4w=")</f>
        <v>#REF!</v>
      </c>
      <c r="EL54" t="e">
        <f>AND(#REF!,"AAAAAA/Ty40=")</f>
        <v>#REF!</v>
      </c>
      <c r="EM54" t="e">
        <f>AND(#REF!,"AAAAAA/Ty44=")</f>
        <v>#REF!</v>
      </c>
      <c r="EN54" t="e">
        <f>AND(#REF!,"AAAAAA/Ty48=")</f>
        <v>#REF!</v>
      </c>
      <c r="EO54" t="e">
        <f>AND(#REF!,"AAAAAA/Ty5A=")</f>
        <v>#REF!</v>
      </c>
      <c r="EP54" t="e">
        <f>AND(#REF!,"AAAAAA/Ty5E=")</f>
        <v>#REF!</v>
      </c>
      <c r="EQ54" t="e">
        <f>AND(#REF!,"AAAAAA/Ty5I=")</f>
        <v>#REF!</v>
      </c>
      <c r="ER54" t="e">
        <f>AND(#REF!,"AAAAAA/Ty5M=")</f>
        <v>#REF!</v>
      </c>
      <c r="ES54" t="e">
        <f>AND(#REF!,"AAAAAA/Ty5Q=")</f>
        <v>#REF!</v>
      </c>
      <c r="ET54" t="e">
        <f>AND(#REF!,"AAAAAA/Ty5U=")</f>
        <v>#REF!</v>
      </c>
      <c r="EU54" t="e">
        <f>AND(#REF!,"AAAAAA/Ty5Y=")</f>
        <v>#REF!</v>
      </c>
      <c r="EV54" t="e">
        <f>AND(#REF!,"AAAAAA/Ty5c=")</f>
        <v>#REF!</v>
      </c>
      <c r="EW54" t="e">
        <f>AND(#REF!,"AAAAAA/Ty5g=")</f>
        <v>#REF!</v>
      </c>
      <c r="EX54" t="e">
        <f>AND(#REF!,"AAAAAA/Ty5k=")</f>
        <v>#REF!</v>
      </c>
      <c r="EY54" t="e">
        <f>AND(#REF!,"AAAAAA/Ty5o=")</f>
        <v>#REF!</v>
      </c>
      <c r="EZ54" t="e">
        <f>AND(#REF!,"AAAAAA/Ty5s=")</f>
        <v>#REF!</v>
      </c>
      <c r="FA54" t="e">
        <f>AND(#REF!,"AAAAAA/Ty5w=")</f>
        <v>#REF!</v>
      </c>
      <c r="FB54" t="e">
        <f>AND(#REF!,"AAAAAA/Ty50=")</f>
        <v>#REF!</v>
      </c>
      <c r="FC54" t="e">
        <f>AND(#REF!,"AAAAAA/Ty54=")</f>
        <v>#REF!</v>
      </c>
      <c r="FD54" t="e">
        <f>AND(#REF!,"AAAAAA/Ty58=")</f>
        <v>#REF!</v>
      </c>
      <c r="FE54" t="e">
        <f>IF(#REF!,"AAAAAA/Ty6A=",0)</f>
        <v>#REF!</v>
      </c>
      <c r="FF54" t="e">
        <f>AND(#REF!,"AAAAAA/Ty6E=")</f>
        <v>#REF!</v>
      </c>
      <c r="FG54" t="e">
        <f>AND(#REF!,"AAAAAA/Ty6I=")</f>
        <v>#REF!</v>
      </c>
      <c r="FH54" t="e">
        <f>AND(#REF!,"AAAAAA/Ty6M=")</f>
        <v>#REF!</v>
      </c>
      <c r="FI54" t="e">
        <f>AND(#REF!,"AAAAAA/Ty6Q=")</f>
        <v>#REF!</v>
      </c>
      <c r="FJ54" t="e">
        <f>AND(#REF!,"AAAAAA/Ty6U=")</f>
        <v>#REF!</v>
      </c>
      <c r="FK54" t="e">
        <f>AND(#REF!,"AAAAAA/Ty6Y=")</f>
        <v>#REF!</v>
      </c>
      <c r="FL54" t="e">
        <f>AND(#REF!,"AAAAAA/Ty6c=")</f>
        <v>#REF!</v>
      </c>
      <c r="FM54" t="e">
        <f>AND(#REF!,"AAAAAA/Ty6g=")</f>
        <v>#REF!</v>
      </c>
      <c r="FN54" t="e">
        <f>AND(#REF!,"AAAAAA/Ty6k=")</f>
        <v>#REF!</v>
      </c>
      <c r="FO54" t="e">
        <f>AND(#REF!,"AAAAAA/Ty6o=")</f>
        <v>#REF!</v>
      </c>
      <c r="FP54" t="e">
        <f>AND(#REF!,"AAAAAA/Ty6s=")</f>
        <v>#REF!</v>
      </c>
      <c r="FQ54" t="e">
        <f>AND(#REF!,"AAAAAA/Ty6w=")</f>
        <v>#REF!</v>
      </c>
      <c r="FR54" t="e">
        <f>AND(#REF!,"AAAAAA/Ty60=")</f>
        <v>#REF!</v>
      </c>
      <c r="FS54" t="e">
        <f>AND(#REF!,"AAAAAA/Ty64=")</f>
        <v>#REF!</v>
      </c>
      <c r="FT54" t="e">
        <f>AND(#REF!,"AAAAAA/Ty68=")</f>
        <v>#REF!</v>
      </c>
      <c r="FU54" t="e">
        <f>AND(#REF!,"AAAAAA/Ty7A=")</f>
        <v>#REF!</v>
      </c>
      <c r="FV54" t="e">
        <f>AND(#REF!,"AAAAAA/Ty7E=")</f>
        <v>#REF!</v>
      </c>
      <c r="FW54" t="e">
        <f>AND(#REF!,"AAAAAA/Ty7I=")</f>
        <v>#REF!</v>
      </c>
      <c r="FX54" t="e">
        <f>AND(#REF!,"AAAAAA/Ty7M=")</f>
        <v>#REF!</v>
      </c>
      <c r="FY54" t="e">
        <f>AND(#REF!,"AAAAAA/Ty7Q=")</f>
        <v>#REF!</v>
      </c>
      <c r="FZ54" t="e">
        <f>AND(#REF!,"AAAAAA/Ty7U=")</f>
        <v>#REF!</v>
      </c>
      <c r="GA54" t="e">
        <f>AND(#REF!,"AAAAAA/Ty7Y=")</f>
        <v>#REF!</v>
      </c>
      <c r="GB54" t="e">
        <f>AND(#REF!,"AAAAAA/Ty7c=")</f>
        <v>#REF!</v>
      </c>
      <c r="GC54" t="e">
        <f>AND(#REF!,"AAAAAA/Ty7g=")</f>
        <v>#REF!</v>
      </c>
      <c r="GD54" t="e">
        <f>AND(#REF!,"AAAAAA/Ty7k=")</f>
        <v>#REF!</v>
      </c>
      <c r="GE54" t="e">
        <f>AND(#REF!,"AAAAAA/Ty7o=")</f>
        <v>#REF!</v>
      </c>
      <c r="GF54" t="e">
        <f>AND(#REF!,"AAAAAA/Ty7s=")</f>
        <v>#REF!</v>
      </c>
      <c r="GG54" t="e">
        <f>AND(#REF!,"AAAAAA/Ty7w=")</f>
        <v>#REF!</v>
      </c>
      <c r="GH54" t="e">
        <f>AND(#REF!,"AAAAAA/Ty70=")</f>
        <v>#REF!</v>
      </c>
      <c r="GI54" t="e">
        <f>AND(#REF!,"AAAAAA/Ty74=")</f>
        <v>#REF!</v>
      </c>
      <c r="GJ54" t="e">
        <f>AND(#REF!,"AAAAAA/Ty78=")</f>
        <v>#REF!</v>
      </c>
      <c r="GK54" t="e">
        <f>AND(#REF!,"AAAAAA/Ty8A=")</f>
        <v>#REF!</v>
      </c>
      <c r="GL54" t="e">
        <f>AND(#REF!,"AAAAAA/Ty8E=")</f>
        <v>#REF!</v>
      </c>
      <c r="GM54" t="e">
        <f>AND(#REF!,"AAAAAA/Ty8I=")</f>
        <v>#REF!</v>
      </c>
      <c r="GN54" t="e">
        <f>AND(#REF!,"AAAAAA/Ty8M=")</f>
        <v>#REF!</v>
      </c>
      <c r="GO54" t="e">
        <f>AND(#REF!,"AAAAAA/Ty8Q=")</f>
        <v>#REF!</v>
      </c>
      <c r="GP54" t="e">
        <f>AND(#REF!,"AAAAAA/Ty8U=")</f>
        <v>#REF!</v>
      </c>
      <c r="GQ54" t="e">
        <f>AND(#REF!,"AAAAAA/Ty8Y=")</f>
        <v>#REF!</v>
      </c>
      <c r="GR54" t="e">
        <f>AND(#REF!,"AAAAAA/Ty8c=")</f>
        <v>#REF!</v>
      </c>
      <c r="GS54" t="e">
        <f>AND(#REF!,"AAAAAA/Ty8g=")</f>
        <v>#REF!</v>
      </c>
      <c r="GT54" t="e">
        <f>AND(#REF!,"AAAAAA/Ty8k=")</f>
        <v>#REF!</v>
      </c>
      <c r="GU54" t="e">
        <f>AND(#REF!,"AAAAAA/Ty8o=")</f>
        <v>#REF!</v>
      </c>
      <c r="GV54" t="e">
        <f>AND(#REF!,"AAAAAA/Ty8s=")</f>
        <v>#REF!</v>
      </c>
      <c r="GW54" t="e">
        <f>IF(#REF!,"AAAAAA/Ty8w=",0)</f>
        <v>#REF!</v>
      </c>
      <c r="GX54" t="e">
        <f>AND(#REF!,"AAAAAA/Ty80=")</f>
        <v>#REF!</v>
      </c>
      <c r="GY54" t="e">
        <f>AND(#REF!,"AAAAAA/Ty84=")</f>
        <v>#REF!</v>
      </c>
      <c r="GZ54" t="e">
        <f>AND(#REF!,"AAAAAA/Ty88=")</f>
        <v>#REF!</v>
      </c>
      <c r="HA54" t="e">
        <f>AND(#REF!,"AAAAAA/Ty9A=")</f>
        <v>#REF!</v>
      </c>
      <c r="HB54" t="e">
        <f>AND(#REF!,"AAAAAA/Ty9E=")</f>
        <v>#REF!</v>
      </c>
      <c r="HC54" t="e">
        <f>AND(#REF!,"AAAAAA/Ty9I=")</f>
        <v>#REF!</v>
      </c>
      <c r="HD54" t="e">
        <f>AND(#REF!,"AAAAAA/Ty9M=")</f>
        <v>#REF!</v>
      </c>
      <c r="HE54" t="e">
        <f>AND(#REF!,"AAAAAA/Ty9Q=")</f>
        <v>#REF!</v>
      </c>
      <c r="HF54" t="e">
        <f>AND(#REF!,"AAAAAA/Ty9U=")</f>
        <v>#REF!</v>
      </c>
      <c r="HG54" t="e">
        <f>AND(#REF!,"AAAAAA/Ty9Y=")</f>
        <v>#REF!</v>
      </c>
      <c r="HH54" t="e">
        <f>AND(#REF!,"AAAAAA/Ty9c=")</f>
        <v>#REF!</v>
      </c>
      <c r="HI54" t="e">
        <f>AND(#REF!,"AAAAAA/Ty9g=")</f>
        <v>#REF!</v>
      </c>
      <c r="HJ54" t="e">
        <f>AND(#REF!,"AAAAAA/Ty9k=")</f>
        <v>#REF!</v>
      </c>
      <c r="HK54" t="e">
        <f>AND(#REF!,"AAAAAA/Ty9o=")</f>
        <v>#REF!</v>
      </c>
      <c r="HL54" t="e">
        <f>AND(#REF!,"AAAAAA/Ty9s=")</f>
        <v>#REF!</v>
      </c>
      <c r="HM54" t="e">
        <f>AND(#REF!,"AAAAAA/Ty9w=")</f>
        <v>#REF!</v>
      </c>
      <c r="HN54" t="e">
        <f>AND(#REF!,"AAAAAA/Ty90=")</f>
        <v>#REF!</v>
      </c>
      <c r="HO54" t="e">
        <f>AND(#REF!,"AAAAAA/Ty94=")</f>
        <v>#REF!</v>
      </c>
      <c r="HP54" t="e">
        <f>AND(#REF!,"AAAAAA/Ty98=")</f>
        <v>#REF!</v>
      </c>
      <c r="HQ54" t="e">
        <f>AND(#REF!,"AAAAAA/Ty+A=")</f>
        <v>#REF!</v>
      </c>
      <c r="HR54" t="e">
        <f>AND(#REF!,"AAAAAA/Ty+E=")</f>
        <v>#REF!</v>
      </c>
      <c r="HS54" t="e">
        <f>AND(#REF!,"AAAAAA/Ty+I=")</f>
        <v>#REF!</v>
      </c>
      <c r="HT54" t="e">
        <f>AND(#REF!,"AAAAAA/Ty+M=")</f>
        <v>#REF!</v>
      </c>
      <c r="HU54" t="e">
        <f>AND(#REF!,"AAAAAA/Ty+Q=")</f>
        <v>#REF!</v>
      </c>
      <c r="HV54" t="e">
        <f>AND(#REF!,"AAAAAA/Ty+U=")</f>
        <v>#REF!</v>
      </c>
      <c r="HW54" t="e">
        <f>AND(#REF!,"AAAAAA/Ty+Y=")</f>
        <v>#REF!</v>
      </c>
      <c r="HX54" t="e">
        <f>AND(#REF!,"AAAAAA/Ty+c=")</f>
        <v>#REF!</v>
      </c>
      <c r="HY54" t="e">
        <f>AND(#REF!,"AAAAAA/Ty+g=")</f>
        <v>#REF!</v>
      </c>
      <c r="HZ54" t="e">
        <f>AND(#REF!,"AAAAAA/Ty+k=")</f>
        <v>#REF!</v>
      </c>
      <c r="IA54" t="e">
        <f>AND(#REF!,"AAAAAA/Ty+o=")</f>
        <v>#REF!</v>
      </c>
      <c r="IB54" t="e">
        <f>AND(#REF!,"AAAAAA/Ty+s=")</f>
        <v>#REF!</v>
      </c>
      <c r="IC54" t="e">
        <f>AND(#REF!,"AAAAAA/Ty+w=")</f>
        <v>#REF!</v>
      </c>
      <c r="ID54" t="e">
        <f>AND(#REF!,"AAAAAA/Ty+0=")</f>
        <v>#REF!</v>
      </c>
      <c r="IE54" t="e">
        <f>AND(#REF!,"AAAAAA/Ty+4=")</f>
        <v>#REF!</v>
      </c>
      <c r="IF54" t="e">
        <f>AND(#REF!,"AAAAAA/Ty+8=")</f>
        <v>#REF!</v>
      </c>
      <c r="IG54" t="e">
        <f>AND(#REF!,"AAAAAA/Ty/A=")</f>
        <v>#REF!</v>
      </c>
      <c r="IH54" t="e">
        <f>AND(#REF!,"AAAAAA/Ty/E=")</f>
        <v>#REF!</v>
      </c>
      <c r="II54" t="e">
        <f>AND(#REF!,"AAAAAA/Ty/I=")</f>
        <v>#REF!</v>
      </c>
      <c r="IJ54" t="e">
        <f>AND(#REF!,"AAAAAA/Ty/M=")</f>
        <v>#REF!</v>
      </c>
      <c r="IK54" t="e">
        <f>AND(#REF!,"AAAAAA/Ty/Q=")</f>
        <v>#REF!</v>
      </c>
      <c r="IL54" t="e">
        <f>AND(#REF!,"AAAAAA/Ty/U=")</f>
        <v>#REF!</v>
      </c>
      <c r="IM54" t="e">
        <f>AND(#REF!,"AAAAAA/Ty/Y=")</f>
        <v>#REF!</v>
      </c>
      <c r="IN54" t="e">
        <f>AND(#REF!,"AAAAAA/Ty/c=")</f>
        <v>#REF!</v>
      </c>
      <c r="IO54" t="e">
        <f>IF(#REF!,"AAAAAA/Ty/g=",0)</f>
        <v>#REF!</v>
      </c>
      <c r="IP54" t="e">
        <f>AND(#REF!,"AAAAAA/Ty/k=")</f>
        <v>#REF!</v>
      </c>
      <c r="IQ54" t="e">
        <f>AND(#REF!,"AAAAAA/Ty/o=")</f>
        <v>#REF!</v>
      </c>
      <c r="IR54" t="e">
        <f>AND(#REF!,"AAAAAA/Ty/s=")</f>
        <v>#REF!</v>
      </c>
      <c r="IS54" t="e">
        <f>AND(#REF!,"AAAAAA/Ty/w=")</f>
        <v>#REF!</v>
      </c>
      <c r="IT54" t="e">
        <f>AND(#REF!,"AAAAAA/Ty/0=")</f>
        <v>#REF!</v>
      </c>
      <c r="IU54" t="e">
        <f>AND(#REF!,"AAAAAA/Ty/4=")</f>
        <v>#REF!</v>
      </c>
      <c r="IV54" t="e">
        <f>AND(#REF!,"AAAAAA/Ty/8=")</f>
        <v>#REF!</v>
      </c>
    </row>
    <row r="55" spans="1:256" x14ac:dyDescent="0.25">
      <c r="A55" t="e">
        <f>AND(#REF!,"AAAAAGgPfwA=")</f>
        <v>#REF!</v>
      </c>
      <c r="B55" t="e">
        <f>AND(#REF!,"AAAAAGgPfwE=")</f>
        <v>#REF!</v>
      </c>
      <c r="C55" t="e">
        <f>AND(#REF!,"AAAAAGgPfwI=")</f>
        <v>#REF!</v>
      </c>
      <c r="D55" t="e">
        <f>AND(#REF!,"AAAAAGgPfwM=")</f>
        <v>#REF!</v>
      </c>
      <c r="E55" t="e">
        <f>AND(#REF!,"AAAAAGgPfwQ=")</f>
        <v>#REF!</v>
      </c>
      <c r="F55" t="e">
        <f>AND(#REF!,"AAAAAGgPfwU=")</f>
        <v>#REF!</v>
      </c>
      <c r="G55" t="e">
        <f>AND(#REF!,"AAAAAGgPfwY=")</f>
        <v>#REF!</v>
      </c>
      <c r="H55" t="e">
        <f>AND(#REF!,"AAAAAGgPfwc=")</f>
        <v>#REF!</v>
      </c>
      <c r="I55" t="e">
        <f>AND(#REF!,"AAAAAGgPfwg=")</f>
        <v>#REF!</v>
      </c>
      <c r="J55" t="e">
        <f>AND(#REF!,"AAAAAGgPfwk=")</f>
        <v>#REF!</v>
      </c>
      <c r="K55" t="e">
        <f>AND(#REF!,"AAAAAGgPfwo=")</f>
        <v>#REF!</v>
      </c>
      <c r="L55" t="e">
        <f>AND(#REF!,"AAAAAGgPfws=")</f>
        <v>#REF!</v>
      </c>
      <c r="M55" t="e">
        <f>AND(#REF!,"AAAAAGgPfww=")</f>
        <v>#REF!</v>
      </c>
      <c r="N55" t="e">
        <f>AND(#REF!,"AAAAAGgPfw0=")</f>
        <v>#REF!</v>
      </c>
      <c r="O55" t="e">
        <f>AND(#REF!,"AAAAAGgPfw4=")</f>
        <v>#REF!</v>
      </c>
      <c r="P55" t="e">
        <f>AND(#REF!,"AAAAAGgPfw8=")</f>
        <v>#REF!</v>
      </c>
      <c r="Q55" t="e">
        <f>AND(#REF!,"AAAAAGgPfxA=")</f>
        <v>#REF!</v>
      </c>
      <c r="R55" t="e">
        <f>AND(#REF!,"AAAAAGgPfxE=")</f>
        <v>#REF!</v>
      </c>
      <c r="S55" t="e">
        <f>AND(#REF!,"AAAAAGgPfxI=")</f>
        <v>#REF!</v>
      </c>
      <c r="T55" t="e">
        <f>AND(#REF!,"AAAAAGgPfxM=")</f>
        <v>#REF!</v>
      </c>
      <c r="U55" t="e">
        <f>AND(#REF!,"AAAAAGgPfxQ=")</f>
        <v>#REF!</v>
      </c>
      <c r="V55" t="e">
        <f>AND(#REF!,"AAAAAGgPfxU=")</f>
        <v>#REF!</v>
      </c>
      <c r="W55" t="e">
        <f>AND(#REF!,"AAAAAGgPfxY=")</f>
        <v>#REF!</v>
      </c>
      <c r="X55" t="e">
        <f>AND(#REF!,"AAAAAGgPfxc=")</f>
        <v>#REF!</v>
      </c>
      <c r="Y55" t="e">
        <f>AND(#REF!,"AAAAAGgPfxg=")</f>
        <v>#REF!</v>
      </c>
      <c r="Z55" t="e">
        <f>AND(#REF!,"AAAAAGgPfxk=")</f>
        <v>#REF!</v>
      </c>
      <c r="AA55" t="e">
        <f>AND(#REF!,"AAAAAGgPfxo=")</f>
        <v>#REF!</v>
      </c>
      <c r="AB55" t="e">
        <f>AND(#REF!,"AAAAAGgPfxs=")</f>
        <v>#REF!</v>
      </c>
      <c r="AC55" t="e">
        <f>AND(#REF!,"AAAAAGgPfxw=")</f>
        <v>#REF!</v>
      </c>
      <c r="AD55" t="e">
        <f>AND(#REF!,"AAAAAGgPfx0=")</f>
        <v>#REF!</v>
      </c>
      <c r="AE55" t="e">
        <f>AND(#REF!,"AAAAAGgPfx4=")</f>
        <v>#REF!</v>
      </c>
      <c r="AF55" t="e">
        <f>AND(#REF!,"AAAAAGgPfx8=")</f>
        <v>#REF!</v>
      </c>
      <c r="AG55" t="e">
        <f>AND(#REF!,"AAAAAGgPfyA=")</f>
        <v>#REF!</v>
      </c>
      <c r="AH55" t="e">
        <f>AND(#REF!,"AAAAAGgPfyE=")</f>
        <v>#REF!</v>
      </c>
      <c r="AI55" t="e">
        <f>AND(#REF!,"AAAAAGgPfyI=")</f>
        <v>#REF!</v>
      </c>
      <c r="AJ55" t="e">
        <f>AND(#REF!,"AAAAAGgPfyM=")</f>
        <v>#REF!</v>
      </c>
      <c r="AK55" t="e">
        <f>IF(#REF!,"AAAAAGgPfyQ=",0)</f>
        <v>#REF!</v>
      </c>
      <c r="AL55" t="e">
        <f>AND(#REF!,"AAAAAGgPfyU=")</f>
        <v>#REF!</v>
      </c>
      <c r="AM55" t="e">
        <f>AND(#REF!,"AAAAAGgPfyY=")</f>
        <v>#REF!</v>
      </c>
      <c r="AN55" t="e">
        <f>AND(#REF!,"AAAAAGgPfyc=")</f>
        <v>#REF!</v>
      </c>
      <c r="AO55" t="e">
        <f>AND(#REF!,"AAAAAGgPfyg=")</f>
        <v>#REF!</v>
      </c>
      <c r="AP55" t="e">
        <f>AND(#REF!,"AAAAAGgPfyk=")</f>
        <v>#REF!</v>
      </c>
      <c r="AQ55" t="e">
        <f>AND(#REF!,"AAAAAGgPfyo=")</f>
        <v>#REF!</v>
      </c>
      <c r="AR55" t="e">
        <f>AND(#REF!,"AAAAAGgPfys=")</f>
        <v>#REF!</v>
      </c>
      <c r="AS55" t="e">
        <f>AND(#REF!,"AAAAAGgPfyw=")</f>
        <v>#REF!</v>
      </c>
      <c r="AT55" t="e">
        <f>AND(#REF!,"AAAAAGgPfy0=")</f>
        <v>#REF!</v>
      </c>
      <c r="AU55" t="e">
        <f>AND(#REF!,"AAAAAGgPfy4=")</f>
        <v>#REF!</v>
      </c>
      <c r="AV55" t="e">
        <f>AND(#REF!,"AAAAAGgPfy8=")</f>
        <v>#REF!</v>
      </c>
      <c r="AW55" t="e">
        <f>AND(#REF!,"AAAAAGgPfzA=")</f>
        <v>#REF!</v>
      </c>
      <c r="AX55" t="e">
        <f>AND(#REF!,"AAAAAGgPfzE=")</f>
        <v>#REF!</v>
      </c>
      <c r="AY55" t="e">
        <f>AND(#REF!,"AAAAAGgPfzI=")</f>
        <v>#REF!</v>
      </c>
      <c r="AZ55" t="e">
        <f>AND(#REF!,"AAAAAGgPfzM=")</f>
        <v>#REF!</v>
      </c>
      <c r="BA55" t="e">
        <f>AND(#REF!,"AAAAAGgPfzQ=")</f>
        <v>#REF!</v>
      </c>
      <c r="BB55" t="e">
        <f>AND(#REF!,"AAAAAGgPfzU=")</f>
        <v>#REF!</v>
      </c>
      <c r="BC55" t="e">
        <f>AND(#REF!,"AAAAAGgPfzY=")</f>
        <v>#REF!</v>
      </c>
      <c r="BD55" t="e">
        <f>AND(#REF!,"AAAAAGgPfzc=")</f>
        <v>#REF!</v>
      </c>
      <c r="BE55" t="e">
        <f>AND(#REF!,"AAAAAGgPfzg=")</f>
        <v>#REF!</v>
      </c>
      <c r="BF55" t="e">
        <f>AND(#REF!,"AAAAAGgPfzk=")</f>
        <v>#REF!</v>
      </c>
      <c r="BG55" t="e">
        <f>AND(#REF!,"AAAAAGgPfzo=")</f>
        <v>#REF!</v>
      </c>
      <c r="BH55" t="e">
        <f>AND(#REF!,"AAAAAGgPfzs=")</f>
        <v>#REF!</v>
      </c>
      <c r="BI55" t="e">
        <f>AND(#REF!,"AAAAAGgPfzw=")</f>
        <v>#REF!</v>
      </c>
      <c r="BJ55" t="e">
        <f>AND(#REF!,"AAAAAGgPfz0=")</f>
        <v>#REF!</v>
      </c>
      <c r="BK55" t="e">
        <f>AND(#REF!,"AAAAAGgPfz4=")</f>
        <v>#REF!</v>
      </c>
      <c r="BL55" t="e">
        <f>AND(#REF!,"AAAAAGgPfz8=")</f>
        <v>#REF!</v>
      </c>
      <c r="BM55" t="e">
        <f>AND(#REF!,"AAAAAGgPf0A=")</f>
        <v>#REF!</v>
      </c>
      <c r="BN55" t="e">
        <f>AND(#REF!,"AAAAAGgPf0E=")</f>
        <v>#REF!</v>
      </c>
      <c r="BO55" t="e">
        <f>AND(#REF!,"AAAAAGgPf0I=")</f>
        <v>#REF!</v>
      </c>
      <c r="BP55" t="e">
        <f>AND(#REF!,"AAAAAGgPf0M=")</f>
        <v>#REF!</v>
      </c>
      <c r="BQ55" t="e">
        <f>AND(#REF!,"AAAAAGgPf0Q=")</f>
        <v>#REF!</v>
      </c>
      <c r="BR55" t="e">
        <f>AND(#REF!,"AAAAAGgPf0U=")</f>
        <v>#REF!</v>
      </c>
      <c r="BS55" t="e">
        <f>AND(#REF!,"AAAAAGgPf0Y=")</f>
        <v>#REF!</v>
      </c>
      <c r="BT55" t="e">
        <f>AND(#REF!,"AAAAAGgPf0c=")</f>
        <v>#REF!</v>
      </c>
      <c r="BU55" t="e">
        <f>AND(#REF!,"AAAAAGgPf0g=")</f>
        <v>#REF!</v>
      </c>
      <c r="BV55" t="e">
        <f>AND(#REF!,"AAAAAGgPf0k=")</f>
        <v>#REF!</v>
      </c>
      <c r="BW55" t="e">
        <f>AND(#REF!,"AAAAAGgPf0o=")</f>
        <v>#REF!</v>
      </c>
      <c r="BX55" t="e">
        <f>AND(#REF!,"AAAAAGgPf0s=")</f>
        <v>#REF!</v>
      </c>
      <c r="BY55" t="e">
        <f>AND(#REF!,"AAAAAGgPf0w=")</f>
        <v>#REF!</v>
      </c>
      <c r="BZ55" t="e">
        <f>AND(#REF!,"AAAAAGgPf00=")</f>
        <v>#REF!</v>
      </c>
      <c r="CA55" t="e">
        <f>AND(#REF!,"AAAAAGgPf04=")</f>
        <v>#REF!</v>
      </c>
      <c r="CB55" t="e">
        <f>AND(#REF!,"AAAAAGgPf08=")</f>
        <v>#REF!</v>
      </c>
      <c r="CC55" t="e">
        <f>IF(#REF!,"AAAAAGgPf1A=",0)</f>
        <v>#REF!</v>
      </c>
      <c r="CD55" t="e">
        <f>AND(#REF!,"AAAAAGgPf1E=")</f>
        <v>#REF!</v>
      </c>
      <c r="CE55" t="e">
        <f>AND(#REF!,"AAAAAGgPf1I=")</f>
        <v>#REF!</v>
      </c>
      <c r="CF55" t="e">
        <f>AND(#REF!,"AAAAAGgPf1M=")</f>
        <v>#REF!</v>
      </c>
      <c r="CG55" t="e">
        <f>AND(#REF!,"AAAAAGgPf1Q=")</f>
        <v>#REF!</v>
      </c>
      <c r="CH55" t="e">
        <f>AND(#REF!,"AAAAAGgPf1U=")</f>
        <v>#REF!</v>
      </c>
      <c r="CI55" t="e">
        <f>AND(#REF!,"AAAAAGgPf1Y=")</f>
        <v>#REF!</v>
      </c>
      <c r="CJ55" t="e">
        <f>AND(#REF!,"AAAAAGgPf1c=")</f>
        <v>#REF!</v>
      </c>
      <c r="CK55" t="e">
        <f>AND(#REF!,"AAAAAGgPf1g=")</f>
        <v>#REF!</v>
      </c>
      <c r="CL55" t="e">
        <f>AND(#REF!,"AAAAAGgPf1k=")</f>
        <v>#REF!</v>
      </c>
      <c r="CM55" t="e">
        <f>AND(#REF!,"AAAAAGgPf1o=")</f>
        <v>#REF!</v>
      </c>
      <c r="CN55" t="e">
        <f>AND(#REF!,"AAAAAGgPf1s=")</f>
        <v>#REF!</v>
      </c>
      <c r="CO55" t="e">
        <f>AND(#REF!,"AAAAAGgPf1w=")</f>
        <v>#REF!</v>
      </c>
      <c r="CP55" t="e">
        <f>AND(#REF!,"AAAAAGgPf10=")</f>
        <v>#REF!</v>
      </c>
      <c r="CQ55" t="e">
        <f>AND(#REF!,"AAAAAGgPf14=")</f>
        <v>#REF!</v>
      </c>
      <c r="CR55" t="e">
        <f>AND(#REF!,"AAAAAGgPf18=")</f>
        <v>#REF!</v>
      </c>
      <c r="CS55" t="e">
        <f>AND(#REF!,"AAAAAGgPf2A=")</f>
        <v>#REF!</v>
      </c>
      <c r="CT55" t="e">
        <f>AND(#REF!,"AAAAAGgPf2E=")</f>
        <v>#REF!</v>
      </c>
      <c r="CU55" t="e">
        <f>AND(#REF!,"AAAAAGgPf2I=")</f>
        <v>#REF!</v>
      </c>
      <c r="CV55" t="e">
        <f>AND(#REF!,"AAAAAGgPf2M=")</f>
        <v>#REF!</v>
      </c>
      <c r="CW55" t="e">
        <f>AND(#REF!,"AAAAAGgPf2Q=")</f>
        <v>#REF!</v>
      </c>
      <c r="CX55" t="e">
        <f>AND(#REF!,"AAAAAGgPf2U=")</f>
        <v>#REF!</v>
      </c>
      <c r="CY55" t="e">
        <f>AND(#REF!,"AAAAAGgPf2Y=")</f>
        <v>#REF!</v>
      </c>
      <c r="CZ55" t="e">
        <f>AND(#REF!,"AAAAAGgPf2c=")</f>
        <v>#REF!</v>
      </c>
      <c r="DA55" t="e">
        <f>AND(#REF!,"AAAAAGgPf2g=")</f>
        <v>#REF!</v>
      </c>
      <c r="DB55" t="e">
        <f>AND(#REF!,"AAAAAGgPf2k=")</f>
        <v>#REF!</v>
      </c>
      <c r="DC55" t="e">
        <f>AND(#REF!,"AAAAAGgPf2o=")</f>
        <v>#REF!</v>
      </c>
      <c r="DD55" t="e">
        <f>AND(#REF!,"AAAAAGgPf2s=")</f>
        <v>#REF!</v>
      </c>
      <c r="DE55" t="e">
        <f>AND(#REF!,"AAAAAGgPf2w=")</f>
        <v>#REF!</v>
      </c>
      <c r="DF55" t="e">
        <f>AND(#REF!,"AAAAAGgPf20=")</f>
        <v>#REF!</v>
      </c>
      <c r="DG55" t="e">
        <f>AND(#REF!,"AAAAAGgPf24=")</f>
        <v>#REF!</v>
      </c>
      <c r="DH55" t="e">
        <f>AND(#REF!,"AAAAAGgPf28=")</f>
        <v>#REF!</v>
      </c>
      <c r="DI55" t="e">
        <f>AND(#REF!,"AAAAAGgPf3A=")</f>
        <v>#REF!</v>
      </c>
      <c r="DJ55" t="e">
        <f>AND(#REF!,"AAAAAGgPf3E=")</f>
        <v>#REF!</v>
      </c>
      <c r="DK55" t="e">
        <f>AND(#REF!,"AAAAAGgPf3I=")</f>
        <v>#REF!</v>
      </c>
      <c r="DL55" t="e">
        <f>AND(#REF!,"AAAAAGgPf3M=")</f>
        <v>#REF!</v>
      </c>
      <c r="DM55" t="e">
        <f>AND(#REF!,"AAAAAGgPf3Q=")</f>
        <v>#REF!</v>
      </c>
      <c r="DN55" t="e">
        <f>AND(#REF!,"AAAAAGgPf3U=")</f>
        <v>#REF!</v>
      </c>
      <c r="DO55" t="e">
        <f>AND(#REF!,"AAAAAGgPf3Y=")</f>
        <v>#REF!</v>
      </c>
      <c r="DP55" t="e">
        <f>AND(#REF!,"AAAAAGgPf3c=")</f>
        <v>#REF!</v>
      </c>
      <c r="DQ55" t="e">
        <f>AND(#REF!,"AAAAAGgPf3g=")</f>
        <v>#REF!</v>
      </c>
      <c r="DR55" t="e">
        <f>AND(#REF!,"AAAAAGgPf3k=")</f>
        <v>#REF!</v>
      </c>
      <c r="DS55" t="e">
        <f>AND(#REF!,"AAAAAGgPf3o=")</f>
        <v>#REF!</v>
      </c>
      <c r="DT55" t="e">
        <f>AND(#REF!,"AAAAAGgPf3s=")</f>
        <v>#REF!</v>
      </c>
      <c r="DU55" t="e">
        <f>IF(#REF!,"AAAAAGgPf3w=",0)</f>
        <v>#REF!</v>
      </c>
      <c r="DV55" t="e">
        <f>AND(#REF!,"AAAAAGgPf30=")</f>
        <v>#REF!</v>
      </c>
      <c r="DW55" t="e">
        <f>AND(#REF!,"AAAAAGgPf34=")</f>
        <v>#REF!</v>
      </c>
      <c r="DX55" t="e">
        <f>AND(#REF!,"AAAAAGgPf38=")</f>
        <v>#REF!</v>
      </c>
      <c r="DY55" t="e">
        <f>AND(#REF!,"AAAAAGgPf4A=")</f>
        <v>#REF!</v>
      </c>
      <c r="DZ55" t="e">
        <f>AND(#REF!,"AAAAAGgPf4E=")</f>
        <v>#REF!</v>
      </c>
      <c r="EA55" t="e">
        <f>AND(#REF!,"AAAAAGgPf4I=")</f>
        <v>#REF!</v>
      </c>
      <c r="EB55" t="e">
        <f>AND(#REF!,"AAAAAGgPf4M=")</f>
        <v>#REF!</v>
      </c>
      <c r="EC55" t="e">
        <f>AND(#REF!,"AAAAAGgPf4Q=")</f>
        <v>#REF!</v>
      </c>
      <c r="ED55" t="e">
        <f>AND(#REF!,"AAAAAGgPf4U=")</f>
        <v>#REF!</v>
      </c>
      <c r="EE55" t="e">
        <f>AND(#REF!,"AAAAAGgPf4Y=")</f>
        <v>#REF!</v>
      </c>
      <c r="EF55" t="e">
        <f>AND(#REF!,"AAAAAGgPf4c=")</f>
        <v>#REF!</v>
      </c>
      <c r="EG55" t="e">
        <f>AND(#REF!,"AAAAAGgPf4g=")</f>
        <v>#REF!</v>
      </c>
      <c r="EH55" t="e">
        <f>AND(#REF!,"AAAAAGgPf4k=")</f>
        <v>#REF!</v>
      </c>
      <c r="EI55" t="e">
        <f>AND(#REF!,"AAAAAGgPf4o=")</f>
        <v>#REF!</v>
      </c>
      <c r="EJ55" t="e">
        <f>AND(#REF!,"AAAAAGgPf4s=")</f>
        <v>#REF!</v>
      </c>
      <c r="EK55" t="e">
        <f>AND(#REF!,"AAAAAGgPf4w=")</f>
        <v>#REF!</v>
      </c>
      <c r="EL55" t="e">
        <f>AND(#REF!,"AAAAAGgPf40=")</f>
        <v>#REF!</v>
      </c>
      <c r="EM55" t="e">
        <f>AND(#REF!,"AAAAAGgPf44=")</f>
        <v>#REF!</v>
      </c>
      <c r="EN55" t="e">
        <f>AND(#REF!,"AAAAAGgPf48=")</f>
        <v>#REF!</v>
      </c>
      <c r="EO55" t="e">
        <f>AND(#REF!,"AAAAAGgPf5A=")</f>
        <v>#REF!</v>
      </c>
      <c r="EP55" t="e">
        <f>AND(#REF!,"AAAAAGgPf5E=")</f>
        <v>#REF!</v>
      </c>
      <c r="EQ55" t="e">
        <f>AND(#REF!,"AAAAAGgPf5I=")</f>
        <v>#REF!</v>
      </c>
      <c r="ER55" t="e">
        <f>AND(#REF!,"AAAAAGgPf5M=")</f>
        <v>#REF!</v>
      </c>
      <c r="ES55" t="e">
        <f>AND(#REF!,"AAAAAGgPf5Q=")</f>
        <v>#REF!</v>
      </c>
      <c r="ET55" t="e">
        <f>AND(#REF!,"AAAAAGgPf5U=")</f>
        <v>#REF!</v>
      </c>
      <c r="EU55" t="e">
        <f>AND(#REF!,"AAAAAGgPf5Y=")</f>
        <v>#REF!</v>
      </c>
      <c r="EV55" t="e">
        <f>AND(#REF!,"AAAAAGgPf5c=")</f>
        <v>#REF!</v>
      </c>
      <c r="EW55" t="e">
        <f>AND(#REF!,"AAAAAGgPf5g=")</f>
        <v>#REF!</v>
      </c>
      <c r="EX55" t="e">
        <f>AND(#REF!,"AAAAAGgPf5k=")</f>
        <v>#REF!</v>
      </c>
      <c r="EY55" t="e">
        <f>AND(#REF!,"AAAAAGgPf5o=")</f>
        <v>#REF!</v>
      </c>
      <c r="EZ55" t="e">
        <f>AND(#REF!,"AAAAAGgPf5s=")</f>
        <v>#REF!</v>
      </c>
      <c r="FA55" t="e">
        <f>AND(#REF!,"AAAAAGgPf5w=")</f>
        <v>#REF!</v>
      </c>
      <c r="FB55" t="e">
        <f>AND(#REF!,"AAAAAGgPf50=")</f>
        <v>#REF!</v>
      </c>
      <c r="FC55" t="e">
        <f>AND(#REF!,"AAAAAGgPf54=")</f>
        <v>#REF!</v>
      </c>
      <c r="FD55" t="e">
        <f>AND(#REF!,"AAAAAGgPf58=")</f>
        <v>#REF!</v>
      </c>
      <c r="FE55" t="e">
        <f>AND(#REF!,"AAAAAGgPf6A=")</f>
        <v>#REF!</v>
      </c>
      <c r="FF55" t="e">
        <f>AND(#REF!,"AAAAAGgPf6E=")</f>
        <v>#REF!</v>
      </c>
      <c r="FG55" t="e">
        <f>AND(#REF!,"AAAAAGgPf6I=")</f>
        <v>#REF!</v>
      </c>
      <c r="FH55" t="e">
        <f>AND(#REF!,"AAAAAGgPf6M=")</f>
        <v>#REF!</v>
      </c>
      <c r="FI55" t="e">
        <f>AND(#REF!,"AAAAAGgPf6Q=")</f>
        <v>#REF!</v>
      </c>
      <c r="FJ55" t="e">
        <f>AND(#REF!,"AAAAAGgPf6U=")</f>
        <v>#REF!</v>
      </c>
      <c r="FK55" t="e">
        <f>AND(#REF!,"AAAAAGgPf6Y=")</f>
        <v>#REF!</v>
      </c>
      <c r="FL55" t="e">
        <f>AND(#REF!,"AAAAAGgPf6c=")</f>
        <v>#REF!</v>
      </c>
      <c r="FM55" t="e">
        <f>IF(#REF!,"AAAAAGgPf6g=",0)</f>
        <v>#REF!</v>
      </c>
      <c r="FN55" t="e">
        <f>AND(#REF!,"AAAAAGgPf6k=")</f>
        <v>#REF!</v>
      </c>
      <c r="FO55" t="e">
        <f>AND(#REF!,"AAAAAGgPf6o=")</f>
        <v>#REF!</v>
      </c>
      <c r="FP55" t="e">
        <f>AND(#REF!,"AAAAAGgPf6s=")</f>
        <v>#REF!</v>
      </c>
      <c r="FQ55" t="e">
        <f>AND(#REF!,"AAAAAGgPf6w=")</f>
        <v>#REF!</v>
      </c>
      <c r="FR55" t="e">
        <f>AND(#REF!,"AAAAAGgPf60=")</f>
        <v>#REF!</v>
      </c>
      <c r="FS55" t="e">
        <f>AND(#REF!,"AAAAAGgPf64=")</f>
        <v>#REF!</v>
      </c>
      <c r="FT55" t="e">
        <f>AND(#REF!,"AAAAAGgPf68=")</f>
        <v>#REF!</v>
      </c>
      <c r="FU55" t="e">
        <f>AND(#REF!,"AAAAAGgPf7A=")</f>
        <v>#REF!</v>
      </c>
      <c r="FV55" t="e">
        <f>AND(#REF!,"AAAAAGgPf7E=")</f>
        <v>#REF!</v>
      </c>
      <c r="FW55" t="e">
        <f>AND(#REF!,"AAAAAGgPf7I=")</f>
        <v>#REF!</v>
      </c>
      <c r="FX55" t="e">
        <f>AND(#REF!,"AAAAAGgPf7M=")</f>
        <v>#REF!</v>
      </c>
      <c r="FY55" t="e">
        <f>AND(#REF!,"AAAAAGgPf7Q=")</f>
        <v>#REF!</v>
      </c>
      <c r="FZ55" t="e">
        <f>AND(#REF!,"AAAAAGgPf7U=")</f>
        <v>#REF!</v>
      </c>
      <c r="GA55" t="e">
        <f>AND(#REF!,"AAAAAGgPf7Y=")</f>
        <v>#REF!</v>
      </c>
      <c r="GB55" t="e">
        <f>AND(#REF!,"AAAAAGgPf7c=")</f>
        <v>#REF!</v>
      </c>
      <c r="GC55" t="e">
        <f>AND(#REF!,"AAAAAGgPf7g=")</f>
        <v>#REF!</v>
      </c>
      <c r="GD55" t="e">
        <f>AND(#REF!,"AAAAAGgPf7k=")</f>
        <v>#REF!</v>
      </c>
      <c r="GE55" t="e">
        <f>AND(#REF!,"AAAAAGgPf7o=")</f>
        <v>#REF!</v>
      </c>
      <c r="GF55" t="e">
        <f>AND(#REF!,"AAAAAGgPf7s=")</f>
        <v>#REF!</v>
      </c>
      <c r="GG55" t="e">
        <f>AND(#REF!,"AAAAAGgPf7w=")</f>
        <v>#REF!</v>
      </c>
      <c r="GH55" t="e">
        <f>AND(#REF!,"AAAAAGgPf70=")</f>
        <v>#REF!</v>
      </c>
      <c r="GI55" t="e">
        <f>AND(#REF!,"AAAAAGgPf74=")</f>
        <v>#REF!</v>
      </c>
      <c r="GJ55" t="e">
        <f>AND(#REF!,"AAAAAGgPf78=")</f>
        <v>#REF!</v>
      </c>
      <c r="GK55" t="e">
        <f>AND(#REF!,"AAAAAGgPf8A=")</f>
        <v>#REF!</v>
      </c>
      <c r="GL55" t="e">
        <f>AND(#REF!,"AAAAAGgPf8E=")</f>
        <v>#REF!</v>
      </c>
      <c r="GM55" t="e">
        <f>AND(#REF!,"AAAAAGgPf8I=")</f>
        <v>#REF!</v>
      </c>
      <c r="GN55" t="e">
        <f>AND(#REF!,"AAAAAGgPf8M=")</f>
        <v>#REF!</v>
      </c>
      <c r="GO55" t="e">
        <f>AND(#REF!,"AAAAAGgPf8Q=")</f>
        <v>#REF!</v>
      </c>
      <c r="GP55" t="e">
        <f>AND(#REF!,"AAAAAGgPf8U=")</f>
        <v>#REF!</v>
      </c>
      <c r="GQ55" t="e">
        <f>AND(#REF!,"AAAAAGgPf8Y=")</f>
        <v>#REF!</v>
      </c>
      <c r="GR55" t="e">
        <f>AND(#REF!,"AAAAAGgPf8c=")</f>
        <v>#REF!</v>
      </c>
      <c r="GS55" t="e">
        <f>AND(#REF!,"AAAAAGgPf8g=")</f>
        <v>#REF!</v>
      </c>
      <c r="GT55" t="e">
        <f>AND(#REF!,"AAAAAGgPf8k=")</f>
        <v>#REF!</v>
      </c>
      <c r="GU55" t="e">
        <f>AND(#REF!,"AAAAAGgPf8o=")</f>
        <v>#REF!</v>
      </c>
      <c r="GV55" t="e">
        <f>AND(#REF!,"AAAAAGgPf8s=")</f>
        <v>#REF!</v>
      </c>
      <c r="GW55" t="e">
        <f>AND(#REF!,"AAAAAGgPf8w=")</f>
        <v>#REF!</v>
      </c>
      <c r="GX55" t="e">
        <f>AND(#REF!,"AAAAAGgPf80=")</f>
        <v>#REF!</v>
      </c>
      <c r="GY55" t="e">
        <f>AND(#REF!,"AAAAAGgPf84=")</f>
        <v>#REF!</v>
      </c>
      <c r="GZ55" t="e">
        <f>AND(#REF!,"AAAAAGgPf88=")</f>
        <v>#REF!</v>
      </c>
      <c r="HA55" t="e">
        <f>AND(#REF!,"AAAAAGgPf9A=")</f>
        <v>#REF!</v>
      </c>
      <c r="HB55" t="e">
        <f>AND(#REF!,"AAAAAGgPf9E=")</f>
        <v>#REF!</v>
      </c>
      <c r="HC55" t="e">
        <f>AND(#REF!,"AAAAAGgPf9I=")</f>
        <v>#REF!</v>
      </c>
      <c r="HD55" t="e">
        <f>AND(#REF!,"AAAAAGgPf9M=")</f>
        <v>#REF!</v>
      </c>
      <c r="HE55" t="e">
        <f>IF(#REF!,"AAAAAGgPf9Q=",0)</f>
        <v>#REF!</v>
      </c>
      <c r="HF55" t="e">
        <f>AND(#REF!,"AAAAAGgPf9U=")</f>
        <v>#REF!</v>
      </c>
      <c r="HG55" t="e">
        <f>AND(#REF!,"AAAAAGgPf9Y=")</f>
        <v>#REF!</v>
      </c>
      <c r="HH55" t="e">
        <f>AND(#REF!,"AAAAAGgPf9c=")</f>
        <v>#REF!</v>
      </c>
      <c r="HI55" t="e">
        <f>AND(#REF!,"AAAAAGgPf9g=")</f>
        <v>#REF!</v>
      </c>
      <c r="HJ55" t="e">
        <f>AND(#REF!,"AAAAAGgPf9k=")</f>
        <v>#REF!</v>
      </c>
      <c r="HK55" t="e">
        <f>AND(#REF!,"AAAAAGgPf9o=")</f>
        <v>#REF!</v>
      </c>
      <c r="HL55" t="e">
        <f>AND(#REF!,"AAAAAGgPf9s=")</f>
        <v>#REF!</v>
      </c>
      <c r="HM55" t="e">
        <f>AND(#REF!,"AAAAAGgPf9w=")</f>
        <v>#REF!</v>
      </c>
      <c r="HN55" t="e">
        <f>AND(#REF!,"AAAAAGgPf90=")</f>
        <v>#REF!</v>
      </c>
      <c r="HO55" t="e">
        <f>AND(#REF!,"AAAAAGgPf94=")</f>
        <v>#REF!</v>
      </c>
      <c r="HP55" t="e">
        <f>AND(#REF!,"AAAAAGgPf98=")</f>
        <v>#REF!</v>
      </c>
      <c r="HQ55" t="e">
        <f>AND(#REF!,"AAAAAGgPf+A=")</f>
        <v>#REF!</v>
      </c>
      <c r="HR55" t="e">
        <f>AND(#REF!,"AAAAAGgPf+E=")</f>
        <v>#REF!</v>
      </c>
      <c r="HS55" t="e">
        <f>AND(#REF!,"AAAAAGgPf+I=")</f>
        <v>#REF!</v>
      </c>
      <c r="HT55" t="e">
        <f>AND(#REF!,"AAAAAGgPf+M=")</f>
        <v>#REF!</v>
      </c>
      <c r="HU55" t="e">
        <f>AND(#REF!,"AAAAAGgPf+Q=")</f>
        <v>#REF!</v>
      </c>
      <c r="HV55" t="e">
        <f>AND(#REF!,"AAAAAGgPf+U=")</f>
        <v>#REF!</v>
      </c>
      <c r="HW55" t="e">
        <f>AND(#REF!,"AAAAAGgPf+Y=")</f>
        <v>#REF!</v>
      </c>
      <c r="HX55" t="e">
        <f>AND(#REF!,"AAAAAGgPf+c=")</f>
        <v>#REF!</v>
      </c>
      <c r="HY55" t="e">
        <f>AND(#REF!,"AAAAAGgPf+g=")</f>
        <v>#REF!</v>
      </c>
      <c r="HZ55" t="e">
        <f>AND(#REF!,"AAAAAGgPf+k=")</f>
        <v>#REF!</v>
      </c>
      <c r="IA55" t="e">
        <f>AND(#REF!,"AAAAAGgPf+o=")</f>
        <v>#REF!</v>
      </c>
      <c r="IB55" t="e">
        <f>AND(#REF!,"AAAAAGgPf+s=")</f>
        <v>#REF!</v>
      </c>
      <c r="IC55" t="e">
        <f>AND(#REF!,"AAAAAGgPf+w=")</f>
        <v>#REF!</v>
      </c>
      <c r="ID55" t="e">
        <f>AND(#REF!,"AAAAAGgPf+0=")</f>
        <v>#REF!</v>
      </c>
      <c r="IE55" t="e">
        <f>AND(#REF!,"AAAAAGgPf+4=")</f>
        <v>#REF!</v>
      </c>
      <c r="IF55" t="e">
        <f>AND(#REF!,"AAAAAGgPf+8=")</f>
        <v>#REF!</v>
      </c>
      <c r="IG55" t="e">
        <f>AND(#REF!,"AAAAAGgPf/A=")</f>
        <v>#REF!</v>
      </c>
      <c r="IH55" t="e">
        <f>AND(#REF!,"AAAAAGgPf/E=")</f>
        <v>#REF!</v>
      </c>
      <c r="II55" t="e">
        <f>AND(#REF!,"AAAAAGgPf/I=")</f>
        <v>#REF!</v>
      </c>
      <c r="IJ55" t="e">
        <f>AND(#REF!,"AAAAAGgPf/M=")</f>
        <v>#REF!</v>
      </c>
      <c r="IK55" t="e">
        <f>AND(#REF!,"AAAAAGgPf/Q=")</f>
        <v>#REF!</v>
      </c>
      <c r="IL55" t="e">
        <f>AND(#REF!,"AAAAAGgPf/U=")</f>
        <v>#REF!</v>
      </c>
      <c r="IM55" t="e">
        <f>AND(#REF!,"AAAAAGgPf/Y=")</f>
        <v>#REF!</v>
      </c>
      <c r="IN55" t="e">
        <f>AND(#REF!,"AAAAAGgPf/c=")</f>
        <v>#REF!</v>
      </c>
      <c r="IO55" t="e">
        <f>AND(#REF!,"AAAAAGgPf/g=")</f>
        <v>#REF!</v>
      </c>
      <c r="IP55" t="e">
        <f>AND(#REF!,"AAAAAGgPf/k=")</f>
        <v>#REF!</v>
      </c>
      <c r="IQ55" t="e">
        <f>AND(#REF!,"AAAAAGgPf/o=")</f>
        <v>#REF!</v>
      </c>
      <c r="IR55" t="e">
        <f>AND(#REF!,"AAAAAGgPf/s=")</f>
        <v>#REF!</v>
      </c>
      <c r="IS55" t="e">
        <f>AND(#REF!,"AAAAAGgPf/w=")</f>
        <v>#REF!</v>
      </c>
      <c r="IT55" t="e">
        <f>AND(#REF!,"AAAAAGgPf/0=")</f>
        <v>#REF!</v>
      </c>
      <c r="IU55" t="e">
        <f>AND(#REF!,"AAAAAGgPf/4=")</f>
        <v>#REF!</v>
      </c>
      <c r="IV55" t="e">
        <f>AND(#REF!,"AAAAAGgPf/8=")</f>
        <v>#REF!</v>
      </c>
    </row>
    <row r="56" spans="1:256" x14ac:dyDescent="0.25">
      <c r="A56" t="e">
        <f>IF(#REF!,"AAAAABrvWgA=",0)</f>
        <v>#REF!</v>
      </c>
      <c r="B56" t="e">
        <f>AND(#REF!,"AAAAABrvWgE=")</f>
        <v>#REF!</v>
      </c>
      <c r="C56" t="e">
        <f>AND(#REF!,"AAAAABrvWgI=")</f>
        <v>#REF!</v>
      </c>
      <c r="D56" t="e">
        <f>AND(#REF!,"AAAAABrvWgM=")</f>
        <v>#REF!</v>
      </c>
      <c r="E56" t="e">
        <f>AND(#REF!,"AAAAABrvWgQ=")</f>
        <v>#REF!</v>
      </c>
      <c r="F56" t="e">
        <f>AND(#REF!,"AAAAABrvWgU=")</f>
        <v>#REF!</v>
      </c>
      <c r="G56" t="e">
        <f>AND(#REF!,"AAAAABrvWgY=")</f>
        <v>#REF!</v>
      </c>
      <c r="H56" t="e">
        <f>AND(#REF!,"AAAAABrvWgc=")</f>
        <v>#REF!</v>
      </c>
      <c r="I56" t="e">
        <f>AND(#REF!,"AAAAABrvWgg=")</f>
        <v>#REF!</v>
      </c>
      <c r="J56" t="e">
        <f>AND(#REF!,"AAAAABrvWgk=")</f>
        <v>#REF!</v>
      </c>
      <c r="K56" t="e">
        <f>AND(#REF!,"AAAAABrvWgo=")</f>
        <v>#REF!</v>
      </c>
      <c r="L56" t="e">
        <f>AND(#REF!,"AAAAABrvWgs=")</f>
        <v>#REF!</v>
      </c>
      <c r="M56" t="e">
        <f>AND(#REF!,"AAAAABrvWgw=")</f>
        <v>#REF!</v>
      </c>
      <c r="N56" t="e">
        <f>AND(#REF!,"AAAAABrvWg0=")</f>
        <v>#REF!</v>
      </c>
      <c r="O56" t="e">
        <f>AND(#REF!,"AAAAABrvWg4=")</f>
        <v>#REF!</v>
      </c>
      <c r="P56" t="e">
        <f>AND(#REF!,"AAAAABrvWg8=")</f>
        <v>#REF!</v>
      </c>
      <c r="Q56" t="e">
        <f>AND(#REF!,"AAAAABrvWhA=")</f>
        <v>#REF!</v>
      </c>
      <c r="R56" t="e">
        <f>AND(#REF!,"AAAAABrvWhE=")</f>
        <v>#REF!</v>
      </c>
      <c r="S56" t="e">
        <f>AND(#REF!,"AAAAABrvWhI=")</f>
        <v>#REF!</v>
      </c>
      <c r="T56" t="e">
        <f>AND(#REF!,"AAAAABrvWhM=")</f>
        <v>#REF!</v>
      </c>
      <c r="U56" t="e">
        <f>AND(#REF!,"AAAAABrvWhQ=")</f>
        <v>#REF!</v>
      </c>
      <c r="V56" t="e">
        <f>AND(#REF!,"AAAAABrvWhU=")</f>
        <v>#REF!</v>
      </c>
      <c r="W56" t="e">
        <f>AND(#REF!,"AAAAABrvWhY=")</f>
        <v>#REF!</v>
      </c>
      <c r="X56" t="e">
        <f>AND(#REF!,"AAAAABrvWhc=")</f>
        <v>#REF!</v>
      </c>
      <c r="Y56" t="e">
        <f>AND(#REF!,"AAAAABrvWhg=")</f>
        <v>#REF!</v>
      </c>
      <c r="Z56" t="e">
        <f>AND(#REF!,"AAAAABrvWhk=")</f>
        <v>#REF!</v>
      </c>
      <c r="AA56" t="e">
        <f>AND(#REF!,"AAAAABrvWho=")</f>
        <v>#REF!</v>
      </c>
      <c r="AB56" t="e">
        <f>AND(#REF!,"AAAAABrvWhs=")</f>
        <v>#REF!</v>
      </c>
      <c r="AC56" t="e">
        <f>AND(#REF!,"AAAAABrvWhw=")</f>
        <v>#REF!</v>
      </c>
      <c r="AD56" t="e">
        <f>AND(#REF!,"AAAAABrvWh0=")</f>
        <v>#REF!</v>
      </c>
      <c r="AE56" t="e">
        <f>AND(#REF!,"AAAAABrvWh4=")</f>
        <v>#REF!</v>
      </c>
      <c r="AF56" t="e">
        <f>AND(#REF!,"AAAAABrvWh8=")</f>
        <v>#REF!</v>
      </c>
      <c r="AG56" t="e">
        <f>AND(#REF!,"AAAAABrvWiA=")</f>
        <v>#REF!</v>
      </c>
      <c r="AH56" t="e">
        <f>AND(#REF!,"AAAAABrvWiE=")</f>
        <v>#REF!</v>
      </c>
      <c r="AI56" t="e">
        <f>AND(#REF!,"AAAAABrvWiI=")</f>
        <v>#REF!</v>
      </c>
      <c r="AJ56" t="e">
        <f>AND(#REF!,"AAAAABrvWiM=")</f>
        <v>#REF!</v>
      </c>
      <c r="AK56" t="e">
        <f>AND(#REF!,"AAAAABrvWiQ=")</f>
        <v>#REF!</v>
      </c>
      <c r="AL56" t="e">
        <f>AND(#REF!,"AAAAABrvWiU=")</f>
        <v>#REF!</v>
      </c>
      <c r="AM56" t="e">
        <f>AND(#REF!,"AAAAABrvWiY=")</f>
        <v>#REF!</v>
      </c>
      <c r="AN56" t="e">
        <f>AND(#REF!,"AAAAABrvWic=")</f>
        <v>#REF!</v>
      </c>
      <c r="AO56" t="e">
        <f>AND(#REF!,"AAAAABrvWig=")</f>
        <v>#REF!</v>
      </c>
      <c r="AP56" t="e">
        <f>AND(#REF!,"AAAAABrvWik=")</f>
        <v>#REF!</v>
      </c>
      <c r="AQ56" t="e">
        <f>AND(#REF!,"AAAAABrvWio=")</f>
        <v>#REF!</v>
      </c>
      <c r="AR56" t="e">
        <f>AND(#REF!,"AAAAABrvWis=")</f>
        <v>#REF!</v>
      </c>
      <c r="AS56" t="e">
        <f>IF(#REF!,"AAAAABrvWiw=",0)</f>
        <v>#REF!</v>
      </c>
      <c r="AT56" t="e">
        <f>AND(#REF!,"AAAAABrvWi0=")</f>
        <v>#REF!</v>
      </c>
      <c r="AU56" t="e">
        <f>AND(#REF!,"AAAAABrvWi4=")</f>
        <v>#REF!</v>
      </c>
      <c r="AV56" t="e">
        <f>AND(#REF!,"AAAAABrvWi8=")</f>
        <v>#REF!</v>
      </c>
      <c r="AW56" t="e">
        <f>AND(#REF!,"AAAAABrvWjA=")</f>
        <v>#REF!</v>
      </c>
      <c r="AX56" t="e">
        <f>AND(#REF!,"AAAAABrvWjE=")</f>
        <v>#REF!</v>
      </c>
      <c r="AY56" t="e">
        <f>AND(#REF!,"AAAAABrvWjI=")</f>
        <v>#REF!</v>
      </c>
      <c r="AZ56" t="e">
        <f>AND(#REF!,"AAAAABrvWjM=")</f>
        <v>#REF!</v>
      </c>
      <c r="BA56" t="e">
        <f>AND(#REF!,"AAAAABrvWjQ=")</f>
        <v>#REF!</v>
      </c>
      <c r="BB56" t="e">
        <f>AND(#REF!,"AAAAABrvWjU=")</f>
        <v>#REF!</v>
      </c>
      <c r="BC56" t="e">
        <f>AND(#REF!,"AAAAABrvWjY=")</f>
        <v>#REF!</v>
      </c>
      <c r="BD56" t="e">
        <f>AND(#REF!,"AAAAABrvWjc=")</f>
        <v>#REF!</v>
      </c>
      <c r="BE56" t="e">
        <f>AND(#REF!,"AAAAABrvWjg=")</f>
        <v>#REF!</v>
      </c>
      <c r="BF56" t="e">
        <f>AND(#REF!,"AAAAABrvWjk=")</f>
        <v>#REF!</v>
      </c>
      <c r="BG56" t="e">
        <f>AND(#REF!,"AAAAABrvWjo=")</f>
        <v>#REF!</v>
      </c>
      <c r="BH56" t="e">
        <f>AND(#REF!,"AAAAABrvWjs=")</f>
        <v>#REF!</v>
      </c>
      <c r="BI56" t="e">
        <f>AND(#REF!,"AAAAABrvWjw=")</f>
        <v>#REF!</v>
      </c>
      <c r="BJ56" t="e">
        <f>AND(#REF!,"AAAAABrvWj0=")</f>
        <v>#REF!</v>
      </c>
      <c r="BK56" t="e">
        <f>AND(#REF!,"AAAAABrvWj4=")</f>
        <v>#REF!</v>
      </c>
      <c r="BL56" t="e">
        <f>AND(#REF!,"AAAAABrvWj8=")</f>
        <v>#REF!</v>
      </c>
      <c r="BM56" t="e">
        <f>AND(#REF!,"AAAAABrvWkA=")</f>
        <v>#REF!</v>
      </c>
      <c r="BN56" t="e">
        <f>AND(#REF!,"AAAAABrvWkE=")</f>
        <v>#REF!</v>
      </c>
      <c r="BO56" t="e">
        <f>AND(#REF!,"AAAAABrvWkI=")</f>
        <v>#REF!</v>
      </c>
      <c r="BP56" t="e">
        <f>AND(#REF!,"AAAAABrvWkM=")</f>
        <v>#REF!</v>
      </c>
      <c r="BQ56" t="e">
        <f>AND(#REF!,"AAAAABrvWkQ=")</f>
        <v>#REF!</v>
      </c>
      <c r="BR56" t="e">
        <f>AND(#REF!,"AAAAABrvWkU=")</f>
        <v>#REF!</v>
      </c>
      <c r="BS56" t="e">
        <f>AND(#REF!,"AAAAABrvWkY=")</f>
        <v>#REF!</v>
      </c>
      <c r="BT56" t="e">
        <f>AND(#REF!,"AAAAABrvWkc=")</f>
        <v>#REF!</v>
      </c>
      <c r="BU56" t="e">
        <f>AND(#REF!,"AAAAABrvWkg=")</f>
        <v>#REF!</v>
      </c>
      <c r="BV56" t="e">
        <f>AND(#REF!,"AAAAABrvWkk=")</f>
        <v>#REF!</v>
      </c>
      <c r="BW56" t="e">
        <f>AND(#REF!,"AAAAABrvWko=")</f>
        <v>#REF!</v>
      </c>
      <c r="BX56" t="e">
        <f>AND(#REF!,"AAAAABrvWks=")</f>
        <v>#REF!</v>
      </c>
      <c r="BY56" t="e">
        <f>AND(#REF!,"AAAAABrvWkw=")</f>
        <v>#REF!</v>
      </c>
      <c r="BZ56" t="e">
        <f>AND(#REF!,"AAAAABrvWk0=")</f>
        <v>#REF!</v>
      </c>
      <c r="CA56" t="e">
        <f>AND(#REF!,"AAAAABrvWk4=")</f>
        <v>#REF!</v>
      </c>
      <c r="CB56" t="e">
        <f>AND(#REF!,"AAAAABrvWk8=")</f>
        <v>#REF!</v>
      </c>
      <c r="CC56" t="e">
        <f>AND(#REF!,"AAAAABrvWlA=")</f>
        <v>#REF!</v>
      </c>
      <c r="CD56" t="e">
        <f>AND(#REF!,"AAAAABrvWlE=")</f>
        <v>#REF!</v>
      </c>
      <c r="CE56" t="e">
        <f>AND(#REF!,"AAAAABrvWlI=")</f>
        <v>#REF!</v>
      </c>
      <c r="CF56" t="e">
        <f>AND(#REF!,"AAAAABrvWlM=")</f>
        <v>#REF!</v>
      </c>
      <c r="CG56" t="e">
        <f>AND(#REF!,"AAAAABrvWlQ=")</f>
        <v>#REF!</v>
      </c>
      <c r="CH56" t="e">
        <f>AND(#REF!,"AAAAABrvWlU=")</f>
        <v>#REF!</v>
      </c>
      <c r="CI56" t="e">
        <f>AND(#REF!,"AAAAABrvWlY=")</f>
        <v>#REF!</v>
      </c>
      <c r="CJ56" t="e">
        <f>AND(#REF!,"AAAAABrvWlc=")</f>
        <v>#REF!</v>
      </c>
      <c r="CK56" t="e">
        <f>IF(#REF!,"AAAAABrvWlg=",0)</f>
        <v>#REF!</v>
      </c>
      <c r="CL56" t="e">
        <f>AND(#REF!,"AAAAABrvWlk=")</f>
        <v>#REF!</v>
      </c>
      <c r="CM56" t="e">
        <f>AND(#REF!,"AAAAABrvWlo=")</f>
        <v>#REF!</v>
      </c>
      <c r="CN56" t="e">
        <f>AND(#REF!,"AAAAABrvWls=")</f>
        <v>#REF!</v>
      </c>
      <c r="CO56" t="e">
        <f>AND(#REF!,"AAAAABrvWlw=")</f>
        <v>#REF!</v>
      </c>
      <c r="CP56" t="e">
        <f>AND(#REF!,"AAAAABrvWl0=")</f>
        <v>#REF!</v>
      </c>
      <c r="CQ56" t="e">
        <f>AND(#REF!,"AAAAABrvWl4=")</f>
        <v>#REF!</v>
      </c>
      <c r="CR56" t="e">
        <f>AND(#REF!,"AAAAABrvWl8=")</f>
        <v>#REF!</v>
      </c>
      <c r="CS56" t="e">
        <f>AND(#REF!,"AAAAABrvWmA=")</f>
        <v>#REF!</v>
      </c>
      <c r="CT56" t="e">
        <f>AND(#REF!,"AAAAABrvWmE=")</f>
        <v>#REF!</v>
      </c>
      <c r="CU56" t="e">
        <f>AND(#REF!,"AAAAABrvWmI=")</f>
        <v>#REF!</v>
      </c>
      <c r="CV56" t="e">
        <f>AND(#REF!,"AAAAABrvWmM=")</f>
        <v>#REF!</v>
      </c>
      <c r="CW56" t="e">
        <f>AND(#REF!,"AAAAABrvWmQ=")</f>
        <v>#REF!</v>
      </c>
      <c r="CX56" t="e">
        <f>AND(#REF!,"AAAAABrvWmU=")</f>
        <v>#REF!</v>
      </c>
      <c r="CY56" t="e">
        <f>AND(#REF!,"AAAAABrvWmY=")</f>
        <v>#REF!</v>
      </c>
      <c r="CZ56" t="e">
        <f>AND(#REF!,"AAAAABrvWmc=")</f>
        <v>#REF!</v>
      </c>
      <c r="DA56" t="e">
        <f>AND(#REF!,"AAAAABrvWmg=")</f>
        <v>#REF!</v>
      </c>
      <c r="DB56" t="e">
        <f>AND(#REF!,"AAAAABrvWmk=")</f>
        <v>#REF!</v>
      </c>
      <c r="DC56" t="e">
        <f>AND(#REF!,"AAAAABrvWmo=")</f>
        <v>#REF!</v>
      </c>
      <c r="DD56" t="e">
        <f>AND(#REF!,"AAAAABrvWms=")</f>
        <v>#REF!</v>
      </c>
      <c r="DE56" t="e">
        <f>AND(#REF!,"AAAAABrvWmw=")</f>
        <v>#REF!</v>
      </c>
      <c r="DF56" t="e">
        <f>AND(#REF!,"AAAAABrvWm0=")</f>
        <v>#REF!</v>
      </c>
      <c r="DG56" t="e">
        <f>AND(#REF!,"AAAAABrvWm4=")</f>
        <v>#REF!</v>
      </c>
      <c r="DH56" t="e">
        <f>AND(#REF!,"AAAAABrvWm8=")</f>
        <v>#REF!</v>
      </c>
      <c r="DI56" t="e">
        <f>AND(#REF!,"AAAAABrvWnA=")</f>
        <v>#REF!</v>
      </c>
      <c r="DJ56" t="e">
        <f>AND(#REF!,"AAAAABrvWnE=")</f>
        <v>#REF!</v>
      </c>
      <c r="DK56" t="e">
        <f>AND(#REF!,"AAAAABrvWnI=")</f>
        <v>#REF!</v>
      </c>
      <c r="DL56" t="e">
        <f>AND(#REF!,"AAAAABrvWnM=")</f>
        <v>#REF!</v>
      </c>
      <c r="DM56" t="e">
        <f>AND(#REF!,"AAAAABrvWnQ=")</f>
        <v>#REF!</v>
      </c>
      <c r="DN56" t="e">
        <f>AND(#REF!,"AAAAABrvWnU=")</f>
        <v>#REF!</v>
      </c>
      <c r="DO56" t="e">
        <f>AND(#REF!,"AAAAABrvWnY=")</f>
        <v>#REF!</v>
      </c>
      <c r="DP56" t="e">
        <f>AND(#REF!,"AAAAABrvWnc=")</f>
        <v>#REF!</v>
      </c>
      <c r="DQ56" t="e">
        <f>AND(#REF!,"AAAAABrvWng=")</f>
        <v>#REF!</v>
      </c>
      <c r="DR56" t="e">
        <f>AND(#REF!,"AAAAABrvWnk=")</f>
        <v>#REF!</v>
      </c>
      <c r="DS56" t="e">
        <f>AND(#REF!,"AAAAABrvWno=")</f>
        <v>#REF!</v>
      </c>
      <c r="DT56" t="e">
        <f>AND(#REF!,"AAAAABrvWns=")</f>
        <v>#REF!</v>
      </c>
      <c r="DU56" t="e">
        <f>AND(#REF!,"AAAAABrvWnw=")</f>
        <v>#REF!</v>
      </c>
      <c r="DV56" t="e">
        <f>AND(#REF!,"AAAAABrvWn0=")</f>
        <v>#REF!</v>
      </c>
      <c r="DW56" t="e">
        <f>AND(#REF!,"AAAAABrvWn4=")</f>
        <v>#REF!</v>
      </c>
      <c r="DX56" t="e">
        <f>AND(#REF!,"AAAAABrvWn8=")</f>
        <v>#REF!</v>
      </c>
      <c r="DY56" t="e">
        <f>AND(#REF!,"AAAAABrvWoA=")</f>
        <v>#REF!</v>
      </c>
      <c r="DZ56" t="e">
        <f>AND(#REF!,"AAAAABrvWoE=")</f>
        <v>#REF!</v>
      </c>
      <c r="EA56" t="e">
        <f>AND(#REF!,"AAAAABrvWoI=")</f>
        <v>#REF!</v>
      </c>
      <c r="EB56" t="e">
        <f>AND(#REF!,"AAAAABrvWoM=")</f>
        <v>#REF!</v>
      </c>
      <c r="EC56" t="e">
        <f>IF(#REF!,"AAAAABrvWoQ=",0)</f>
        <v>#REF!</v>
      </c>
      <c r="ED56" t="e">
        <f>AND(#REF!,"AAAAABrvWoU=")</f>
        <v>#REF!</v>
      </c>
      <c r="EE56" t="e">
        <f>AND(#REF!,"AAAAABrvWoY=")</f>
        <v>#REF!</v>
      </c>
      <c r="EF56" t="e">
        <f>AND(#REF!,"AAAAABrvWoc=")</f>
        <v>#REF!</v>
      </c>
      <c r="EG56" t="e">
        <f>AND(#REF!,"AAAAABrvWog=")</f>
        <v>#REF!</v>
      </c>
      <c r="EH56" t="e">
        <f>AND(#REF!,"AAAAABrvWok=")</f>
        <v>#REF!</v>
      </c>
      <c r="EI56" t="e">
        <f>AND(#REF!,"AAAAABrvWoo=")</f>
        <v>#REF!</v>
      </c>
      <c r="EJ56" t="e">
        <f>AND(#REF!,"AAAAABrvWos=")</f>
        <v>#REF!</v>
      </c>
      <c r="EK56" t="e">
        <f>AND(#REF!,"AAAAABrvWow=")</f>
        <v>#REF!</v>
      </c>
      <c r="EL56" t="e">
        <f>AND(#REF!,"AAAAABrvWo0=")</f>
        <v>#REF!</v>
      </c>
      <c r="EM56" t="e">
        <f>AND(#REF!,"AAAAABrvWo4=")</f>
        <v>#REF!</v>
      </c>
      <c r="EN56" t="e">
        <f>AND(#REF!,"AAAAABrvWo8=")</f>
        <v>#REF!</v>
      </c>
      <c r="EO56" t="e">
        <f>AND(#REF!,"AAAAABrvWpA=")</f>
        <v>#REF!</v>
      </c>
      <c r="EP56" t="e">
        <f>AND(#REF!,"AAAAABrvWpE=")</f>
        <v>#REF!</v>
      </c>
      <c r="EQ56" t="e">
        <f>AND(#REF!,"AAAAABrvWpI=")</f>
        <v>#REF!</v>
      </c>
      <c r="ER56" t="e">
        <f>AND(#REF!,"AAAAABrvWpM=")</f>
        <v>#REF!</v>
      </c>
      <c r="ES56" t="e">
        <f>AND(#REF!,"AAAAABrvWpQ=")</f>
        <v>#REF!</v>
      </c>
      <c r="ET56" t="e">
        <f>AND(#REF!,"AAAAABrvWpU=")</f>
        <v>#REF!</v>
      </c>
      <c r="EU56" t="e">
        <f>AND(#REF!,"AAAAABrvWpY=")</f>
        <v>#REF!</v>
      </c>
      <c r="EV56" t="e">
        <f>AND(#REF!,"AAAAABrvWpc=")</f>
        <v>#REF!</v>
      </c>
      <c r="EW56" t="e">
        <f>AND(#REF!,"AAAAABrvWpg=")</f>
        <v>#REF!</v>
      </c>
      <c r="EX56" t="e">
        <f>AND(#REF!,"AAAAABrvWpk=")</f>
        <v>#REF!</v>
      </c>
      <c r="EY56" t="e">
        <f>AND(#REF!,"AAAAABrvWpo=")</f>
        <v>#REF!</v>
      </c>
      <c r="EZ56" t="e">
        <f>AND(#REF!,"AAAAABrvWps=")</f>
        <v>#REF!</v>
      </c>
      <c r="FA56" t="e">
        <f>AND(#REF!,"AAAAABrvWpw=")</f>
        <v>#REF!</v>
      </c>
      <c r="FB56" t="e">
        <f>AND(#REF!,"AAAAABrvWp0=")</f>
        <v>#REF!</v>
      </c>
      <c r="FC56" t="e">
        <f>AND(#REF!,"AAAAABrvWp4=")</f>
        <v>#REF!</v>
      </c>
      <c r="FD56" t="e">
        <f>AND(#REF!,"AAAAABrvWp8=")</f>
        <v>#REF!</v>
      </c>
      <c r="FE56" t="e">
        <f>AND(#REF!,"AAAAABrvWqA=")</f>
        <v>#REF!</v>
      </c>
      <c r="FF56" t="e">
        <f>AND(#REF!,"AAAAABrvWqE=")</f>
        <v>#REF!</v>
      </c>
      <c r="FG56" t="e">
        <f>AND(#REF!,"AAAAABrvWqI=")</f>
        <v>#REF!</v>
      </c>
      <c r="FH56" t="e">
        <f>AND(#REF!,"AAAAABrvWqM=")</f>
        <v>#REF!</v>
      </c>
      <c r="FI56" t="e">
        <f>AND(#REF!,"AAAAABrvWqQ=")</f>
        <v>#REF!</v>
      </c>
      <c r="FJ56" t="e">
        <f>AND(#REF!,"AAAAABrvWqU=")</f>
        <v>#REF!</v>
      </c>
      <c r="FK56" t="e">
        <f>AND(#REF!,"AAAAABrvWqY=")</f>
        <v>#REF!</v>
      </c>
      <c r="FL56" t="e">
        <f>AND(#REF!,"AAAAABrvWqc=")</f>
        <v>#REF!</v>
      </c>
      <c r="FM56" t="e">
        <f>AND(#REF!,"AAAAABrvWqg=")</f>
        <v>#REF!</v>
      </c>
      <c r="FN56" t="e">
        <f>AND(#REF!,"AAAAABrvWqk=")</f>
        <v>#REF!</v>
      </c>
      <c r="FO56" t="e">
        <f>AND(#REF!,"AAAAABrvWqo=")</f>
        <v>#REF!</v>
      </c>
      <c r="FP56" t="e">
        <f>AND(#REF!,"AAAAABrvWqs=")</f>
        <v>#REF!</v>
      </c>
      <c r="FQ56" t="e">
        <f>AND(#REF!,"AAAAABrvWqw=")</f>
        <v>#REF!</v>
      </c>
      <c r="FR56" t="e">
        <f>AND(#REF!,"AAAAABrvWq0=")</f>
        <v>#REF!</v>
      </c>
      <c r="FS56" t="e">
        <f>AND(#REF!,"AAAAABrvWq4=")</f>
        <v>#REF!</v>
      </c>
      <c r="FT56" t="e">
        <f>AND(#REF!,"AAAAABrvWq8=")</f>
        <v>#REF!</v>
      </c>
      <c r="FU56" t="e">
        <f>IF(#REF!,"AAAAABrvWrA=",0)</f>
        <v>#REF!</v>
      </c>
      <c r="FV56" t="e">
        <f>AND(#REF!,"AAAAABrvWrE=")</f>
        <v>#REF!</v>
      </c>
      <c r="FW56" t="e">
        <f>AND(#REF!,"AAAAABrvWrI=")</f>
        <v>#REF!</v>
      </c>
      <c r="FX56" t="e">
        <f>AND(#REF!,"AAAAABrvWrM=")</f>
        <v>#REF!</v>
      </c>
      <c r="FY56" t="e">
        <f>AND(#REF!,"AAAAABrvWrQ=")</f>
        <v>#REF!</v>
      </c>
      <c r="FZ56" t="e">
        <f>AND(#REF!,"AAAAABrvWrU=")</f>
        <v>#REF!</v>
      </c>
      <c r="GA56" t="e">
        <f>AND(#REF!,"AAAAABrvWrY=")</f>
        <v>#REF!</v>
      </c>
      <c r="GB56" t="e">
        <f>AND(#REF!,"AAAAABrvWrc=")</f>
        <v>#REF!</v>
      </c>
      <c r="GC56" t="e">
        <f>AND(#REF!,"AAAAABrvWrg=")</f>
        <v>#REF!</v>
      </c>
      <c r="GD56" t="e">
        <f>AND(#REF!,"AAAAABrvWrk=")</f>
        <v>#REF!</v>
      </c>
      <c r="GE56" t="e">
        <f>AND(#REF!,"AAAAABrvWro=")</f>
        <v>#REF!</v>
      </c>
      <c r="GF56" t="e">
        <f>AND(#REF!,"AAAAABrvWrs=")</f>
        <v>#REF!</v>
      </c>
      <c r="GG56" t="e">
        <f>AND(#REF!,"AAAAABrvWrw=")</f>
        <v>#REF!</v>
      </c>
      <c r="GH56" t="e">
        <f>AND(#REF!,"AAAAABrvWr0=")</f>
        <v>#REF!</v>
      </c>
      <c r="GI56" t="e">
        <f>AND(#REF!,"AAAAABrvWr4=")</f>
        <v>#REF!</v>
      </c>
      <c r="GJ56" t="e">
        <f>AND(#REF!,"AAAAABrvWr8=")</f>
        <v>#REF!</v>
      </c>
      <c r="GK56" t="e">
        <f>AND(#REF!,"AAAAABrvWsA=")</f>
        <v>#REF!</v>
      </c>
      <c r="GL56" t="e">
        <f>AND(#REF!,"AAAAABrvWsE=")</f>
        <v>#REF!</v>
      </c>
      <c r="GM56" t="e">
        <f>AND(#REF!,"AAAAABrvWsI=")</f>
        <v>#REF!</v>
      </c>
      <c r="GN56" t="e">
        <f>AND(#REF!,"AAAAABrvWsM=")</f>
        <v>#REF!</v>
      </c>
      <c r="GO56" t="e">
        <f>AND(#REF!,"AAAAABrvWsQ=")</f>
        <v>#REF!</v>
      </c>
      <c r="GP56" t="e">
        <f>AND(#REF!,"AAAAABrvWsU=")</f>
        <v>#REF!</v>
      </c>
      <c r="GQ56" t="e">
        <f>AND(#REF!,"AAAAABrvWsY=")</f>
        <v>#REF!</v>
      </c>
      <c r="GR56" t="e">
        <f>AND(#REF!,"AAAAABrvWsc=")</f>
        <v>#REF!</v>
      </c>
      <c r="GS56" t="e">
        <f>AND(#REF!,"AAAAABrvWsg=")</f>
        <v>#REF!</v>
      </c>
      <c r="GT56" t="e">
        <f>AND(#REF!,"AAAAABrvWsk=")</f>
        <v>#REF!</v>
      </c>
      <c r="GU56" t="e">
        <f>AND(#REF!,"AAAAABrvWso=")</f>
        <v>#REF!</v>
      </c>
      <c r="GV56" t="e">
        <f>AND(#REF!,"AAAAABrvWss=")</f>
        <v>#REF!</v>
      </c>
      <c r="GW56" t="e">
        <f>AND(#REF!,"AAAAABrvWsw=")</f>
        <v>#REF!</v>
      </c>
      <c r="GX56" t="e">
        <f>AND(#REF!,"AAAAABrvWs0=")</f>
        <v>#REF!</v>
      </c>
      <c r="GY56" t="e">
        <f>AND(#REF!,"AAAAABrvWs4=")</f>
        <v>#REF!</v>
      </c>
      <c r="GZ56" t="e">
        <f>AND(#REF!,"AAAAABrvWs8=")</f>
        <v>#REF!</v>
      </c>
      <c r="HA56" t="e">
        <f>AND(#REF!,"AAAAABrvWtA=")</f>
        <v>#REF!</v>
      </c>
      <c r="HB56" t="e">
        <f>AND(#REF!,"AAAAABrvWtE=")</f>
        <v>#REF!</v>
      </c>
      <c r="HC56" t="e">
        <f>AND(#REF!,"AAAAABrvWtI=")</f>
        <v>#REF!</v>
      </c>
      <c r="HD56" t="e">
        <f>AND(#REF!,"AAAAABrvWtM=")</f>
        <v>#REF!</v>
      </c>
      <c r="HE56" t="e">
        <f>AND(#REF!,"AAAAABrvWtQ=")</f>
        <v>#REF!</v>
      </c>
      <c r="HF56" t="e">
        <f>AND(#REF!,"AAAAABrvWtU=")</f>
        <v>#REF!</v>
      </c>
      <c r="HG56" t="e">
        <f>AND(#REF!,"AAAAABrvWtY=")</f>
        <v>#REF!</v>
      </c>
      <c r="HH56" t="e">
        <f>AND(#REF!,"AAAAABrvWtc=")</f>
        <v>#REF!</v>
      </c>
      <c r="HI56" t="e">
        <f>AND(#REF!,"AAAAABrvWtg=")</f>
        <v>#REF!</v>
      </c>
      <c r="HJ56" t="e">
        <f>AND(#REF!,"AAAAABrvWtk=")</f>
        <v>#REF!</v>
      </c>
      <c r="HK56" t="e">
        <f>AND(#REF!,"AAAAABrvWto=")</f>
        <v>#REF!</v>
      </c>
      <c r="HL56" t="e">
        <f>AND(#REF!,"AAAAABrvWts=")</f>
        <v>#REF!</v>
      </c>
      <c r="HM56" t="e">
        <f>IF(#REF!,"AAAAABrvWtw=",0)</f>
        <v>#REF!</v>
      </c>
      <c r="HN56" t="e">
        <f>AND(#REF!,"AAAAABrvWt0=")</f>
        <v>#REF!</v>
      </c>
      <c r="HO56" t="e">
        <f>AND(#REF!,"AAAAABrvWt4=")</f>
        <v>#REF!</v>
      </c>
      <c r="HP56" t="e">
        <f>AND(#REF!,"AAAAABrvWt8=")</f>
        <v>#REF!</v>
      </c>
      <c r="HQ56" t="e">
        <f>AND(#REF!,"AAAAABrvWuA=")</f>
        <v>#REF!</v>
      </c>
      <c r="HR56" t="e">
        <f>AND(#REF!,"AAAAABrvWuE=")</f>
        <v>#REF!</v>
      </c>
      <c r="HS56" t="e">
        <f>AND(#REF!,"AAAAABrvWuI=")</f>
        <v>#REF!</v>
      </c>
      <c r="HT56" t="e">
        <f>AND(#REF!,"AAAAABrvWuM=")</f>
        <v>#REF!</v>
      </c>
      <c r="HU56" t="e">
        <f>AND(#REF!,"AAAAABrvWuQ=")</f>
        <v>#REF!</v>
      </c>
      <c r="HV56" t="e">
        <f>AND(#REF!,"AAAAABrvWuU=")</f>
        <v>#REF!</v>
      </c>
      <c r="HW56" t="e">
        <f>AND(#REF!,"AAAAABrvWuY=")</f>
        <v>#REF!</v>
      </c>
      <c r="HX56" t="e">
        <f>AND(#REF!,"AAAAABrvWuc=")</f>
        <v>#REF!</v>
      </c>
      <c r="HY56" t="e">
        <f>AND(#REF!,"AAAAABrvWug=")</f>
        <v>#REF!</v>
      </c>
      <c r="HZ56" t="e">
        <f>AND(#REF!,"AAAAABrvWuk=")</f>
        <v>#REF!</v>
      </c>
      <c r="IA56" t="e">
        <f>AND(#REF!,"AAAAABrvWuo=")</f>
        <v>#REF!</v>
      </c>
      <c r="IB56" t="e">
        <f>AND(#REF!,"AAAAABrvWus=")</f>
        <v>#REF!</v>
      </c>
      <c r="IC56" t="e">
        <f>AND(#REF!,"AAAAABrvWuw=")</f>
        <v>#REF!</v>
      </c>
      <c r="ID56" t="e">
        <f>AND(#REF!,"AAAAABrvWu0=")</f>
        <v>#REF!</v>
      </c>
      <c r="IE56" t="e">
        <f>AND(#REF!,"AAAAABrvWu4=")</f>
        <v>#REF!</v>
      </c>
      <c r="IF56" t="e">
        <f>AND(#REF!,"AAAAABrvWu8=")</f>
        <v>#REF!</v>
      </c>
      <c r="IG56" t="e">
        <f>AND(#REF!,"AAAAABrvWvA=")</f>
        <v>#REF!</v>
      </c>
      <c r="IH56" t="e">
        <f>AND(#REF!,"AAAAABrvWvE=")</f>
        <v>#REF!</v>
      </c>
      <c r="II56" t="e">
        <f>AND(#REF!,"AAAAABrvWvI=")</f>
        <v>#REF!</v>
      </c>
      <c r="IJ56" t="e">
        <f>AND(#REF!,"AAAAABrvWvM=")</f>
        <v>#REF!</v>
      </c>
      <c r="IK56" t="e">
        <f>AND(#REF!,"AAAAABrvWvQ=")</f>
        <v>#REF!</v>
      </c>
      <c r="IL56" t="e">
        <f>AND(#REF!,"AAAAABrvWvU=")</f>
        <v>#REF!</v>
      </c>
      <c r="IM56" t="e">
        <f>AND(#REF!,"AAAAABrvWvY=")</f>
        <v>#REF!</v>
      </c>
      <c r="IN56" t="e">
        <f>AND(#REF!,"AAAAABrvWvc=")</f>
        <v>#REF!</v>
      </c>
      <c r="IO56" t="e">
        <f>AND(#REF!,"AAAAABrvWvg=")</f>
        <v>#REF!</v>
      </c>
      <c r="IP56" t="e">
        <f>AND(#REF!,"AAAAABrvWvk=")</f>
        <v>#REF!</v>
      </c>
      <c r="IQ56" t="e">
        <f>AND(#REF!,"AAAAABrvWvo=")</f>
        <v>#REF!</v>
      </c>
      <c r="IR56" t="e">
        <f>AND(#REF!,"AAAAABrvWvs=")</f>
        <v>#REF!</v>
      </c>
      <c r="IS56" t="e">
        <f>AND(#REF!,"AAAAABrvWvw=")</f>
        <v>#REF!</v>
      </c>
      <c r="IT56" t="e">
        <f>AND(#REF!,"AAAAABrvWv0=")</f>
        <v>#REF!</v>
      </c>
      <c r="IU56" t="e">
        <f>AND(#REF!,"AAAAABrvWv4=")</f>
        <v>#REF!</v>
      </c>
      <c r="IV56" t="e">
        <f>AND(#REF!,"AAAAABrvWv8=")</f>
        <v>#REF!</v>
      </c>
    </row>
    <row r="57" spans="1:256" x14ac:dyDescent="0.25">
      <c r="A57" t="e">
        <f>AND(#REF!,"AAAAAGa/0gA=")</f>
        <v>#REF!</v>
      </c>
      <c r="B57" t="e">
        <f>AND(#REF!,"AAAAAGa/0gE=")</f>
        <v>#REF!</v>
      </c>
      <c r="C57" t="e">
        <f>AND(#REF!,"AAAAAGa/0gI=")</f>
        <v>#REF!</v>
      </c>
      <c r="D57" t="e">
        <f>AND(#REF!,"AAAAAGa/0gM=")</f>
        <v>#REF!</v>
      </c>
      <c r="E57" t="e">
        <f>AND(#REF!,"AAAAAGa/0gQ=")</f>
        <v>#REF!</v>
      </c>
      <c r="F57" t="e">
        <f>AND(#REF!,"AAAAAGa/0gU=")</f>
        <v>#REF!</v>
      </c>
      <c r="G57" t="e">
        <f>AND(#REF!,"AAAAAGa/0gY=")</f>
        <v>#REF!</v>
      </c>
      <c r="H57" t="e">
        <f>AND(#REF!,"AAAAAGa/0gc=")</f>
        <v>#REF!</v>
      </c>
      <c r="I57" t="e">
        <f>IF(#REF!,"AAAAAGa/0gg=",0)</f>
        <v>#REF!</v>
      </c>
      <c r="J57" t="e">
        <f>AND(#REF!,"AAAAAGa/0gk=")</f>
        <v>#REF!</v>
      </c>
      <c r="K57" t="e">
        <f>AND(#REF!,"AAAAAGa/0go=")</f>
        <v>#REF!</v>
      </c>
      <c r="L57" t="e">
        <f>AND(#REF!,"AAAAAGa/0gs=")</f>
        <v>#REF!</v>
      </c>
      <c r="M57" t="e">
        <f>AND(#REF!,"AAAAAGa/0gw=")</f>
        <v>#REF!</v>
      </c>
      <c r="N57" t="e">
        <f>AND(#REF!,"AAAAAGa/0g0=")</f>
        <v>#REF!</v>
      </c>
      <c r="O57" t="e">
        <f>AND(#REF!,"AAAAAGa/0g4=")</f>
        <v>#REF!</v>
      </c>
      <c r="P57" t="e">
        <f>AND(#REF!,"AAAAAGa/0g8=")</f>
        <v>#REF!</v>
      </c>
      <c r="Q57" t="e">
        <f>AND(#REF!,"AAAAAGa/0hA=")</f>
        <v>#REF!</v>
      </c>
      <c r="R57" t="e">
        <f>AND(#REF!,"AAAAAGa/0hE=")</f>
        <v>#REF!</v>
      </c>
      <c r="S57" t="e">
        <f>AND(#REF!,"AAAAAGa/0hI=")</f>
        <v>#REF!</v>
      </c>
      <c r="T57" t="e">
        <f>AND(#REF!,"AAAAAGa/0hM=")</f>
        <v>#REF!</v>
      </c>
      <c r="U57" t="e">
        <f>AND(#REF!,"AAAAAGa/0hQ=")</f>
        <v>#REF!</v>
      </c>
      <c r="V57" t="e">
        <f>AND(#REF!,"AAAAAGa/0hU=")</f>
        <v>#REF!</v>
      </c>
      <c r="W57" t="e">
        <f>AND(#REF!,"AAAAAGa/0hY=")</f>
        <v>#REF!</v>
      </c>
      <c r="X57" t="e">
        <f>AND(#REF!,"AAAAAGa/0hc=")</f>
        <v>#REF!</v>
      </c>
      <c r="Y57" t="e">
        <f>AND(#REF!,"AAAAAGa/0hg=")</f>
        <v>#REF!</v>
      </c>
      <c r="Z57" t="e">
        <f>AND(#REF!,"AAAAAGa/0hk=")</f>
        <v>#REF!</v>
      </c>
      <c r="AA57" t="e">
        <f>AND(#REF!,"AAAAAGa/0ho=")</f>
        <v>#REF!</v>
      </c>
      <c r="AB57" t="e">
        <f>AND(#REF!,"AAAAAGa/0hs=")</f>
        <v>#REF!</v>
      </c>
      <c r="AC57" t="e">
        <f>AND(#REF!,"AAAAAGa/0hw=")</f>
        <v>#REF!</v>
      </c>
      <c r="AD57" t="e">
        <f>AND(#REF!,"AAAAAGa/0h0=")</f>
        <v>#REF!</v>
      </c>
      <c r="AE57" t="e">
        <f>AND(#REF!,"AAAAAGa/0h4=")</f>
        <v>#REF!</v>
      </c>
      <c r="AF57" t="e">
        <f>AND(#REF!,"AAAAAGa/0h8=")</f>
        <v>#REF!</v>
      </c>
      <c r="AG57" t="e">
        <f>AND(#REF!,"AAAAAGa/0iA=")</f>
        <v>#REF!</v>
      </c>
      <c r="AH57" t="e">
        <f>AND(#REF!,"AAAAAGa/0iE=")</f>
        <v>#REF!</v>
      </c>
      <c r="AI57" t="e">
        <f>AND(#REF!,"AAAAAGa/0iI=")</f>
        <v>#REF!</v>
      </c>
      <c r="AJ57" t="e">
        <f>AND(#REF!,"AAAAAGa/0iM=")</f>
        <v>#REF!</v>
      </c>
      <c r="AK57" t="e">
        <f>AND(#REF!,"AAAAAGa/0iQ=")</f>
        <v>#REF!</v>
      </c>
      <c r="AL57" t="e">
        <f>AND(#REF!,"AAAAAGa/0iU=")</f>
        <v>#REF!</v>
      </c>
      <c r="AM57" t="e">
        <f>AND(#REF!,"AAAAAGa/0iY=")</f>
        <v>#REF!</v>
      </c>
      <c r="AN57" t="e">
        <f>AND(#REF!,"AAAAAGa/0ic=")</f>
        <v>#REF!</v>
      </c>
      <c r="AO57" t="e">
        <f>AND(#REF!,"AAAAAGa/0ig=")</f>
        <v>#REF!</v>
      </c>
      <c r="AP57" t="e">
        <f>AND(#REF!,"AAAAAGa/0ik=")</f>
        <v>#REF!</v>
      </c>
      <c r="AQ57" t="e">
        <f>AND(#REF!,"AAAAAGa/0io=")</f>
        <v>#REF!</v>
      </c>
      <c r="AR57" t="e">
        <f>AND(#REF!,"AAAAAGa/0is=")</f>
        <v>#REF!</v>
      </c>
      <c r="AS57" t="e">
        <f>AND(#REF!,"AAAAAGa/0iw=")</f>
        <v>#REF!</v>
      </c>
      <c r="AT57" t="e">
        <f>AND(#REF!,"AAAAAGa/0i0=")</f>
        <v>#REF!</v>
      </c>
      <c r="AU57" t="e">
        <f>AND(#REF!,"AAAAAGa/0i4=")</f>
        <v>#REF!</v>
      </c>
      <c r="AV57" t="e">
        <f>AND(#REF!,"AAAAAGa/0i8=")</f>
        <v>#REF!</v>
      </c>
      <c r="AW57" t="e">
        <f>AND(#REF!,"AAAAAGa/0jA=")</f>
        <v>#REF!</v>
      </c>
      <c r="AX57" t="e">
        <f>AND(#REF!,"AAAAAGa/0jE=")</f>
        <v>#REF!</v>
      </c>
      <c r="AY57" t="e">
        <f>AND(#REF!,"AAAAAGa/0jI=")</f>
        <v>#REF!</v>
      </c>
      <c r="AZ57" t="e">
        <f>AND(#REF!,"AAAAAGa/0jM=")</f>
        <v>#REF!</v>
      </c>
      <c r="BA57" t="e">
        <f>IF(#REF!,"AAAAAGa/0jQ=",0)</f>
        <v>#REF!</v>
      </c>
      <c r="BB57" t="e">
        <f>AND(#REF!,"AAAAAGa/0jU=")</f>
        <v>#REF!</v>
      </c>
      <c r="BC57" t="e">
        <f>AND(#REF!,"AAAAAGa/0jY=")</f>
        <v>#REF!</v>
      </c>
      <c r="BD57" t="e">
        <f>AND(#REF!,"AAAAAGa/0jc=")</f>
        <v>#REF!</v>
      </c>
      <c r="BE57" t="e">
        <f>AND(#REF!,"AAAAAGa/0jg=")</f>
        <v>#REF!</v>
      </c>
      <c r="BF57" t="e">
        <f>AND(#REF!,"AAAAAGa/0jk=")</f>
        <v>#REF!</v>
      </c>
      <c r="BG57" t="e">
        <f>AND(#REF!,"AAAAAGa/0jo=")</f>
        <v>#REF!</v>
      </c>
      <c r="BH57" t="e">
        <f>AND(#REF!,"AAAAAGa/0js=")</f>
        <v>#REF!</v>
      </c>
      <c r="BI57" t="e">
        <f>AND(#REF!,"AAAAAGa/0jw=")</f>
        <v>#REF!</v>
      </c>
      <c r="BJ57" t="e">
        <f>AND(#REF!,"AAAAAGa/0j0=")</f>
        <v>#REF!</v>
      </c>
      <c r="BK57" t="e">
        <f>AND(#REF!,"AAAAAGa/0j4=")</f>
        <v>#REF!</v>
      </c>
      <c r="BL57" t="e">
        <f>AND(#REF!,"AAAAAGa/0j8=")</f>
        <v>#REF!</v>
      </c>
      <c r="BM57" t="e">
        <f>AND(#REF!,"AAAAAGa/0kA=")</f>
        <v>#REF!</v>
      </c>
      <c r="BN57" t="e">
        <f>AND(#REF!,"AAAAAGa/0kE=")</f>
        <v>#REF!</v>
      </c>
      <c r="BO57" t="e">
        <f>AND(#REF!,"AAAAAGa/0kI=")</f>
        <v>#REF!</v>
      </c>
      <c r="BP57" t="e">
        <f>AND(#REF!,"AAAAAGa/0kM=")</f>
        <v>#REF!</v>
      </c>
      <c r="BQ57" t="e">
        <f>AND(#REF!,"AAAAAGa/0kQ=")</f>
        <v>#REF!</v>
      </c>
      <c r="BR57" t="e">
        <f>AND(#REF!,"AAAAAGa/0kU=")</f>
        <v>#REF!</v>
      </c>
      <c r="BS57" t="e">
        <f>AND(#REF!,"AAAAAGa/0kY=")</f>
        <v>#REF!</v>
      </c>
      <c r="BT57" t="e">
        <f>AND(#REF!,"AAAAAGa/0kc=")</f>
        <v>#REF!</v>
      </c>
      <c r="BU57" t="e">
        <f>AND(#REF!,"AAAAAGa/0kg=")</f>
        <v>#REF!</v>
      </c>
      <c r="BV57" t="e">
        <f>AND(#REF!,"AAAAAGa/0kk=")</f>
        <v>#REF!</v>
      </c>
      <c r="BW57" t="e">
        <f>AND(#REF!,"AAAAAGa/0ko=")</f>
        <v>#REF!</v>
      </c>
      <c r="BX57" t="e">
        <f>AND(#REF!,"AAAAAGa/0ks=")</f>
        <v>#REF!</v>
      </c>
      <c r="BY57" t="e">
        <f>AND(#REF!,"AAAAAGa/0kw=")</f>
        <v>#REF!</v>
      </c>
      <c r="BZ57" t="e">
        <f>AND(#REF!,"AAAAAGa/0k0=")</f>
        <v>#REF!</v>
      </c>
      <c r="CA57" t="e">
        <f>AND(#REF!,"AAAAAGa/0k4=")</f>
        <v>#REF!</v>
      </c>
      <c r="CB57" t="e">
        <f>AND(#REF!,"AAAAAGa/0k8=")</f>
        <v>#REF!</v>
      </c>
      <c r="CC57" t="e">
        <f>AND(#REF!,"AAAAAGa/0lA=")</f>
        <v>#REF!</v>
      </c>
      <c r="CD57" t="e">
        <f>AND(#REF!,"AAAAAGa/0lE=")</f>
        <v>#REF!</v>
      </c>
      <c r="CE57" t="e">
        <f>AND(#REF!,"AAAAAGa/0lI=")</f>
        <v>#REF!</v>
      </c>
      <c r="CF57" t="e">
        <f>AND(#REF!,"AAAAAGa/0lM=")</f>
        <v>#REF!</v>
      </c>
      <c r="CG57" t="e">
        <f>AND(#REF!,"AAAAAGa/0lQ=")</f>
        <v>#REF!</v>
      </c>
      <c r="CH57" t="e">
        <f>AND(#REF!,"AAAAAGa/0lU=")</f>
        <v>#REF!</v>
      </c>
      <c r="CI57" t="e">
        <f>AND(#REF!,"AAAAAGa/0lY=")</f>
        <v>#REF!</v>
      </c>
      <c r="CJ57" t="e">
        <f>AND(#REF!,"AAAAAGa/0lc=")</f>
        <v>#REF!</v>
      </c>
      <c r="CK57" t="e">
        <f>AND(#REF!,"AAAAAGa/0lg=")</f>
        <v>#REF!</v>
      </c>
      <c r="CL57" t="e">
        <f>AND(#REF!,"AAAAAGa/0lk=")</f>
        <v>#REF!</v>
      </c>
      <c r="CM57" t="e">
        <f>AND(#REF!,"AAAAAGa/0lo=")</f>
        <v>#REF!</v>
      </c>
      <c r="CN57" t="e">
        <f>AND(#REF!,"AAAAAGa/0ls=")</f>
        <v>#REF!</v>
      </c>
      <c r="CO57" t="e">
        <f>AND(#REF!,"AAAAAGa/0lw=")</f>
        <v>#REF!</v>
      </c>
      <c r="CP57" t="e">
        <f>AND(#REF!,"AAAAAGa/0l0=")</f>
        <v>#REF!</v>
      </c>
      <c r="CQ57" t="e">
        <f>AND(#REF!,"AAAAAGa/0l4=")</f>
        <v>#REF!</v>
      </c>
      <c r="CR57" t="e">
        <f>AND(#REF!,"AAAAAGa/0l8=")</f>
        <v>#REF!</v>
      </c>
      <c r="CS57" t="e">
        <f>IF(#REF!,"AAAAAGa/0mA=",0)</f>
        <v>#REF!</v>
      </c>
      <c r="CT57" t="e">
        <f>AND(#REF!,"AAAAAGa/0mE=")</f>
        <v>#REF!</v>
      </c>
      <c r="CU57" t="e">
        <f>AND(#REF!,"AAAAAGa/0mI=")</f>
        <v>#REF!</v>
      </c>
      <c r="CV57" t="e">
        <f>AND(#REF!,"AAAAAGa/0mM=")</f>
        <v>#REF!</v>
      </c>
      <c r="CW57" t="e">
        <f>AND(#REF!,"AAAAAGa/0mQ=")</f>
        <v>#REF!</v>
      </c>
      <c r="CX57" t="e">
        <f>AND(#REF!,"AAAAAGa/0mU=")</f>
        <v>#REF!</v>
      </c>
      <c r="CY57" t="e">
        <f>AND(#REF!,"AAAAAGa/0mY=")</f>
        <v>#REF!</v>
      </c>
      <c r="CZ57" t="e">
        <f>AND(#REF!,"AAAAAGa/0mc=")</f>
        <v>#REF!</v>
      </c>
      <c r="DA57" t="e">
        <f>AND(#REF!,"AAAAAGa/0mg=")</f>
        <v>#REF!</v>
      </c>
      <c r="DB57" t="e">
        <f>AND(#REF!,"AAAAAGa/0mk=")</f>
        <v>#REF!</v>
      </c>
      <c r="DC57" t="e">
        <f>AND(#REF!,"AAAAAGa/0mo=")</f>
        <v>#REF!</v>
      </c>
      <c r="DD57" t="e">
        <f>AND(#REF!,"AAAAAGa/0ms=")</f>
        <v>#REF!</v>
      </c>
      <c r="DE57" t="e">
        <f>AND(#REF!,"AAAAAGa/0mw=")</f>
        <v>#REF!</v>
      </c>
      <c r="DF57" t="e">
        <f>AND(#REF!,"AAAAAGa/0m0=")</f>
        <v>#REF!</v>
      </c>
      <c r="DG57" t="e">
        <f>AND(#REF!,"AAAAAGa/0m4=")</f>
        <v>#REF!</v>
      </c>
      <c r="DH57" t="e">
        <f>AND(#REF!,"AAAAAGa/0m8=")</f>
        <v>#REF!</v>
      </c>
      <c r="DI57" t="e">
        <f>AND(#REF!,"AAAAAGa/0nA=")</f>
        <v>#REF!</v>
      </c>
      <c r="DJ57" t="e">
        <f>AND(#REF!,"AAAAAGa/0nE=")</f>
        <v>#REF!</v>
      </c>
      <c r="DK57" t="e">
        <f>AND(#REF!,"AAAAAGa/0nI=")</f>
        <v>#REF!</v>
      </c>
      <c r="DL57" t="e">
        <f>AND(#REF!,"AAAAAGa/0nM=")</f>
        <v>#REF!</v>
      </c>
      <c r="DM57" t="e">
        <f>AND(#REF!,"AAAAAGa/0nQ=")</f>
        <v>#REF!</v>
      </c>
      <c r="DN57" t="e">
        <f>AND(#REF!,"AAAAAGa/0nU=")</f>
        <v>#REF!</v>
      </c>
      <c r="DO57" t="e">
        <f>AND(#REF!,"AAAAAGa/0nY=")</f>
        <v>#REF!</v>
      </c>
      <c r="DP57" t="e">
        <f>AND(#REF!,"AAAAAGa/0nc=")</f>
        <v>#REF!</v>
      </c>
      <c r="DQ57" t="e">
        <f>AND(#REF!,"AAAAAGa/0ng=")</f>
        <v>#REF!</v>
      </c>
      <c r="DR57" t="e">
        <f>AND(#REF!,"AAAAAGa/0nk=")</f>
        <v>#REF!</v>
      </c>
      <c r="DS57" t="e">
        <f>AND(#REF!,"AAAAAGa/0no=")</f>
        <v>#REF!</v>
      </c>
      <c r="DT57" t="e">
        <f>AND(#REF!,"AAAAAGa/0ns=")</f>
        <v>#REF!</v>
      </c>
      <c r="DU57" t="e">
        <f>AND(#REF!,"AAAAAGa/0nw=")</f>
        <v>#REF!</v>
      </c>
      <c r="DV57" t="e">
        <f>AND(#REF!,"AAAAAGa/0n0=")</f>
        <v>#REF!</v>
      </c>
      <c r="DW57" t="e">
        <f>AND(#REF!,"AAAAAGa/0n4=")</f>
        <v>#REF!</v>
      </c>
      <c r="DX57" t="e">
        <f>AND(#REF!,"AAAAAGa/0n8=")</f>
        <v>#REF!</v>
      </c>
      <c r="DY57" t="e">
        <f>AND(#REF!,"AAAAAGa/0oA=")</f>
        <v>#REF!</v>
      </c>
      <c r="DZ57" t="e">
        <f>AND(#REF!,"AAAAAGa/0oE=")</f>
        <v>#REF!</v>
      </c>
      <c r="EA57" t="e">
        <f>AND(#REF!,"AAAAAGa/0oI=")</f>
        <v>#REF!</v>
      </c>
      <c r="EB57" t="e">
        <f>AND(#REF!,"AAAAAGa/0oM=")</f>
        <v>#REF!</v>
      </c>
      <c r="EC57" t="e">
        <f>AND(#REF!,"AAAAAGa/0oQ=")</f>
        <v>#REF!</v>
      </c>
      <c r="ED57" t="e">
        <f>AND(#REF!,"AAAAAGa/0oU=")</f>
        <v>#REF!</v>
      </c>
      <c r="EE57" t="e">
        <f>AND(#REF!,"AAAAAGa/0oY=")</f>
        <v>#REF!</v>
      </c>
      <c r="EF57" t="e">
        <f>AND(#REF!,"AAAAAGa/0oc=")</f>
        <v>#REF!</v>
      </c>
      <c r="EG57" t="e">
        <f>AND(#REF!,"AAAAAGa/0og=")</f>
        <v>#REF!</v>
      </c>
      <c r="EH57" t="e">
        <f>AND(#REF!,"AAAAAGa/0ok=")</f>
        <v>#REF!</v>
      </c>
      <c r="EI57" t="e">
        <f>AND(#REF!,"AAAAAGa/0oo=")</f>
        <v>#REF!</v>
      </c>
      <c r="EJ57" t="e">
        <f>AND(#REF!,"AAAAAGa/0os=")</f>
        <v>#REF!</v>
      </c>
      <c r="EK57" t="e">
        <f>IF(#REF!,"AAAAAGa/0ow=",0)</f>
        <v>#REF!</v>
      </c>
      <c r="EL57" t="e">
        <f>AND(#REF!,"AAAAAGa/0o0=")</f>
        <v>#REF!</v>
      </c>
      <c r="EM57" t="e">
        <f>AND(#REF!,"AAAAAGa/0o4=")</f>
        <v>#REF!</v>
      </c>
      <c r="EN57" t="e">
        <f>AND(#REF!,"AAAAAGa/0o8=")</f>
        <v>#REF!</v>
      </c>
      <c r="EO57" t="e">
        <f>AND(#REF!,"AAAAAGa/0pA=")</f>
        <v>#REF!</v>
      </c>
      <c r="EP57" t="e">
        <f>AND(#REF!,"AAAAAGa/0pE=")</f>
        <v>#REF!</v>
      </c>
      <c r="EQ57" t="e">
        <f>AND(#REF!,"AAAAAGa/0pI=")</f>
        <v>#REF!</v>
      </c>
      <c r="ER57" t="e">
        <f>AND(#REF!,"AAAAAGa/0pM=")</f>
        <v>#REF!</v>
      </c>
      <c r="ES57" t="e">
        <f>AND(#REF!,"AAAAAGa/0pQ=")</f>
        <v>#REF!</v>
      </c>
      <c r="ET57" t="e">
        <f>AND(#REF!,"AAAAAGa/0pU=")</f>
        <v>#REF!</v>
      </c>
      <c r="EU57" t="e">
        <f>AND(#REF!,"AAAAAGa/0pY=")</f>
        <v>#REF!</v>
      </c>
      <c r="EV57" t="e">
        <f>AND(#REF!,"AAAAAGa/0pc=")</f>
        <v>#REF!</v>
      </c>
      <c r="EW57" t="e">
        <f>AND(#REF!,"AAAAAGa/0pg=")</f>
        <v>#REF!</v>
      </c>
      <c r="EX57" t="e">
        <f>AND(#REF!,"AAAAAGa/0pk=")</f>
        <v>#REF!</v>
      </c>
      <c r="EY57" t="e">
        <f>AND(#REF!,"AAAAAGa/0po=")</f>
        <v>#REF!</v>
      </c>
      <c r="EZ57" t="e">
        <f>AND(#REF!,"AAAAAGa/0ps=")</f>
        <v>#REF!</v>
      </c>
      <c r="FA57" t="e">
        <f>AND(#REF!,"AAAAAGa/0pw=")</f>
        <v>#REF!</v>
      </c>
      <c r="FB57" t="e">
        <f>AND(#REF!,"AAAAAGa/0p0=")</f>
        <v>#REF!</v>
      </c>
      <c r="FC57" t="e">
        <f>AND(#REF!,"AAAAAGa/0p4=")</f>
        <v>#REF!</v>
      </c>
      <c r="FD57" t="e">
        <f>AND(#REF!,"AAAAAGa/0p8=")</f>
        <v>#REF!</v>
      </c>
      <c r="FE57" t="e">
        <f>AND(#REF!,"AAAAAGa/0qA=")</f>
        <v>#REF!</v>
      </c>
      <c r="FF57" t="e">
        <f>AND(#REF!,"AAAAAGa/0qE=")</f>
        <v>#REF!</v>
      </c>
      <c r="FG57" t="e">
        <f>AND(#REF!,"AAAAAGa/0qI=")</f>
        <v>#REF!</v>
      </c>
      <c r="FH57" t="e">
        <f>AND(#REF!,"AAAAAGa/0qM=")</f>
        <v>#REF!</v>
      </c>
      <c r="FI57" t="e">
        <f>AND(#REF!,"AAAAAGa/0qQ=")</f>
        <v>#REF!</v>
      </c>
      <c r="FJ57" t="e">
        <f>AND(#REF!,"AAAAAGa/0qU=")</f>
        <v>#REF!</v>
      </c>
      <c r="FK57" t="e">
        <f>AND(#REF!,"AAAAAGa/0qY=")</f>
        <v>#REF!</v>
      </c>
      <c r="FL57" t="e">
        <f>AND(#REF!,"AAAAAGa/0qc=")</f>
        <v>#REF!</v>
      </c>
      <c r="FM57" t="e">
        <f>AND(#REF!,"AAAAAGa/0qg=")</f>
        <v>#REF!</v>
      </c>
      <c r="FN57" t="e">
        <f>AND(#REF!,"AAAAAGa/0qk=")</f>
        <v>#REF!</v>
      </c>
      <c r="FO57" t="e">
        <f>AND(#REF!,"AAAAAGa/0qo=")</f>
        <v>#REF!</v>
      </c>
      <c r="FP57" t="e">
        <f>AND(#REF!,"AAAAAGa/0qs=")</f>
        <v>#REF!</v>
      </c>
      <c r="FQ57" t="e">
        <f>AND(#REF!,"AAAAAGa/0qw=")</f>
        <v>#REF!</v>
      </c>
      <c r="FR57" t="e">
        <f>AND(#REF!,"AAAAAGa/0q0=")</f>
        <v>#REF!</v>
      </c>
      <c r="FS57" t="e">
        <f>AND(#REF!,"AAAAAGa/0q4=")</f>
        <v>#REF!</v>
      </c>
      <c r="FT57" t="e">
        <f>AND(#REF!,"AAAAAGa/0q8=")</f>
        <v>#REF!</v>
      </c>
      <c r="FU57" t="e">
        <f>AND(#REF!,"AAAAAGa/0rA=")</f>
        <v>#REF!</v>
      </c>
      <c r="FV57" t="e">
        <f>AND(#REF!,"AAAAAGa/0rE=")</f>
        <v>#REF!</v>
      </c>
      <c r="FW57" t="e">
        <f>AND(#REF!,"AAAAAGa/0rI=")</f>
        <v>#REF!</v>
      </c>
      <c r="FX57" t="e">
        <f>AND(#REF!,"AAAAAGa/0rM=")</f>
        <v>#REF!</v>
      </c>
      <c r="FY57" t="e">
        <f>AND(#REF!,"AAAAAGa/0rQ=")</f>
        <v>#REF!</v>
      </c>
      <c r="FZ57" t="e">
        <f>AND(#REF!,"AAAAAGa/0rU=")</f>
        <v>#REF!</v>
      </c>
      <c r="GA57" t="e">
        <f>AND(#REF!,"AAAAAGa/0rY=")</f>
        <v>#REF!</v>
      </c>
      <c r="GB57" t="e">
        <f>AND(#REF!,"AAAAAGa/0rc=")</f>
        <v>#REF!</v>
      </c>
      <c r="GC57" t="e">
        <f>IF(#REF!,"AAAAAGa/0rg=",0)</f>
        <v>#REF!</v>
      </c>
      <c r="GD57" t="e">
        <f>AND(#REF!,"AAAAAGa/0rk=")</f>
        <v>#REF!</v>
      </c>
      <c r="GE57" t="e">
        <f>AND(#REF!,"AAAAAGa/0ro=")</f>
        <v>#REF!</v>
      </c>
      <c r="GF57" t="e">
        <f>AND(#REF!,"AAAAAGa/0rs=")</f>
        <v>#REF!</v>
      </c>
      <c r="GG57" t="e">
        <f>AND(#REF!,"AAAAAGa/0rw=")</f>
        <v>#REF!</v>
      </c>
      <c r="GH57" t="e">
        <f>AND(#REF!,"AAAAAGa/0r0=")</f>
        <v>#REF!</v>
      </c>
      <c r="GI57" t="e">
        <f>AND(#REF!,"AAAAAGa/0r4=")</f>
        <v>#REF!</v>
      </c>
      <c r="GJ57" t="e">
        <f>AND(#REF!,"AAAAAGa/0r8=")</f>
        <v>#REF!</v>
      </c>
      <c r="GK57" t="e">
        <f>AND(#REF!,"AAAAAGa/0sA=")</f>
        <v>#REF!</v>
      </c>
      <c r="GL57" t="e">
        <f>AND(#REF!,"AAAAAGa/0sE=")</f>
        <v>#REF!</v>
      </c>
      <c r="GM57" t="e">
        <f>AND(#REF!,"AAAAAGa/0sI=")</f>
        <v>#REF!</v>
      </c>
      <c r="GN57" t="e">
        <f>AND(#REF!,"AAAAAGa/0sM=")</f>
        <v>#REF!</v>
      </c>
      <c r="GO57" t="e">
        <f>AND(#REF!,"AAAAAGa/0sQ=")</f>
        <v>#REF!</v>
      </c>
      <c r="GP57" t="e">
        <f>AND(#REF!,"AAAAAGa/0sU=")</f>
        <v>#REF!</v>
      </c>
      <c r="GQ57" t="e">
        <f>AND(#REF!,"AAAAAGa/0sY=")</f>
        <v>#REF!</v>
      </c>
      <c r="GR57" t="e">
        <f>AND(#REF!,"AAAAAGa/0sc=")</f>
        <v>#REF!</v>
      </c>
      <c r="GS57" t="e">
        <f>AND(#REF!,"AAAAAGa/0sg=")</f>
        <v>#REF!</v>
      </c>
      <c r="GT57" t="e">
        <f>AND(#REF!,"AAAAAGa/0sk=")</f>
        <v>#REF!</v>
      </c>
      <c r="GU57" t="e">
        <f>AND(#REF!,"AAAAAGa/0so=")</f>
        <v>#REF!</v>
      </c>
      <c r="GV57" t="e">
        <f>AND(#REF!,"AAAAAGa/0ss=")</f>
        <v>#REF!</v>
      </c>
      <c r="GW57" t="e">
        <f>AND(#REF!,"AAAAAGa/0sw=")</f>
        <v>#REF!</v>
      </c>
      <c r="GX57" t="e">
        <f>AND(#REF!,"AAAAAGa/0s0=")</f>
        <v>#REF!</v>
      </c>
      <c r="GY57" t="e">
        <f>AND(#REF!,"AAAAAGa/0s4=")</f>
        <v>#REF!</v>
      </c>
      <c r="GZ57" t="e">
        <f>AND(#REF!,"AAAAAGa/0s8=")</f>
        <v>#REF!</v>
      </c>
      <c r="HA57" t="e">
        <f>AND(#REF!,"AAAAAGa/0tA=")</f>
        <v>#REF!</v>
      </c>
      <c r="HB57" t="e">
        <f>AND(#REF!,"AAAAAGa/0tE=")</f>
        <v>#REF!</v>
      </c>
      <c r="HC57" t="e">
        <f>AND(#REF!,"AAAAAGa/0tI=")</f>
        <v>#REF!</v>
      </c>
      <c r="HD57" t="e">
        <f>AND(#REF!,"AAAAAGa/0tM=")</f>
        <v>#REF!</v>
      </c>
      <c r="HE57" t="e">
        <f>AND(#REF!,"AAAAAGa/0tQ=")</f>
        <v>#REF!</v>
      </c>
      <c r="HF57" t="e">
        <f>AND(#REF!,"AAAAAGa/0tU=")</f>
        <v>#REF!</v>
      </c>
      <c r="HG57" t="e">
        <f>AND(#REF!,"AAAAAGa/0tY=")</f>
        <v>#REF!</v>
      </c>
      <c r="HH57" t="e">
        <f>AND(#REF!,"AAAAAGa/0tc=")</f>
        <v>#REF!</v>
      </c>
      <c r="HI57" t="e">
        <f>AND(#REF!,"AAAAAGa/0tg=")</f>
        <v>#REF!</v>
      </c>
      <c r="HJ57" t="e">
        <f>AND(#REF!,"AAAAAGa/0tk=")</f>
        <v>#REF!</v>
      </c>
      <c r="HK57" t="e">
        <f>AND(#REF!,"AAAAAGa/0to=")</f>
        <v>#REF!</v>
      </c>
      <c r="HL57" t="e">
        <f>AND(#REF!,"AAAAAGa/0ts=")</f>
        <v>#REF!</v>
      </c>
      <c r="HM57" t="e">
        <f>AND(#REF!,"AAAAAGa/0tw=")</f>
        <v>#REF!</v>
      </c>
      <c r="HN57" t="e">
        <f>AND(#REF!,"AAAAAGa/0t0=")</f>
        <v>#REF!</v>
      </c>
      <c r="HO57" t="e">
        <f>AND(#REF!,"AAAAAGa/0t4=")</f>
        <v>#REF!</v>
      </c>
      <c r="HP57" t="e">
        <f>AND(#REF!,"AAAAAGa/0t8=")</f>
        <v>#REF!</v>
      </c>
      <c r="HQ57" t="e">
        <f>AND(#REF!,"AAAAAGa/0uA=")</f>
        <v>#REF!</v>
      </c>
      <c r="HR57" t="e">
        <f>AND(#REF!,"AAAAAGa/0uE=")</f>
        <v>#REF!</v>
      </c>
      <c r="HS57" t="e">
        <f>AND(#REF!,"AAAAAGa/0uI=")</f>
        <v>#REF!</v>
      </c>
      <c r="HT57" t="e">
        <f>AND(#REF!,"AAAAAGa/0uM=")</f>
        <v>#REF!</v>
      </c>
      <c r="HU57" t="e">
        <f>IF(#REF!,"AAAAAGa/0uQ=",0)</f>
        <v>#REF!</v>
      </c>
      <c r="HV57" t="e">
        <f>AND(#REF!,"AAAAAGa/0uU=")</f>
        <v>#REF!</v>
      </c>
      <c r="HW57" t="e">
        <f>AND(#REF!,"AAAAAGa/0uY=")</f>
        <v>#REF!</v>
      </c>
      <c r="HX57" t="e">
        <f>AND(#REF!,"AAAAAGa/0uc=")</f>
        <v>#REF!</v>
      </c>
      <c r="HY57" t="e">
        <f>AND(#REF!,"AAAAAGa/0ug=")</f>
        <v>#REF!</v>
      </c>
      <c r="HZ57" t="e">
        <f>AND(#REF!,"AAAAAGa/0uk=")</f>
        <v>#REF!</v>
      </c>
      <c r="IA57" t="e">
        <f>AND(#REF!,"AAAAAGa/0uo=")</f>
        <v>#REF!</v>
      </c>
      <c r="IB57" t="e">
        <f>AND(#REF!,"AAAAAGa/0us=")</f>
        <v>#REF!</v>
      </c>
      <c r="IC57" t="e">
        <f>AND(#REF!,"AAAAAGa/0uw=")</f>
        <v>#REF!</v>
      </c>
      <c r="ID57" t="e">
        <f>AND(#REF!,"AAAAAGa/0u0=")</f>
        <v>#REF!</v>
      </c>
      <c r="IE57" t="e">
        <f>AND(#REF!,"AAAAAGa/0u4=")</f>
        <v>#REF!</v>
      </c>
      <c r="IF57" t="e">
        <f>AND(#REF!,"AAAAAGa/0u8=")</f>
        <v>#REF!</v>
      </c>
      <c r="IG57" t="e">
        <f>AND(#REF!,"AAAAAGa/0vA=")</f>
        <v>#REF!</v>
      </c>
      <c r="IH57" t="e">
        <f>AND(#REF!,"AAAAAGa/0vE=")</f>
        <v>#REF!</v>
      </c>
      <c r="II57" t="e">
        <f>AND(#REF!,"AAAAAGa/0vI=")</f>
        <v>#REF!</v>
      </c>
      <c r="IJ57" t="e">
        <f>AND(#REF!,"AAAAAGa/0vM=")</f>
        <v>#REF!</v>
      </c>
      <c r="IK57" t="e">
        <f>AND(#REF!,"AAAAAGa/0vQ=")</f>
        <v>#REF!</v>
      </c>
      <c r="IL57" t="e">
        <f>AND(#REF!,"AAAAAGa/0vU=")</f>
        <v>#REF!</v>
      </c>
      <c r="IM57" t="e">
        <f>AND(#REF!,"AAAAAGa/0vY=")</f>
        <v>#REF!</v>
      </c>
      <c r="IN57" t="e">
        <f>AND(#REF!,"AAAAAGa/0vc=")</f>
        <v>#REF!</v>
      </c>
      <c r="IO57" t="e">
        <f>AND(#REF!,"AAAAAGa/0vg=")</f>
        <v>#REF!</v>
      </c>
      <c r="IP57" t="e">
        <f>AND(#REF!,"AAAAAGa/0vk=")</f>
        <v>#REF!</v>
      </c>
      <c r="IQ57" t="e">
        <f>AND(#REF!,"AAAAAGa/0vo=")</f>
        <v>#REF!</v>
      </c>
      <c r="IR57" t="e">
        <f>AND(#REF!,"AAAAAGa/0vs=")</f>
        <v>#REF!</v>
      </c>
      <c r="IS57" t="e">
        <f>AND(#REF!,"AAAAAGa/0vw=")</f>
        <v>#REF!</v>
      </c>
      <c r="IT57" t="e">
        <f>AND(#REF!,"AAAAAGa/0v0=")</f>
        <v>#REF!</v>
      </c>
      <c r="IU57" t="e">
        <f>AND(#REF!,"AAAAAGa/0v4=")</f>
        <v>#REF!</v>
      </c>
      <c r="IV57" t="e">
        <f>AND(#REF!,"AAAAAGa/0v8=")</f>
        <v>#REF!</v>
      </c>
    </row>
    <row r="58" spans="1:256" x14ac:dyDescent="0.25">
      <c r="A58" t="e">
        <f>AND(#REF!,"AAAAAG3/ewA=")</f>
        <v>#REF!</v>
      </c>
      <c r="B58" t="e">
        <f>AND(#REF!,"AAAAAG3/ewE=")</f>
        <v>#REF!</v>
      </c>
      <c r="C58" t="e">
        <f>AND(#REF!,"AAAAAG3/ewI=")</f>
        <v>#REF!</v>
      </c>
      <c r="D58" t="e">
        <f>AND(#REF!,"AAAAAG3/ewM=")</f>
        <v>#REF!</v>
      </c>
      <c r="E58" t="e">
        <f>AND(#REF!,"AAAAAG3/ewQ=")</f>
        <v>#REF!</v>
      </c>
      <c r="F58" t="e">
        <f>AND(#REF!,"AAAAAG3/ewU=")</f>
        <v>#REF!</v>
      </c>
      <c r="G58" t="e">
        <f>AND(#REF!,"AAAAAG3/ewY=")</f>
        <v>#REF!</v>
      </c>
      <c r="H58" t="e">
        <f>AND(#REF!,"AAAAAG3/ewc=")</f>
        <v>#REF!</v>
      </c>
      <c r="I58" t="e">
        <f>AND(#REF!,"AAAAAG3/ewg=")</f>
        <v>#REF!</v>
      </c>
      <c r="J58" t="e">
        <f>AND(#REF!,"AAAAAG3/ewk=")</f>
        <v>#REF!</v>
      </c>
      <c r="K58" t="e">
        <f>AND(#REF!,"AAAAAG3/ewo=")</f>
        <v>#REF!</v>
      </c>
      <c r="L58" t="e">
        <f>AND(#REF!,"AAAAAG3/ews=")</f>
        <v>#REF!</v>
      </c>
      <c r="M58" t="e">
        <f>AND(#REF!,"AAAAAG3/eww=")</f>
        <v>#REF!</v>
      </c>
      <c r="N58" t="e">
        <f>AND(#REF!,"AAAAAG3/ew0=")</f>
        <v>#REF!</v>
      </c>
      <c r="O58" t="e">
        <f>AND(#REF!,"AAAAAG3/ew4=")</f>
        <v>#REF!</v>
      </c>
      <c r="P58" t="e">
        <f>AND(#REF!,"AAAAAG3/ew8=")</f>
        <v>#REF!</v>
      </c>
      <c r="Q58" t="e">
        <f>IF(#REF!,"AAAAAG3/exA=",0)</f>
        <v>#REF!</v>
      </c>
      <c r="R58" t="e">
        <f>AND(#REF!,"AAAAAG3/exE=")</f>
        <v>#REF!</v>
      </c>
      <c r="S58" t="e">
        <f>AND(#REF!,"AAAAAG3/exI=")</f>
        <v>#REF!</v>
      </c>
      <c r="T58" t="e">
        <f>AND(#REF!,"AAAAAG3/exM=")</f>
        <v>#REF!</v>
      </c>
      <c r="U58" t="e">
        <f>AND(#REF!,"AAAAAG3/exQ=")</f>
        <v>#REF!</v>
      </c>
      <c r="V58" t="e">
        <f>AND(#REF!,"AAAAAG3/exU=")</f>
        <v>#REF!</v>
      </c>
      <c r="W58" t="e">
        <f>AND(#REF!,"AAAAAG3/exY=")</f>
        <v>#REF!</v>
      </c>
      <c r="X58" t="e">
        <f>AND(#REF!,"AAAAAG3/exc=")</f>
        <v>#REF!</v>
      </c>
      <c r="Y58" t="e">
        <f>AND(#REF!,"AAAAAG3/exg=")</f>
        <v>#REF!</v>
      </c>
      <c r="Z58" t="e">
        <f>AND(#REF!,"AAAAAG3/exk=")</f>
        <v>#REF!</v>
      </c>
      <c r="AA58" t="e">
        <f>AND(#REF!,"AAAAAG3/exo=")</f>
        <v>#REF!</v>
      </c>
      <c r="AB58" t="e">
        <f>AND(#REF!,"AAAAAG3/exs=")</f>
        <v>#REF!</v>
      </c>
      <c r="AC58" t="e">
        <f>AND(#REF!,"AAAAAG3/exw=")</f>
        <v>#REF!</v>
      </c>
      <c r="AD58" t="e">
        <f>AND(#REF!,"AAAAAG3/ex0=")</f>
        <v>#REF!</v>
      </c>
      <c r="AE58" t="e">
        <f>AND(#REF!,"AAAAAG3/ex4=")</f>
        <v>#REF!</v>
      </c>
      <c r="AF58" t="e">
        <f>AND(#REF!,"AAAAAG3/ex8=")</f>
        <v>#REF!</v>
      </c>
      <c r="AG58" t="e">
        <f>AND(#REF!,"AAAAAG3/eyA=")</f>
        <v>#REF!</v>
      </c>
      <c r="AH58" t="e">
        <f>AND(#REF!,"AAAAAG3/eyE=")</f>
        <v>#REF!</v>
      </c>
      <c r="AI58" t="e">
        <f>AND(#REF!,"AAAAAG3/eyI=")</f>
        <v>#REF!</v>
      </c>
      <c r="AJ58" t="e">
        <f>AND(#REF!,"AAAAAG3/eyM=")</f>
        <v>#REF!</v>
      </c>
      <c r="AK58" t="e">
        <f>AND(#REF!,"AAAAAG3/eyQ=")</f>
        <v>#REF!</v>
      </c>
      <c r="AL58" t="e">
        <f>AND(#REF!,"AAAAAG3/eyU=")</f>
        <v>#REF!</v>
      </c>
      <c r="AM58" t="e">
        <f>AND(#REF!,"AAAAAG3/eyY=")</f>
        <v>#REF!</v>
      </c>
      <c r="AN58" t="e">
        <f>AND(#REF!,"AAAAAG3/eyc=")</f>
        <v>#REF!</v>
      </c>
      <c r="AO58" t="e">
        <f>AND(#REF!,"AAAAAG3/eyg=")</f>
        <v>#REF!</v>
      </c>
      <c r="AP58" t="e">
        <f>AND(#REF!,"AAAAAG3/eyk=")</f>
        <v>#REF!</v>
      </c>
      <c r="AQ58" t="e">
        <f>AND(#REF!,"AAAAAG3/eyo=")</f>
        <v>#REF!</v>
      </c>
      <c r="AR58" t="e">
        <f>AND(#REF!,"AAAAAG3/eys=")</f>
        <v>#REF!</v>
      </c>
      <c r="AS58" t="e">
        <f>AND(#REF!,"AAAAAG3/eyw=")</f>
        <v>#REF!</v>
      </c>
      <c r="AT58" t="e">
        <f>AND(#REF!,"AAAAAG3/ey0=")</f>
        <v>#REF!</v>
      </c>
      <c r="AU58" t="e">
        <f>AND(#REF!,"AAAAAG3/ey4=")</f>
        <v>#REF!</v>
      </c>
      <c r="AV58" t="e">
        <f>AND(#REF!,"AAAAAG3/ey8=")</f>
        <v>#REF!</v>
      </c>
      <c r="AW58" t="e">
        <f>AND(#REF!,"AAAAAG3/ezA=")</f>
        <v>#REF!</v>
      </c>
      <c r="AX58" t="e">
        <f>AND(#REF!,"AAAAAG3/ezE=")</f>
        <v>#REF!</v>
      </c>
      <c r="AY58" t="e">
        <f>AND(#REF!,"AAAAAG3/ezI=")</f>
        <v>#REF!</v>
      </c>
      <c r="AZ58" t="e">
        <f>AND(#REF!,"AAAAAG3/ezM=")</f>
        <v>#REF!</v>
      </c>
      <c r="BA58" t="e">
        <f>AND(#REF!,"AAAAAG3/ezQ=")</f>
        <v>#REF!</v>
      </c>
      <c r="BB58" t="e">
        <f>AND(#REF!,"AAAAAG3/ezU=")</f>
        <v>#REF!</v>
      </c>
      <c r="BC58" t="e">
        <f>AND(#REF!,"AAAAAG3/ezY=")</f>
        <v>#REF!</v>
      </c>
      <c r="BD58" t="e">
        <f>AND(#REF!,"AAAAAG3/ezc=")</f>
        <v>#REF!</v>
      </c>
      <c r="BE58" t="e">
        <f>AND(#REF!,"AAAAAG3/ezg=")</f>
        <v>#REF!</v>
      </c>
      <c r="BF58" t="e">
        <f>AND(#REF!,"AAAAAG3/ezk=")</f>
        <v>#REF!</v>
      </c>
      <c r="BG58" t="e">
        <f>AND(#REF!,"AAAAAG3/ezo=")</f>
        <v>#REF!</v>
      </c>
      <c r="BH58" t="e">
        <f>AND(#REF!,"AAAAAG3/ezs=")</f>
        <v>#REF!</v>
      </c>
      <c r="BI58" t="e">
        <f>IF(#REF!,"AAAAAG3/ezw=",0)</f>
        <v>#REF!</v>
      </c>
      <c r="BJ58" t="e">
        <f>AND(#REF!,"AAAAAG3/ez0=")</f>
        <v>#REF!</v>
      </c>
      <c r="BK58" t="e">
        <f>AND(#REF!,"AAAAAG3/ez4=")</f>
        <v>#REF!</v>
      </c>
      <c r="BL58" t="e">
        <f>AND(#REF!,"AAAAAG3/ez8=")</f>
        <v>#REF!</v>
      </c>
      <c r="BM58" t="e">
        <f>AND(#REF!,"AAAAAG3/e0A=")</f>
        <v>#REF!</v>
      </c>
      <c r="BN58" t="e">
        <f>AND(#REF!,"AAAAAG3/e0E=")</f>
        <v>#REF!</v>
      </c>
      <c r="BO58" t="e">
        <f>AND(#REF!,"AAAAAG3/e0I=")</f>
        <v>#REF!</v>
      </c>
      <c r="BP58" t="e">
        <f>AND(#REF!,"AAAAAG3/e0M=")</f>
        <v>#REF!</v>
      </c>
      <c r="BQ58" t="e">
        <f>AND(#REF!,"AAAAAG3/e0Q=")</f>
        <v>#REF!</v>
      </c>
      <c r="BR58" t="e">
        <f>AND(#REF!,"AAAAAG3/e0U=")</f>
        <v>#REF!</v>
      </c>
      <c r="BS58" t="e">
        <f>AND(#REF!,"AAAAAG3/e0Y=")</f>
        <v>#REF!</v>
      </c>
      <c r="BT58" t="e">
        <f>AND(#REF!,"AAAAAG3/e0c=")</f>
        <v>#REF!</v>
      </c>
      <c r="BU58" t="e">
        <f>AND(#REF!,"AAAAAG3/e0g=")</f>
        <v>#REF!</v>
      </c>
      <c r="BV58" t="e">
        <f>AND(#REF!,"AAAAAG3/e0k=")</f>
        <v>#REF!</v>
      </c>
      <c r="BW58" t="e">
        <f>AND(#REF!,"AAAAAG3/e0o=")</f>
        <v>#REF!</v>
      </c>
      <c r="BX58" t="e">
        <f>AND(#REF!,"AAAAAG3/e0s=")</f>
        <v>#REF!</v>
      </c>
      <c r="BY58" t="e">
        <f>AND(#REF!,"AAAAAG3/e0w=")</f>
        <v>#REF!</v>
      </c>
      <c r="BZ58" t="e">
        <f>AND(#REF!,"AAAAAG3/e00=")</f>
        <v>#REF!</v>
      </c>
      <c r="CA58" t="e">
        <f>AND(#REF!,"AAAAAG3/e04=")</f>
        <v>#REF!</v>
      </c>
      <c r="CB58" t="e">
        <f>AND(#REF!,"AAAAAG3/e08=")</f>
        <v>#REF!</v>
      </c>
      <c r="CC58" t="e">
        <f>AND(#REF!,"AAAAAG3/e1A=")</f>
        <v>#REF!</v>
      </c>
      <c r="CD58" t="e">
        <f>AND(#REF!,"AAAAAG3/e1E=")</f>
        <v>#REF!</v>
      </c>
      <c r="CE58" t="e">
        <f>AND(#REF!,"AAAAAG3/e1I=")</f>
        <v>#REF!</v>
      </c>
      <c r="CF58" t="e">
        <f>AND(#REF!,"AAAAAG3/e1M=")</f>
        <v>#REF!</v>
      </c>
      <c r="CG58" t="e">
        <f>AND(#REF!,"AAAAAG3/e1Q=")</f>
        <v>#REF!</v>
      </c>
      <c r="CH58" t="e">
        <f>AND(#REF!,"AAAAAG3/e1U=")</f>
        <v>#REF!</v>
      </c>
      <c r="CI58" t="e">
        <f>AND(#REF!,"AAAAAG3/e1Y=")</f>
        <v>#REF!</v>
      </c>
      <c r="CJ58" t="e">
        <f>AND(#REF!,"AAAAAG3/e1c=")</f>
        <v>#REF!</v>
      </c>
      <c r="CK58" t="e">
        <f>AND(#REF!,"AAAAAG3/e1g=")</f>
        <v>#REF!</v>
      </c>
      <c r="CL58" t="e">
        <f>AND(#REF!,"AAAAAG3/e1k=")</f>
        <v>#REF!</v>
      </c>
      <c r="CM58" t="e">
        <f>AND(#REF!,"AAAAAG3/e1o=")</f>
        <v>#REF!</v>
      </c>
      <c r="CN58" t="e">
        <f>AND(#REF!,"AAAAAG3/e1s=")</f>
        <v>#REF!</v>
      </c>
      <c r="CO58" t="e">
        <f>AND(#REF!,"AAAAAG3/e1w=")</f>
        <v>#REF!</v>
      </c>
      <c r="CP58" t="e">
        <f>AND(#REF!,"AAAAAG3/e10=")</f>
        <v>#REF!</v>
      </c>
      <c r="CQ58" t="e">
        <f>AND(#REF!,"AAAAAG3/e14=")</f>
        <v>#REF!</v>
      </c>
      <c r="CR58" t="e">
        <f>AND(#REF!,"AAAAAG3/e18=")</f>
        <v>#REF!</v>
      </c>
      <c r="CS58" t="e">
        <f>AND(#REF!,"AAAAAG3/e2A=")</f>
        <v>#REF!</v>
      </c>
      <c r="CT58" t="e">
        <f>AND(#REF!,"AAAAAG3/e2E=")</f>
        <v>#REF!</v>
      </c>
      <c r="CU58" t="e">
        <f>AND(#REF!,"AAAAAG3/e2I=")</f>
        <v>#REF!</v>
      </c>
      <c r="CV58" t="e">
        <f>AND(#REF!,"AAAAAG3/e2M=")</f>
        <v>#REF!</v>
      </c>
      <c r="CW58" t="e">
        <f>AND(#REF!,"AAAAAG3/e2Q=")</f>
        <v>#REF!</v>
      </c>
      <c r="CX58" t="e">
        <f>AND(#REF!,"AAAAAG3/e2U=")</f>
        <v>#REF!</v>
      </c>
      <c r="CY58" t="e">
        <f>AND(#REF!,"AAAAAG3/e2Y=")</f>
        <v>#REF!</v>
      </c>
      <c r="CZ58" t="e">
        <f>AND(#REF!,"AAAAAG3/e2c=")</f>
        <v>#REF!</v>
      </c>
      <c r="DA58" t="e">
        <f>IF(#REF!,"AAAAAG3/e2g=",0)</f>
        <v>#REF!</v>
      </c>
      <c r="DB58" t="e">
        <f>AND(#REF!,"AAAAAG3/e2k=")</f>
        <v>#REF!</v>
      </c>
      <c r="DC58" t="e">
        <f>AND(#REF!,"AAAAAG3/e2o=")</f>
        <v>#REF!</v>
      </c>
      <c r="DD58" t="e">
        <f>AND(#REF!,"AAAAAG3/e2s=")</f>
        <v>#REF!</v>
      </c>
      <c r="DE58" t="e">
        <f>AND(#REF!,"AAAAAG3/e2w=")</f>
        <v>#REF!</v>
      </c>
      <c r="DF58" t="e">
        <f>AND(#REF!,"AAAAAG3/e20=")</f>
        <v>#REF!</v>
      </c>
      <c r="DG58" t="e">
        <f>AND(#REF!,"AAAAAG3/e24=")</f>
        <v>#REF!</v>
      </c>
      <c r="DH58" t="e">
        <f>AND(#REF!,"AAAAAG3/e28=")</f>
        <v>#REF!</v>
      </c>
      <c r="DI58" t="e">
        <f>AND(#REF!,"AAAAAG3/e3A=")</f>
        <v>#REF!</v>
      </c>
      <c r="DJ58" t="e">
        <f>AND(#REF!,"AAAAAG3/e3E=")</f>
        <v>#REF!</v>
      </c>
      <c r="DK58" t="e">
        <f>AND(#REF!,"AAAAAG3/e3I=")</f>
        <v>#REF!</v>
      </c>
      <c r="DL58" t="e">
        <f>AND(#REF!,"AAAAAG3/e3M=")</f>
        <v>#REF!</v>
      </c>
      <c r="DM58" t="e">
        <f>AND(#REF!,"AAAAAG3/e3Q=")</f>
        <v>#REF!</v>
      </c>
      <c r="DN58" t="e">
        <f>AND(#REF!,"AAAAAG3/e3U=")</f>
        <v>#REF!</v>
      </c>
      <c r="DO58" t="e">
        <f>AND(#REF!,"AAAAAG3/e3Y=")</f>
        <v>#REF!</v>
      </c>
      <c r="DP58" t="e">
        <f>AND(#REF!,"AAAAAG3/e3c=")</f>
        <v>#REF!</v>
      </c>
      <c r="DQ58" t="e">
        <f>AND(#REF!,"AAAAAG3/e3g=")</f>
        <v>#REF!</v>
      </c>
      <c r="DR58" t="e">
        <f>AND(#REF!,"AAAAAG3/e3k=")</f>
        <v>#REF!</v>
      </c>
      <c r="DS58" t="e">
        <f>AND(#REF!,"AAAAAG3/e3o=")</f>
        <v>#REF!</v>
      </c>
      <c r="DT58" t="e">
        <f>AND(#REF!,"AAAAAG3/e3s=")</f>
        <v>#REF!</v>
      </c>
      <c r="DU58" t="e">
        <f>AND(#REF!,"AAAAAG3/e3w=")</f>
        <v>#REF!</v>
      </c>
      <c r="DV58" t="e">
        <f>AND(#REF!,"AAAAAG3/e30=")</f>
        <v>#REF!</v>
      </c>
      <c r="DW58" t="e">
        <f>AND(#REF!,"AAAAAG3/e34=")</f>
        <v>#REF!</v>
      </c>
      <c r="DX58" t="e">
        <f>AND(#REF!,"AAAAAG3/e38=")</f>
        <v>#REF!</v>
      </c>
      <c r="DY58" t="e">
        <f>AND(#REF!,"AAAAAG3/e4A=")</f>
        <v>#REF!</v>
      </c>
      <c r="DZ58" t="e">
        <f>AND(#REF!,"AAAAAG3/e4E=")</f>
        <v>#REF!</v>
      </c>
      <c r="EA58" t="e">
        <f>AND(#REF!,"AAAAAG3/e4I=")</f>
        <v>#REF!</v>
      </c>
      <c r="EB58" t="e">
        <f>AND(#REF!,"AAAAAG3/e4M=")</f>
        <v>#REF!</v>
      </c>
      <c r="EC58" t="e">
        <f>AND(#REF!,"AAAAAG3/e4Q=")</f>
        <v>#REF!</v>
      </c>
      <c r="ED58" t="e">
        <f>AND(#REF!,"AAAAAG3/e4U=")</f>
        <v>#REF!</v>
      </c>
      <c r="EE58" t="e">
        <f>AND(#REF!,"AAAAAG3/e4Y=")</f>
        <v>#REF!</v>
      </c>
      <c r="EF58" t="e">
        <f>AND(#REF!,"AAAAAG3/e4c=")</f>
        <v>#REF!</v>
      </c>
      <c r="EG58" t="e">
        <f>AND(#REF!,"AAAAAG3/e4g=")</f>
        <v>#REF!</v>
      </c>
      <c r="EH58" t="e">
        <f>AND(#REF!,"AAAAAG3/e4k=")</f>
        <v>#REF!</v>
      </c>
      <c r="EI58" t="e">
        <f>AND(#REF!,"AAAAAG3/e4o=")</f>
        <v>#REF!</v>
      </c>
      <c r="EJ58" t="e">
        <f>AND(#REF!,"AAAAAG3/e4s=")</f>
        <v>#REF!</v>
      </c>
      <c r="EK58" t="e">
        <f>AND(#REF!,"AAAAAG3/e4w=")</f>
        <v>#REF!</v>
      </c>
      <c r="EL58" t="e">
        <f>AND(#REF!,"AAAAAG3/e40=")</f>
        <v>#REF!</v>
      </c>
      <c r="EM58" t="e">
        <f>AND(#REF!,"AAAAAG3/e44=")</f>
        <v>#REF!</v>
      </c>
      <c r="EN58" t="e">
        <f>AND(#REF!,"AAAAAG3/e48=")</f>
        <v>#REF!</v>
      </c>
      <c r="EO58" t="e">
        <f>AND(#REF!,"AAAAAG3/e5A=")</f>
        <v>#REF!</v>
      </c>
      <c r="EP58" t="e">
        <f>AND(#REF!,"AAAAAG3/e5E=")</f>
        <v>#REF!</v>
      </c>
      <c r="EQ58" t="e">
        <f>AND(#REF!,"AAAAAG3/e5I=")</f>
        <v>#REF!</v>
      </c>
      <c r="ER58" t="e">
        <f>AND(#REF!,"AAAAAG3/e5M=")</f>
        <v>#REF!</v>
      </c>
      <c r="ES58" t="e">
        <f>IF(#REF!,"AAAAAG3/e5Q=",0)</f>
        <v>#REF!</v>
      </c>
      <c r="ET58" t="e">
        <f>AND(#REF!,"AAAAAG3/e5U=")</f>
        <v>#REF!</v>
      </c>
      <c r="EU58" t="e">
        <f>AND(#REF!,"AAAAAG3/e5Y=")</f>
        <v>#REF!</v>
      </c>
      <c r="EV58" t="e">
        <f>AND(#REF!,"AAAAAG3/e5c=")</f>
        <v>#REF!</v>
      </c>
      <c r="EW58" t="e">
        <f>AND(#REF!,"AAAAAG3/e5g=")</f>
        <v>#REF!</v>
      </c>
      <c r="EX58" t="e">
        <f>AND(#REF!,"AAAAAG3/e5k=")</f>
        <v>#REF!</v>
      </c>
      <c r="EY58" t="e">
        <f>AND(#REF!,"AAAAAG3/e5o=")</f>
        <v>#REF!</v>
      </c>
      <c r="EZ58" t="e">
        <f>AND(#REF!,"AAAAAG3/e5s=")</f>
        <v>#REF!</v>
      </c>
      <c r="FA58" t="e">
        <f>AND(#REF!,"AAAAAG3/e5w=")</f>
        <v>#REF!</v>
      </c>
      <c r="FB58" t="e">
        <f>AND(#REF!,"AAAAAG3/e50=")</f>
        <v>#REF!</v>
      </c>
      <c r="FC58" t="e">
        <f>AND(#REF!,"AAAAAG3/e54=")</f>
        <v>#REF!</v>
      </c>
      <c r="FD58" t="e">
        <f>AND(#REF!,"AAAAAG3/e58=")</f>
        <v>#REF!</v>
      </c>
      <c r="FE58" t="e">
        <f>AND(#REF!,"AAAAAG3/e6A=")</f>
        <v>#REF!</v>
      </c>
      <c r="FF58" t="e">
        <f>AND(#REF!,"AAAAAG3/e6E=")</f>
        <v>#REF!</v>
      </c>
      <c r="FG58" t="e">
        <f>AND(#REF!,"AAAAAG3/e6I=")</f>
        <v>#REF!</v>
      </c>
      <c r="FH58" t="e">
        <f>AND(#REF!,"AAAAAG3/e6M=")</f>
        <v>#REF!</v>
      </c>
      <c r="FI58" t="e">
        <f>AND(#REF!,"AAAAAG3/e6Q=")</f>
        <v>#REF!</v>
      </c>
      <c r="FJ58" t="e">
        <f>AND(#REF!,"AAAAAG3/e6U=")</f>
        <v>#REF!</v>
      </c>
      <c r="FK58" t="e">
        <f>AND(#REF!,"AAAAAG3/e6Y=")</f>
        <v>#REF!</v>
      </c>
      <c r="FL58" t="e">
        <f>AND(#REF!,"AAAAAG3/e6c=")</f>
        <v>#REF!</v>
      </c>
      <c r="FM58" t="e">
        <f>AND(#REF!,"AAAAAG3/e6g=")</f>
        <v>#REF!</v>
      </c>
      <c r="FN58" t="e">
        <f>AND(#REF!,"AAAAAG3/e6k=")</f>
        <v>#REF!</v>
      </c>
      <c r="FO58" t="e">
        <f>AND(#REF!,"AAAAAG3/e6o=")</f>
        <v>#REF!</v>
      </c>
      <c r="FP58" t="e">
        <f>AND(#REF!,"AAAAAG3/e6s=")</f>
        <v>#REF!</v>
      </c>
      <c r="FQ58" t="e">
        <f>AND(#REF!,"AAAAAG3/e6w=")</f>
        <v>#REF!</v>
      </c>
      <c r="FR58" t="e">
        <f>AND(#REF!,"AAAAAG3/e60=")</f>
        <v>#REF!</v>
      </c>
      <c r="FS58" t="e">
        <f>AND(#REF!,"AAAAAG3/e64=")</f>
        <v>#REF!</v>
      </c>
      <c r="FT58" t="e">
        <f>AND(#REF!,"AAAAAG3/e68=")</f>
        <v>#REF!</v>
      </c>
      <c r="FU58" t="e">
        <f>AND(#REF!,"AAAAAG3/e7A=")</f>
        <v>#REF!</v>
      </c>
      <c r="FV58" t="e">
        <f>AND(#REF!,"AAAAAG3/e7E=")</f>
        <v>#REF!</v>
      </c>
      <c r="FW58" t="e">
        <f>AND(#REF!,"AAAAAG3/e7I=")</f>
        <v>#REF!</v>
      </c>
      <c r="FX58" t="e">
        <f>AND(#REF!,"AAAAAG3/e7M=")</f>
        <v>#REF!</v>
      </c>
      <c r="FY58" t="e">
        <f>AND(#REF!,"AAAAAG3/e7Q=")</f>
        <v>#REF!</v>
      </c>
      <c r="FZ58" t="e">
        <f>AND(#REF!,"AAAAAG3/e7U=")</f>
        <v>#REF!</v>
      </c>
      <c r="GA58" t="e">
        <f>AND(#REF!,"AAAAAG3/e7Y=")</f>
        <v>#REF!</v>
      </c>
      <c r="GB58" t="e">
        <f>AND(#REF!,"AAAAAG3/e7c=")</f>
        <v>#REF!</v>
      </c>
      <c r="GC58" t="e">
        <f>AND(#REF!,"AAAAAG3/e7g=")</f>
        <v>#REF!</v>
      </c>
      <c r="GD58" t="e">
        <f>AND(#REF!,"AAAAAG3/e7k=")</f>
        <v>#REF!</v>
      </c>
      <c r="GE58" t="e">
        <f>AND(#REF!,"AAAAAG3/e7o=")</f>
        <v>#REF!</v>
      </c>
      <c r="GF58" t="e">
        <f>AND(#REF!,"AAAAAG3/e7s=")</f>
        <v>#REF!</v>
      </c>
      <c r="GG58" t="e">
        <f>AND(#REF!,"AAAAAG3/e7w=")</f>
        <v>#REF!</v>
      </c>
      <c r="GH58" t="e">
        <f>AND(#REF!,"AAAAAG3/e70=")</f>
        <v>#REF!</v>
      </c>
      <c r="GI58" t="e">
        <f>AND(#REF!,"AAAAAG3/e74=")</f>
        <v>#REF!</v>
      </c>
      <c r="GJ58" t="e">
        <f>AND(#REF!,"AAAAAG3/e78=")</f>
        <v>#REF!</v>
      </c>
      <c r="GK58" t="e">
        <f>IF(#REF!,"AAAAAG3/e8A=",0)</f>
        <v>#REF!</v>
      </c>
      <c r="GL58" t="e">
        <f>AND(#REF!,"AAAAAG3/e8E=")</f>
        <v>#REF!</v>
      </c>
      <c r="GM58" t="e">
        <f>AND(#REF!,"AAAAAG3/e8I=")</f>
        <v>#REF!</v>
      </c>
      <c r="GN58" t="e">
        <f>AND(#REF!,"AAAAAG3/e8M=")</f>
        <v>#REF!</v>
      </c>
      <c r="GO58" t="e">
        <f>AND(#REF!,"AAAAAG3/e8Q=")</f>
        <v>#REF!</v>
      </c>
      <c r="GP58" t="e">
        <f>AND(#REF!,"AAAAAG3/e8U=")</f>
        <v>#REF!</v>
      </c>
      <c r="GQ58" t="e">
        <f>AND(#REF!,"AAAAAG3/e8Y=")</f>
        <v>#REF!</v>
      </c>
      <c r="GR58" t="e">
        <f>AND(#REF!,"AAAAAG3/e8c=")</f>
        <v>#REF!</v>
      </c>
      <c r="GS58" t="e">
        <f>AND(#REF!,"AAAAAG3/e8g=")</f>
        <v>#REF!</v>
      </c>
      <c r="GT58" t="e">
        <f>AND(#REF!,"AAAAAG3/e8k=")</f>
        <v>#REF!</v>
      </c>
      <c r="GU58" t="e">
        <f>AND(#REF!,"AAAAAG3/e8o=")</f>
        <v>#REF!</v>
      </c>
      <c r="GV58" t="e">
        <f>AND(#REF!,"AAAAAG3/e8s=")</f>
        <v>#REF!</v>
      </c>
      <c r="GW58" t="e">
        <f>AND(#REF!,"AAAAAG3/e8w=")</f>
        <v>#REF!</v>
      </c>
      <c r="GX58" t="e">
        <f>AND(#REF!,"AAAAAG3/e80=")</f>
        <v>#REF!</v>
      </c>
      <c r="GY58" t="e">
        <f>AND(#REF!,"AAAAAG3/e84=")</f>
        <v>#REF!</v>
      </c>
      <c r="GZ58" t="e">
        <f>AND(#REF!,"AAAAAG3/e88=")</f>
        <v>#REF!</v>
      </c>
      <c r="HA58" t="e">
        <f>AND(#REF!,"AAAAAG3/e9A=")</f>
        <v>#REF!</v>
      </c>
      <c r="HB58" t="e">
        <f>AND(#REF!,"AAAAAG3/e9E=")</f>
        <v>#REF!</v>
      </c>
      <c r="HC58" t="e">
        <f>AND(#REF!,"AAAAAG3/e9I=")</f>
        <v>#REF!</v>
      </c>
      <c r="HD58" t="e">
        <f>AND(#REF!,"AAAAAG3/e9M=")</f>
        <v>#REF!</v>
      </c>
      <c r="HE58" t="e">
        <f>AND(#REF!,"AAAAAG3/e9Q=")</f>
        <v>#REF!</v>
      </c>
      <c r="HF58" t="e">
        <f>AND(#REF!,"AAAAAG3/e9U=")</f>
        <v>#REF!</v>
      </c>
      <c r="HG58" t="e">
        <f>AND(#REF!,"AAAAAG3/e9Y=")</f>
        <v>#REF!</v>
      </c>
      <c r="HH58" t="e">
        <f>AND(#REF!,"AAAAAG3/e9c=")</f>
        <v>#REF!</v>
      </c>
      <c r="HI58" t="e">
        <f>AND(#REF!,"AAAAAG3/e9g=")</f>
        <v>#REF!</v>
      </c>
      <c r="HJ58" t="e">
        <f>AND(#REF!,"AAAAAG3/e9k=")</f>
        <v>#REF!</v>
      </c>
      <c r="HK58" t="e">
        <f>AND(#REF!,"AAAAAG3/e9o=")</f>
        <v>#REF!</v>
      </c>
      <c r="HL58" t="e">
        <f>AND(#REF!,"AAAAAG3/e9s=")</f>
        <v>#REF!</v>
      </c>
      <c r="HM58" t="e">
        <f>AND(#REF!,"AAAAAG3/e9w=")</f>
        <v>#REF!</v>
      </c>
      <c r="HN58" t="e">
        <f>AND(#REF!,"AAAAAG3/e90=")</f>
        <v>#REF!</v>
      </c>
      <c r="HO58" t="e">
        <f>AND(#REF!,"AAAAAG3/e94=")</f>
        <v>#REF!</v>
      </c>
      <c r="HP58" t="e">
        <f>AND(#REF!,"AAAAAG3/e98=")</f>
        <v>#REF!</v>
      </c>
      <c r="HQ58" t="e">
        <f>AND(#REF!,"AAAAAG3/e+A=")</f>
        <v>#REF!</v>
      </c>
      <c r="HR58" t="e">
        <f>AND(#REF!,"AAAAAG3/e+E=")</f>
        <v>#REF!</v>
      </c>
      <c r="HS58" t="e">
        <f>AND(#REF!,"AAAAAG3/e+I=")</f>
        <v>#REF!</v>
      </c>
      <c r="HT58" t="e">
        <f>AND(#REF!,"AAAAAG3/e+M=")</f>
        <v>#REF!</v>
      </c>
      <c r="HU58" t="e">
        <f>AND(#REF!,"AAAAAG3/e+Q=")</f>
        <v>#REF!</v>
      </c>
      <c r="HV58" t="e">
        <f>AND(#REF!,"AAAAAG3/e+U=")</f>
        <v>#REF!</v>
      </c>
      <c r="HW58" t="e">
        <f>AND(#REF!,"AAAAAG3/e+Y=")</f>
        <v>#REF!</v>
      </c>
      <c r="HX58" t="e">
        <f>AND(#REF!,"AAAAAG3/e+c=")</f>
        <v>#REF!</v>
      </c>
      <c r="HY58" t="e">
        <f>AND(#REF!,"AAAAAG3/e+g=")</f>
        <v>#REF!</v>
      </c>
      <c r="HZ58" t="e">
        <f>AND(#REF!,"AAAAAG3/e+k=")</f>
        <v>#REF!</v>
      </c>
      <c r="IA58" t="e">
        <f>AND(#REF!,"AAAAAG3/e+o=")</f>
        <v>#REF!</v>
      </c>
      <c r="IB58" t="e">
        <f>AND(#REF!,"AAAAAG3/e+s=")</f>
        <v>#REF!</v>
      </c>
      <c r="IC58" t="e">
        <f>IF(#REF!,"AAAAAG3/e+w=",0)</f>
        <v>#REF!</v>
      </c>
      <c r="ID58" t="e">
        <f>AND(#REF!,"AAAAAG3/e+0=")</f>
        <v>#REF!</v>
      </c>
      <c r="IE58" t="e">
        <f>AND(#REF!,"AAAAAG3/e+4=")</f>
        <v>#REF!</v>
      </c>
      <c r="IF58" t="e">
        <f>AND(#REF!,"AAAAAG3/e+8=")</f>
        <v>#REF!</v>
      </c>
      <c r="IG58" t="e">
        <f>AND(#REF!,"AAAAAG3/e/A=")</f>
        <v>#REF!</v>
      </c>
      <c r="IH58" t="e">
        <f>AND(#REF!,"AAAAAG3/e/E=")</f>
        <v>#REF!</v>
      </c>
      <c r="II58" t="e">
        <f>AND(#REF!,"AAAAAG3/e/I=")</f>
        <v>#REF!</v>
      </c>
      <c r="IJ58" t="e">
        <f>AND(#REF!,"AAAAAG3/e/M=")</f>
        <v>#REF!</v>
      </c>
      <c r="IK58" t="e">
        <f>AND(#REF!,"AAAAAG3/e/Q=")</f>
        <v>#REF!</v>
      </c>
      <c r="IL58" t="e">
        <f>AND(#REF!,"AAAAAG3/e/U=")</f>
        <v>#REF!</v>
      </c>
      <c r="IM58" t="e">
        <f>AND(#REF!,"AAAAAG3/e/Y=")</f>
        <v>#REF!</v>
      </c>
      <c r="IN58" t="e">
        <f>AND(#REF!,"AAAAAG3/e/c=")</f>
        <v>#REF!</v>
      </c>
      <c r="IO58" t="e">
        <f>AND(#REF!,"AAAAAG3/e/g=")</f>
        <v>#REF!</v>
      </c>
      <c r="IP58" t="e">
        <f>AND(#REF!,"AAAAAG3/e/k=")</f>
        <v>#REF!</v>
      </c>
      <c r="IQ58" t="e">
        <f>AND(#REF!,"AAAAAG3/e/o=")</f>
        <v>#REF!</v>
      </c>
      <c r="IR58" t="e">
        <f>AND(#REF!,"AAAAAG3/e/s=")</f>
        <v>#REF!</v>
      </c>
      <c r="IS58" t="e">
        <f>AND(#REF!,"AAAAAG3/e/w=")</f>
        <v>#REF!</v>
      </c>
      <c r="IT58" t="e">
        <f>AND(#REF!,"AAAAAG3/e/0=")</f>
        <v>#REF!</v>
      </c>
      <c r="IU58" t="e">
        <f>AND(#REF!,"AAAAAG3/e/4=")</f>
        <v>#REF!</v>
      </c>
      <c r="IV58" t="e">
        <f>AND(#REF!,"AAAAAG3/e/8=")</f>
        <v>#REF!</v>
      </c>
    </row>
    <row r="59" spans="1:256" x14ac:dyDescent="0.25">
      <c r="A59" t="e">
        <f>AND(#REF!,"AAAAAH7fzwA=")</f>
        <v>#REF!</v>
      </c>
      <c r="B59" t="e">
        <f>AND(#REF!,"AAAAAH7fzwE=")</f>
        <v>#REF!</v>
      </c>
      <c r="C59" t="e">
        <f>AND(#REF!,"AAAAAH7fzwI=")</f>
        <v>#REF!</v>
      </c>
      <c r="D59" t="e">
        <f>AND(#REF!,"AAAAAH7fzwM=")</f>
        <v>#REF!</v>
      </c>
      <c r="E59" t="e">
        <f>AND(#REF!,"AAAAAH7fzwQ=")</f>
        <v>#REF!</v>
      </c>
      <c r="F59" t="e">
        <f>AND(#REF!,"AAAAAH7fzwU=")</f>
        <v>#REF!</v>
      </c>
      <c r="G59" t="e">
        <f>AND(#REF!,"AAAAAH7fzwY=")</f>
        <v>#REF!</v>
      </c>
      <c r="H59" t="e">
        <f>AND(#REF!,"AAAAAH7fzwc=")</f>
        <v>#REF!</v>
      </c>
      <c r="I59" t="e">
        <f>AND(#REF!,"AAAAAH7fzwg=")</f>
        <v>#REF!</v>
      </c>
      <c r="J59" t="e">
        <f>AND(#REF!,"AAAAAH7fzwk=")</f>
        <v>#REF!</v>
      </c>
      <c r="K59" t="e">
        <f>AND(#REF!,"AAAAAH7fzwo=")</f>
        <v>#REF!</v>
      </c>
      <c r="L59" t="e">
        <f>AND(#REF!,"AAAAAH7fzws=")</f>
        <v>#REF!</v>
      </c>
      <c r="M59" t="e">
        <f>AND(#REF!,"AAAAAH7fzww=")</f>
        <v>#REF!</v>
      </c>
      <c r="N59" t="e">
        <f>AND(#REF!,"AAAAAH7fzw0=")</f>
        <v>#REF!</v>
      </c>
      <c r="O59" t="e">
        <f>AND(#REF!,"AAAAAH7fzw4=")</f>
        <v>#REF!</v>
      </c>
      <c r="P59" t="e">
        <f>AND(#REF!,"AAAAAH7fzw8=")</f>
        <v>#REF!</v>
      </c>
      <c r="Q59" t="e">
        <f>AND(#REF!,"AAAAAH7fzxA=")</f>
        <v>#REF!</v>
      </c>
      <c r="R59" t="e">
        <f>AND(#REF!,"AAAAAH7fzxE=")</f>
        <v>#REF!</v>
      </c>
      <c r="S59" t="e">
        <f>AND(#REF!,"AAAAAH7fzxI=")</f>
        <v>#REF!</v>
      </c>
      <c r="T59" t="e">
        <f>AND(#REF!,"AAAAAH7fzxM=")</f>
        <v>#REF!</v>
      </c>
      <c r="U59" t="e">
        <f>AND(#REF!,"AAAAAH7fzxQ=")</f>
        <v>#REF!</v>
      </c>
      <c r="V59" t="e">
        <f>AND(#REF!,"AAAAAH7fzxU=")</f>
        <v>#REF!</v>
      </c>
      <c r="W59" t="e">
        <f>AND(#REF!,"AAAAAH7fzxY=")</f>
        <v>#REF!</v>
      </c>
      <c r="X59" t="e">
        <f>AND(#REF!,"AAAAAH7fzxc=")</f>
        <v>#REF!</v>
      </c>
      <c r="Y59" t="e">
        <f>IF(#REF!,"AAAAAH7fzxg=",0)</f>
        <v>#REF!</v>
      </c>
      <c r="Z59" t="e">
        <f>AND(#REF!,"AAAAAH7fzxk=")</f>
        <v>#REF!</v>
      </c>
      <c r="AA59" t="e">
        <f>AND(#REF!,"AAAAAH7fzxo=")</f>
        <v>#REF!</v>
      </c>
      <c r="AB59" t="e">
        <f>AND(#REF!,"AAAAAH7fzxs=")</f>
        <v>#REF!</v>
      </c>
      <c r="AC59" t="e">
        <f>AND(#REF!,"AAAAAH7fzxw=")</f>
        <v>#REF!</v>
      </c>
      <c r="AD59" t="e">
        <f>AND(#REF!,"AAAAAH7fzx0=")</f>
        <v>#REF!</v>
      </c>
      <c r="AE59" t="e">
        <f>AND(#REF!,"AAAAAH7fzx4=")</f>
        <v>#REF!</v>
      </c>
      <c r="AF59" t="e">
        <f>AND(#REF!,"AAAAAH7fzx8=")</f>
        <v>#REF!</v>
      </c>
      <c r="AG59" t="e">
        <f>AND(#REF!,"AAAAAH7fzyA=")</f>
        <v>#REF!</v>
      </c>
      <c r="AH59" t="e">
        <f>AND(#REF!,"AAAAAH7fzyE=")</f>
        <v>#REF!</v>
      </c>
      <c r="AI59" t="e">
        <f>AND(#REF!,"AAAAAH7fzyI=")</f>
        <v>#REF!</v>
      </c>
      <c r="AJ59" t="e">
        <f>AND(#REF!,"AAAAAH7fzyM=")</f>
        <v>#REF!</v>
      </c>
      <c r="AK59" t="e">
        <f>AND(#REF!,"AAAAAH7fzyQ=")</f>
        <v>#REF!</v>
      </c>
      <c r="AL59" t="e">
        <f>AND(#REF!,"AAAAAH7fzyU=")</f>
        <v>#REF!</v>
      </c>
      <c r="AM59" t="e">
        <f>AND(#REF!,"AAAAAH7fzyY=")</f>
        <v>#REF!</v>
      </c>
      <c r="AN59" t="e">
        <f>AND(#REF!,"AAAAAH7fzyc=")</f>
        <v>#REF!</v>
      </c>
      <c r="AO59" t="e">
        <f>AND(#REF!,"AAAAAH7fzyg=")</f>
        <v>#REF!</v>
      </c>
      <c r="AP59" t="e">
        <f>AND(#REF!,"AAAAAH7fzyk=")</f>
        <v>#REF!</v>
      </c>
      <c r="AQ59" t="e">
        <f>AND(#REF!,"AAAAAH7fzyo=")</f>
        <v>#REF!</v>
      </c>
      <c r="AR59" t="e">
        <f>AND(#REF!,"AAAAAH7fzys=")</f>
        <v>#REF!</v>
      </c>
      <c r="AS59" t="e">
        <f>AND(#REF!,"AAAAAH7fzyw=")</f>
        <v>#REF!</v>
      </c>
      <c r="AT59" t="e">
        <f>AND(#REF!,"AAAAAH7fzy0=")</f>
        <v>#REF!</v>
      </c>
      <c r="AU59" t="e">
        <f>AND(#REF!,"AAAAAH7fzy4=")</f>
        <v>#REF!</v>
      </c>
      <c r="AV59" t="e">
        <f>AND(#REF!,"AAAAAH7fzy8=")</f>
        <v>#REF!</v>
      </c>
      <c r="AW59" t="e">
        <f>AND(#REF!,"AAAAAH7fzzA=")</f>
        <v>#REF!</v>
      </c>
      <c r="AX59" t="e">
        <f>AND(#REF!,"AAAAAH7fzzE=")</f>
        <v>#REF!</v>
      </c>
      <c r="AY59" t="e">
        <f>AND(#REF!,"AAAAAH7fzzI=")</f>
        <v>#REF!</v>
      </c>
      <c r="AZ59" t="e">
        <f>AND(#REF!,"AAAAAH7fzzM=")</f>
        <v>#REF!</v>
      </c>
      <c r="BA59" t="e">
        <f>AND(#REF!,"AAAAAH7fzzQ=")</f>
        <v>#REF!</v>
      </c>
      <c r="BB59" t="e">
        <f>AND(#REF!,"AAAAAH7fzzU=")</f>
        <v>#REF!</v>
      </c>
      <c r="BC59" t="e">
        <f>AND(#REF!,"AAAAAH7fzzY=")</f>
        <v>#REF!</v>
      </c>
      <c r="BD59" t="e">
        <f>AND(#REF!,"AAAAAH7fzzc=")</f>
        <v>#REF!</v>
      </c>
      <c r="BE59" t="e">
        <f>AND(#REF!,"AAAAAH7fzzg=")</f>
        <v>#REF!</v>
      </c>
      <c r="BF59" t="e">
        <f>AND(#REF!,"AAAAAH7fzzk=")</f>
        <v>#REF!</v>
      </c>
      <c r="BG59" t="e">
        <f>AND(#REF!,"AAAAAH7fzzo=")</f>
        <v>#REF!</v>
      </c>
      <c r="BH59" t="e">
        <f>AND(#REF!,"AAAAAH7fzzs=")</f>
        <v>#REF!</v>
      </c>
      <c r="BI59" t="e">
        <f>AND(#REF!,"AAAAAH7fzzw=")</f>
        <v>#REF!</v>
      </c>
      <c r="BJ59" t="e">
        <f>AND(#REF!,"AAAAAH7fzz0=")</f>
        <v>#REF!</v>
      </c>
      <c r="BK59" t="e">
        <f>AND(#REF!,"AAAAAH7fzz4=")</f>
        <v>#REF!</v>
      </c>
      <c r="BL59" t="e">
        <f>AND(#REF!,"AAAAAH7fzz8=")</f>
        <v>#REF!</v>
      </c>
      <c r="BM59" t="e">
        <f>AND(#REF!,"AAAAAH7fz0A=")</f>
        <v>#REF!</v>
      </c>
      <c r="BN59" t="e">
        <f>AND(#REF!,"AAAAAH7fz0E=")</f>
        <v>#REF!</v>
      </c>
      <c r="BO59" t="e">
        <f>AND(#REF!,"AAAAAH7fz0I=")</f>
        <v>#REF!</v>
      </c>
      <c r="BP59" t="e">
        <f>AND(#REF!,"AAAAAH7fz0M=")</f>
        <v>#REF!</v>
      </c>
      <c r="BQ59" t="e">
        <f>IF(#REF!,"AAAAAH7fz0Q=",0)</f>
        <v>#REF!</v>
      </c>
      <c r="BR59" t="e">
        <f>AND(#REF!,"AAAAAH7fz0U=")</f>
        <v>#REF!</v>
      </c>
      <c r="BS59" t="e">
        <f>AND(#REF!,"AAAAAH7fz0Y=")</f>
        <v>#REF!</v>
      </c>
      <c r="BT59" t="e">
        <f>AND(#REF!,"AAAAAH7fz0c=")</f>
        <v>#REF!</v>
      </c>
      <c r="BU59" t="e">
        <f>AND(#REF!,"AAAAAH7fz0g=")</f>
        <v>#REF!</v>
      </c>
      <c r="BV59" t="e">
        <f>AND(#REF!,"AAAAAH7fz0k=")</f>
        <v>#REF!</v>
      </c>
      <c r="BW59" t="e">
        <f>AND(#REF!,"AAAAAH7fz0o=")</f>
        <v>#REF!</v>
      </c>
      <c r="BX59" t="e">
        <f>AND(#REF!,"AAAAAH7fz0s=")</f>
        <v>#REF!</v>
      </c>
      <c r="BY59" t="e">
        <f>AND(#REF!,"AAAAAH7fz0w=")</f>
        <v>#REF!</v>
      </c>
      <c r="BZ59" t="e">
        <f>AND(#REF!,"AAAAAH7fz00=")</f>
        <v>#REF!</v>
      </c>
      <c r="CA59" t="e">
        <f>AND(#REF!,"AAAAAH7fz04=")</f>
        <v>#REF!</v>
      </c>
      <c r="CB59" t="e">
        <f>AND(#REF!,"AAAAAH7fz08=")</f>
        <v>#REF!</v>
      </c>
      <c r="CC59" t="e">
        <f>AND(#REF!,"AAAAAH7fz1A=")</f>
        <v>#REF!</v>
      </c>
      <c r="CD59" t="e">
        <f>AND(#REF!,"AAAAAH7fz1E=")</f>
        <v>#REF!</v>
      </c>
      <c r="CE59" t="e">
        <f>AND(#REF!,"AAAAAH7fz1I=")</f>
        <v>#REF!</v>
      </c>
      <c r="CF59" t="e">
        <f>AND(#REF!,"AAAAAH7fz1M=")</f>
        <v>#REF!</v>
      </c>
      <c r="CG59" t="e">
        <f>AND(#REF!,"AAAAAH7fz1Q=")</f>
        <v>#REF!</v>
      </c>
      <c r="CH59" t="e">
        <f>AND(#REF!,"AAAAAH7fz1U=")</f>
        <v>#REF!</v>
      </c>
      <c r="CI59" t="e">
        <f>AND(#REF!,"AAAAAH7fz1Y=")</f>
        <v>#REF!</v>
      </c>
      <c r="CJ59" t="e">
        <f>AND(#REF!,"AAAAAH7fz1c=")</f>
        <v>#REF!</v>
      </c>
      <c r="CK59" t="e">
        <f>AND(#REF!,"AAAAAH7fz1g=")</f>
        <v>#REF!</v>
      </c>
      <c r="CL59" t="e">
        <f>AND(#REF!,"AAAAAH7fz1k=")</f>
        <v>#REF!</v>
      </c>
      <c r="CM59" t="e">
        <f>AND(#REF!,"AAAAAH7fz1o=")</f>
        <v>#REF!</v>
      </c>
      <c r="CN59" t="e">
        <f>AND(#REF!,"AAAAAH7fz1s=")</f>
        <v>#REF!</v>
      </c>
      <c r="CO59" t="e">
        <f>AND(#REF!,"AAAAAH7fz1w=")</f>
        <v>#REF!</v>
      </c>
      <c r="CP59" t="e">
        <f>AND(#REF!,"AAAAAH7fz10=")</f>
        <v>#REF!</v>
      </c>
      <c r="CQ59" t="e">
        <f>AND(#REF!,"AAAAAH7fz14=")</f>
        <v>#REF!</v>
      </c>
      <c r="CR59" t="e">
        <f>AND(#REF!,"AAAAAH7fz18=")</f>
        <v>#REF!</v>
      </c>
      <c r="CS59" t="e">
        <f>AND(#REF!,"AAAAAH7fz2A=")</f>
        <v>#REF!</v>
      </c>
      <c r="CT59" t="e">
        <f>AND(#REF!,"AAAAAH7fz2E=")</f>
        <v>#REF!</v>
      </c>
      <c r="CU59" t="e">
        <f>AND(#REF!,"AAAAAH7fz2I=")</f>
        <v>#REF!</v>
      </c>
      <c r="CV59" t="e">
        <f>AND(#REF!,"AAAAAH7fz2M=")</f>
        <v>#REF!</v>
      </c>
      <c r="CW59" t="e">
        <f>AND(#REF!,"AAAAAH7fz2Q=")</f>
        <v>#REF!</v>
      </c>
      <c r="CX59" t="e">
        <f>AND(#REF!,"AAAAAH7fz2U=")</f>
        <v>#REF!</v>
      </c>
      <c r="CY59" t="e">
        <f>AND(#REF!,"AAAAAH7fz2Y=")</f>
        <v>#REF!</v>
      </c>
      <c r="CZ59" t="e">
        <f>AND(#REF!,"AAAAAH7fz2c=")</f>
        <v>#REF!</v>
      </c>
      <c r="DA59" t="e">
        <f>AND(#REF!,"AAAAAH7fz2g=")</f>
        <v>#REF!</v>
      </c>
      <c r="DB59" t="e">
        <f>AND(#REF!,"AAAAAH7fz2k=")</f>
        <v>#REF!</v>
      </c>
      <c r="DC59" t="e">
        <f>AND(#REF!,"AAAAAH7fz2o=")</f>
        <v>#REF!</v>
      </c>
      <c r="DD59" t="e">
        <f>AND(#REF!,"AAAAAH7fz2s=")</f>
        <v>#REF!</v>
      </c>
      <c r="DE59" t="e">
        <f>AND(#REF!,"AAAAAH7fz2w=")</f>
        <v>#REF!</v>
      </c>
      <c r="DF59" t="e">
        <f>AND(#REF!,"AAAAAH7fz20=")</f>
        <v>#REF!</v>
      </c>
      <c r="DG59" t="e">
        <f>AND(#REF!,"AAAAAH7fz24=")</f>
        <v>#REF!</v>
      </c>
      <c r="DH59" t="e">
        <f>AND(#REF!,"AAAAAH7fz28=")</f>
        <v>#REF!</v>
      </c>
      <c r="DI59" t="e">
        <f>IF(#REF!,"AAAAAH7fz3A=",0)</f>
        <v>#REF!</v>
      </c>
      <c r="DJ59" t="e">
        <f>AND(#REF!,"AAAAAH7fz3E=")</f>
        <v>#REF!</v>
      </c>
      <c r="DK59" t="e">
        <f>AND(#REF!,"AAAAAH7fz3I=")</f>
        <v>#REF!</v>
      </c>
      <c r="DL59" t="e">
        <f>AND(#REF!,"AAAAAH7fz3M=")</f>
        <v>#REF!</v>
      </c>
      <c r="DM59" t="e">
        <f>AND(#REF!,"AAAAAH7fz3Q=")</f>
        <v>#REF!</v>
      </c>
      <c r="DN59" t="e">
        <f>AND(#REF!,"AAAAAH7fz3U=")</f>
        <v>#REF!</v>
      </c>
      <c r="DO59" t="e">
        <f>AND(#REF!,"AAAAAH7fz3Y=")</f>
        <v>#REF!</v>
      </c>
      <c r="DP59" t="e">
        <f>AND(#REF!,"AAAAAH7fz3c=")</f>
        <v>#REF!</v>
      </c>
      <c r="DQ59" t="e">
        <f>AND(#REF!,"AAAAAH7fz3g=")</f>
        <v>#REF!</v>
      </c>
      <c r="DR59" t="e">
        <f>AND(#REF!,"AAAAAH7fz3k=")</f>
        <v>#REF!</v>
      </c>
      <c r="DS59" t="e">
        <f>AND(#REF!,"AAAAAH7fz3o=")</f>
        <v>#REF!</v>
      </c>
      <c r="DT59" t="e">
        <f>AND(#REF!,"AAAAAH7fz3s=")</f>
        <v>#REF!</v>
      </c>
      <c r="DU59" t="e">
        <f>AND(#REF!,"AAAAAH7fz3w=")</f>
        <v>#REF!</v>
      </c>
      <c r="DV59" t="e">
        <f>AND(#REF!,"AAAAAH7fz30=")</f>
        <v>#REF!</v>
      </c>
      <c r="DW59" t="e">
        <f>AND(#REF!,"AAAAAH7fz34=")</f>
        <v>#REF!</v>
      </c>
      <c r="DX59" t="e">
        <f>AND(#REF!,"AAAAAH7fz38=")</f>
        <v>#REF!</v>
      </c>
      <c r="DY59" t="e">
        <f>AND(#REF!,"AAAAAH7fz4A=")</f>
        <v>#REF!</v>
      </c>
      <c r="DZ59" t="e">
        <f>AND(#REF!,"AAAAAH7fz4E=")</f>
        <v>#REF!</v>
      </c>
      <c r="EA59" t="e">
        <f>AND(#REF!,"AAAAAH7fz4I=")</f>
        <v>#REF!</v>
      </c>
      <c r="EB59" t="e">
        <f>AND(#REF!,"AAAAAH7fz4M=")</f>
        <v>#REF!</v>
      </c>
      <c r="EC59" t="e">
        <f>AND(#REF!,"AAAAAH7fz4Q=")</f>
        <v>#REF!</v>
      </c>
      <c r="ED59" t="e">
        <f>AND(#REF!,"AAAAAH7fz4U=")</f>
        <v>#REF!</v>
      </c>
      <c r="EE59" t="e">
        <f>AND(#REF!,"AAAAAH7fz4Y=")</f>
        <v>#REF!</v>
      </c>
      <c r="EF59" t="e">
        <f>AND(#REF!,"AAAAAH7fz4c=")</f>
        <v>#REF!</v>
      </c>
      <c r="EG59" t="e">
        <f>AND(#REF!,"AAAAAH7fz4g=")</f>
        <v>#REF!</v>
      </c>
      <c r="EH59" t="e">
        <f>AND(#REF!,"AAAAAH7fz4k=")</f>
        <v>#REF!</v>
      </c>
      <c r="EI59" t="e">
        <f>AND(#REF!,"AAAAAH7fz4o=")</f>
        <v>#REF!</v>
      </c>
      <c r="EJ59" t="e">
        <f>AND(#REF!,"AAAAAH7fz4s=")</f>
        <v>#REF!</v>
      </c>
      <c r="EK59" t="e">
        <f>AND(#REF!,"AAAAAH7fz4w=")</f>
        <v>#REF!</v>
      </c>
      <c r="EL59" t="e">
        <f>AND(#REF!,"AAAAAH7fz40=")</f>
        <v>#REF!</v>
      </c>
      <c r="EM59" t="e">
        <f>AND(#REF!,"AAAAAH7fz44=")</f>
        <v>#REF!</v>
      </c>
      <c r="EN59" t="e">
        <f>AND(#REF!,"AAAAAH7fz48=")</f>
        <v>#REF!</v>
      </c>
      <c r="EO59" t="e">
        <f>AND(#REF!,"AAAAAH7fz5A=")</f>
        <v>#REF!</v>
      </c>
      <c r="EP59" t="e">
        <f>AND(#REF!,"AAAAAH7fz5E=")</f>
        <v>#REF!</v>
      </c>
      <c r="EQ59" t="e">
        <f>AND(#REF!,"AAAAAH7fz5I=")</f>
        <v>#REF!</v>
      </c>
      <c r="ER59" t="e">
        <f>AND(#REF!,"AAAAAH7fz5M=")</f>
        <v>#REF!</v>
      </c>
      <c r="ES59" t="e">
        <f>AND(#REF!,"AAAAAH7fz5Q=")</f>
        <v>#REF!</v>
      </c>
      <c r="ET59" t="e">
        <f>AND(#REF!,"AAAAAH7fz5U=")</f>
        <v>#REF!</v>
      </c>
      <c r="EU59" t="e">
        <f>AND(#REF!,"AAAAAH7fz5Y=")</f>
        <v>#REF!</v>
      </c>
      <c r="EV59" t="e">
        <f>AND(#REF!,"AAAAAH7fz5c=")</f>
        <v>#REF!</v>
      </c>
      <c r="EW59" t="e">
        <f>AND(#REF!,"AAAAAH7fz5g=")</f>
        <v>#REF!</v>
      </c>
      <c r="EX59" t="e">
        <f>AND(#REF!,"AAAAAH7fz5k=")</f>
        <v>#REF!</v>
      </c>
      <c r="EY59" t="e">
        <f>AND(#REF!,"AAAAAH7fz5o=")</f>
        <v>#REF!</v>
      </c>
      <c r="EZ59" t="e">
        <f>AND(#REF!,"AAAAAH7fz5s=")</f>
        <v>#REF!</v>
      </c>
      <c r="FA59" t="e">
        <f>IF(#REF!,"AAAAAH7fz5w=",0)</f>
        <v>#REF!</v>
      </c>
      <c r="FB59" t="e">
        <f>AND(#REF!,"AAAAAH7fz50=")</f>
        <v>#REF!</v>
      </c>
      <c r="FC59" t="e">
        <f>AND(#REF!,"AAAAAH7fz54=")</f>
        <v>#REF!</v>
      </c>
      <c r="FD59" t="e">
        <f>AND(#REF!,"AAAAAH7fz58=")</f>
        <v>#REF!</v>
      </c>
      <c r="FE59" t="e">
        <f>AND(#REF!,"AAAAAH7fz6A=")</f>
        <v>#REF!</v>
      </c>
      <c r="FF59" t="e">
        <f>AND(#REF!,"AAAAAH7fz6E=")</f>
        <v>#REF!</v>
      </c>
      <c r="FG59" t="e">
        <f>AND(#REF!,"AAAAAH7fz6I=")</f>
        <v>#REF!</v>
      </c>
      <c r="FH59" t="e">
        <f>AND(#REF!,"AAAAAH7fz6M=")</f>
        <v>#REF!</v>
      </c>
      <c r="FI59" t="e">
        <f>AND(#REF!,"AAAAAH7fz6Q=")</f>
        <v>#REF!</v>
      </c>
      <c r="FJ59" t="e">
        <f>AND(#REF!,"AAAAAH7fz6U=")</f>
        <v>#REF!</v>
      </c>
      <c r="FK59" t="e">
        <f>AND(#REF!,"AAAAAH7fz6Y=")</f>
        <v>#REF!</v>
      </c>
      <c r="FL59" t="e">
        <f>AND(#REF!,"AAAAAH7fz6c=")</f>
        <v>#REF!</v>
      </c>
      <c r="FM59" t="e">
        <f>AND(#REF!,"AAAAAH7fz6g=")</f>
        <v>#REF!</v>
      </c>
      <c r="FN59" t="e">
        <f>AND(#REF!,"AAAAAH7fz6k=")</f>
        <v>#REF!</v>
      </c>
      <c r="FO59" t="e">
        <f>AND(#REF!,"AAAAAH7fz6o=")</f>
        <v>#REF!</v>
      </c>
      <c r="FP59" t="e">
        <f>AND(#REF!,"AAAAAH7fz6s=")</f>
        <v>#REF!</v>
      </c>
      <c r="FQ59" t="e">
        <f>AND(#REF!,"AAAAAH7fz6w=")</f>
        <v>#REF!</v>
      </c>
      <c r="FR59" t="e">
        <f>AND(#REF!,"AAAAAH7fz60=")</f>
        <v>#REF!</v>
      </c>
      <c r="FS59" t="e">
        <f>AND(#REF!,"AAAAAH7fz64=")</f>
        <v>#REF!</v>
      </c>
      <c r="FT59" t="e">
        <f>AND(#REF!,"AAAAAH7fz68=")</f>
        <v>#REF!</v>
      </c>
      <c r="FU59" t="e">
        <f>AND(#REF!,"AAAAAH7fz7A=")</f>
        <v>#REF!</v>
      </c>
      <c r="FV59" t="e">
        <f>AND(#REF!,"AAAAAH7fz7E=")</f>
        <v>#REF!</v>
      </c>
      <c r="FW59" t="e">
        <f>AND(#REF!,"AAAAAH7fz7I=")</f>
        <v>#REF!</v>
      </c>
      <c r="FX59" t="e">
        <f>AND(#REF!,"AAAAAH7fz7M=")</f>
        <v>#REF!</v>
      </c>
      <c r="FY59" t="e">
        <f>AND(#REF!,"AAAAAH7fz7Q=")</f>
        <v>#REF!</v>
      </c>
      <c r="FZ59" t="e">
        <f>AND(#REF!,"AAAAAH7fz7U=")</f>
        <v>#REF!</v>
      </c>
      <c r="GA59" t="e">
        <f>AND(#REF!,"AAAAAH7fz7Y=")</f>
        <v>#REF!</v>
      </c>
      <c r="GB59" t="e">
        <f>AND(#REF!,"AAAAAH7fz7c=")</f>
        <v>#REF!</v>
      </c>
      <c r="GC59" t="e">
        <f>AND(#REF!,"AAAAAH7fz7g=")</f>
        <v>#REF!</v>
      </c>
      <c r="GD59" t="e">
        <f>AND(#REF!,"AAAAAH7fz7k=")</f>
        <v>#REF!</v>
      </c>
      <c r="GE59" t="e">
        <f>AND(#REF!,"AAAAAH7fz7o=")</f>
        <v>#REF!</v>
      </c>
      <c r="GF59" t="e">
        <f>AND(#REF!,"AAAAAH7fz7s=")</f>
        <v>#REF!</v>
      </c>
      <c r="GG59" t="e">
        <f>AND(#REF!,"AAAAAH7fz7w=")</f>
        <v>#REF!</v>
      </c>
      <c r="GH59" t="e">
        <f>AND(#REF!,"AAAAAH7fz70=")</f>
        <v>#REF!</v>
      </c>
      <c r="GI59" t="e">
        <f>AND(#REF!,"AAAAAH7fz74=")</f>
        <v>#REF!</v>
      </c>
      <c r="GJ59" t="e">
        <f>AND(#REF!,"AAAAAH7fz78=")</f>
        <v>#REF!</v>
      </c>
      <c r="GK59" t="e">
        <f>AND(#REF!,"AAAAAH7fz8A=")</f>
        <v>#REF!</v>
      </c>
      <c r="GL59" t="e">
        <f>AND(#REF!,"AAAAAH7fz8E=")</f>
        <v>#REF!</v>
      </c>
      <c r="GM59" t="e">
        <f>AND(#REF!,"AAAAAH7fz8I=")</f>
        <v>#REF!</v>
      </c>
      <c r="GN59" t="e">
        <f>AND(#REF!,"AAAAAH7fz8M=")</f>
        <v>#REF!</v>
      </c>
      <c r="GO59" t="e">
        <f>AND(#REF!,"AAAAAH7fz8Q=")</f>
        <v>#REF!</v>
      </c>
      <c r="GP59" t="e">
        <f>AND(#REF!,"AAAAAH7fz8U=")</f>
        <v>#REF!</v>
      </c>
      <c r="GQ59" t="e">
        <f>AND(#REF!,"AAAAAH7fz8Y=")</f>
        <v>#REF!</v>
      </c>
      <c r="GR59" t="e">
        <f>AND(#REF!,"AAAAAH7fz8c=")</f>
        <v>#REF!</v>
      </c>
      <c r="GS59" t="e">
        <f>IF(#REF!,"AAAAAH7fz8g=",0)</f>
        <v>#REF!</v>
      </c>
      <c r="GT59" t="e">
        <f>AND(#REF!,"AAAAAH7fz8k=")</f>
        <v>#REF!</v>
      </c>
      <c r="GU59" t="e">
        <f>AND(#REF!,"AAAAAH7fz8o=")</f>
        <v>#REF!</v>
      </c>
      <c r="GV59" t="e">
        <f>AND(#REF!,"AAAAAH7fz8s=")</f>
        <v>#REF!</v>
      </c>
      <c r="GW59" t="e">
        <f>AND(#REF!,"AAAAAH7fz8w=")</f>
        <v>#REF!</v>
      </c>
      <c r="GX59" t="e">
        <f>AND(#REF!,"AAAAAH7fz80=")</f>
        <v>#REF!</v>
      </c>
      <c r="GY59" t="e">
        <f>AND(#REF!,"AAAAAH7fz84=")</f>
        <v>#REF!</v>
      </c>
      <c r="GZ59" t="e">
        <f>AND(#REF!,"AAAAAH7fz88=")</f>
        <v>#REF!</v>
      </c>
      <c r="HA59" t="e">
        <f>AND(#REF!,"AAAAAH7fz9A=")</f>
        <v>#REF!</v>
      </c>
      <c r="HB59" t="e">
        <f>AND(#REF!,"AAAAAH7fz9E=")</f>
        <v>#REF!</v>
      </c>
      <c r="HC59" t="e">
        <f>AND(#REF!,"AAAAAH7fz9I=")</f>
        <v>#REF!</v>
      </c>
      <c r="HD59" t="e">
        <f>AND(#REF!,"AAAAAH7fz9M=")</f>
        <v>#REF!</v>
      </c>
      <c r="HE59" t="e">
        <f>AND(#REF!,"AAAAAH7fz9Q=")</f>
        <v>#REF!</v>
      </c>
      <c r="HF59" t="e">
        <f>AND(#REF!,"AAAAAH7fz9U=")</f>
        <v>#REF!</v>
      </c>
      <c r="HG59" t="e">
        <f>AND(#REF!,"AAAAAH7fz9Y=")</f>
        <v>#REF!</v>
      </c>
      <c r="HH59" t="e">
        <f>AND(#REF!,"AAAAAH7fz9c=")</f>
        <v>#REF!</v>
      </c>
      <c r="HI59" t="e">
        <f>AND(#REF!,"AAAAAH7fz9g=")</f>
        <v>#REF!</v>
      </c>
      <c r="HJ59" t="e">
        <f>AND(#REF!,"AAAAAH7fz9k=")</f>
        <v>#REF!</v>
      </c>
      <c r="HK59" t="e">
        <f>AND(#REF!,"AAAAAH7fz9o=")</f>
        <v>#REF!</v>
      </c>
      <c r="HL59" t="e">
        <f>AND(#REF!,"AAAAAH7fz9s=")</f>
        <v>#REF!</v>
      </c>
      <c r="HM59" t="e">
        <f>AND(#REF!,"AAAAAH7fz9w=")</f>
        <v>#REF!</v>
      </c>
      <c r="HN59" t="e">
        <f>AND(#REF!,"AAAAAH7fz90=")</f>
        <v>#REF!</v>
      </c>
      <c r="HO59" t="e">
        <f>AND(#REF!,"AAAAAH7fz94=")</f>
        <v>#REF!</v>
      </c>
      <c r="HP59" t="e">
        <f>AND(#REF!,"AAAAAH7fz98=")</f>
        <v>#REF!</v>
      </c>
      <c r="HQ59" t="e">
        <f>AND(#REF!,"AAAAAH7fz+A=")</f>
        <v>#REF!</v>
      </c>
      <c r="HR59" t="e">
        <f>AND(#REF!,"AAAAAH7fz+E=")</f>
        <v>#REF!</v>
      </c>
      <c r="HS59" t="e">
        <f>AND(#REF!,"AAAAAH7fz+I=")</f>
        <v>#REF!</v>
      </c>
      <c r="HT59" t="e">
        <f>AND(#REF!,"AAAAAH7fz+M=")</f>
        <v>#REF!</v>
      </c>
      <c r="HU59" t="e">
        <f>AND(#REF!,"AAAAAH7fz+Q=")</f>
        <v>#REF!</v>
      </c>
      <c r="HV59" t="e">
        <f>AND(#REF!,"AAAAAH7fz+U=")</f>
        <v>#REF!</v>
      </c>
      <c r="HW59" t="e">
        <f>AND(#REF!,"AAAAAH7fz+Y=")</f>
        <v>#REF!</v>
      </c>
      <c r="HX59" t="e">
        <f>AND(#REF!,"AAAAAH7fz+c=")</f>
        <v>#REF!</v>
      </c>
      <c r="HY59" t="e">
        <f>AND(#REF!,"AAAAAH7fz+g=")</f>
        <v>#REF!</v>
      </c>
      <c r="HZ59" t="e">
        <f>AND(#REF!,"AAAAAH7fz+k=")</f>
        <v>#REF!</v>
      </c>
      <c r="IA59" t="e">
        <f>AND(#REF!,"AAAAAH7fz+o=")</f>
        <v>#REF!</v>
      </c>
      <c r="IB59" t="e">
        <f>AND(#REF!,"AAAAAH7fz+s=")</f>
        <v>#REF!</v>
      </c>
      <c r="IC59" t="e">
        <f>AND(#REF!,"AAAAAH7fz+w=")</f>
        <v>#REF!</v>
      </c>
      <c r="ID59" t="e">
        <f>AND(#REF!,"AAAAAH7fz+0=")</f>
        <v>#REF!</v>
      </c>
      <c r="IE59" t="e">
        <f>AND(#REF!,"AAAAAH7fz+4=")</f>
        <v>#REF!</v>
      </c>
      <c r="IF59" t="e">
        <f>AND(#REF!,"AAAAAH7fz+8=")</f>
        <v>#REF!</v>
      </c>
      <c r="IG59" t="e">
        <f>AND(#REF!,"AAAAAH7fz/A=")</f>
        <v>#REF!</v>
      </c>
      <c r="IH59" t="e">
        <f>AND(#REF!,"AAAAAH7fz/E=")</f>
        <v>#REF!</v>
      </c>
      <c r="II59" t="e">
        <f>AND(#REF!,"AAAAAH7fz/I=")</f>
        <v>#REF!</v>
      </c>
      <c r="IJ59" t="e">
        <f>AND(#REF!,"AAAAAH7fz/M=")</f>
        <v>#REF!</v>
      </c>
      <c r="IK59" t="e">
        <f>IF(#REF!,"AAAAAH7fz/Q=",0)</f>
        <v>#REF!</v>
      </c>
      <c r="IL59" t="e">
        <f>AND(#REF!,"AAAAAH7fz/U=")</f>
        <v>#REF!</v>
      </c>
      <c r="IM59" t="e">
        <f>AND(#REF!,"AAAAAH7fz/Y=")</f>
        <v>#REF!</v>
      </c>
      <c r="IN59" t="e">
        <f>AND(#REF!,"AAAAAH7fz/c=")</f>
        <v>#REF!</v>
      </c>
      <c r="IO59" t="e">
        <f>AND(#REF!,"AAAAAH7fz/g=")</f>
        <v>#REF!</v>
      </c>
      <c r="IP59" t="e">
        <f>AND(#REF!,"AAAAAH7fz/k=")</f>
        <v>#REF!</v>
      </c>
      <c r="IQ59" t="e">
        <f>AND(#REF!,"AAAAAH7fz/o=")</f>
        <v>#REF!</v>
      </c>
      <c r="IR59" t="e">
        <f>AND(#REF!,"AAAAAH7fz/s=")</f>
        <v>#REF!</v>
      </c>
      <c r="IS59" t="e">
        <f>AND(#REF!,"AAAAAH7fz/w=")</f>
        <v>#REF!</v>
      </c>
      <c r="IT59" t="e">
        <f>AND(#REF!,"AAAAAH7fz/0=")</f>
        <v>#REF!</v>
      </c>
      <c r="IU59" t="e">
        <f>AND(#REF!,"AAAAAH7fz/4=")</f>
        <v>#REF!</v>
      </c>
      <c r="IV59" t="e">
        <f>AND(#REF!,"AAAAAH7fz/8=")</f>
        <v>#REF!</v>
      </c>
    </row>
    <row r="60" spans="1:256" x14ac:dyDescent="0.25">
      <c r="A60" t="e">
        <f>AND(#REF!,"AAAAAFb5xgA=")</f>
        <v>#REF!</v>
      </c>
      <c r="B60" t="e">
        <f>AND(#REF!,"AAAAAFb5xgE=")</f>
        <v>#REF!</v>
      </c>
      <c r="C60" t="e">
        <f>AND(#REF!,"AAAAAFb5xgI=")</f>
        <v>#REF!</v>
      </c>
      <c r="D60" t="e">
        <f>AND(#REF!,"AAAAAFb5xgM=")</f>
        <v>#REF!</v>
      </c>
      <c r="E60" t="e">
        <f>AND(#REF!,"AAAAAFb5xgQ=")</f>
        <v>#REF!</v>
      </c>
      <c r="F60" t="e">
        <f>AND(#REF!,"AAAAAFb5xgU=")</f>
        <v>#REF!</v>
      </c>
      <c r="G60" t="e">
        <f>AND(#REF!,"AAAAAFb5xgY=")</f>
        <v>#REF!</v>
      </c>
      <c r="H60" t="e">
        <f>AND(#REF!,"AAAAAFb5xgc=")</f>
        <v>#REF!</v>
      </c>
      <c r="I60" t="e">
        <f>AND(#REF!,"AAAAAFb5xgg=")</f>
        <v>#REF!</v>
      </c>
      <c r="J60" t="e">
        <f>AND(#REF!,"AAAAAFb5xgk=")</f>
        <v>#REF!</v>
      </c>
      <c r="K60" t="e">
        <f>AND(#REF!,"AAAAAFb5xgo=")</f>
        <v>#REF!</v>
      </c>
      <c r="L60" t="e">
        <f>AND(#REF!,"AAAAAFb5xgs=")</f>
        <v>#REF!</v>
      </c>
      <c r="M60" t="e">
        <f>AND(#REF!,"AAAAAFb5xgw=")</f>
        <v>#REF!</v>
      </c>
      <c r="N60" t="e">
        <f>AND(#REF!,"AAAAAFb5xg0=")</f>
        <v>#REF!</v>
      </c>
      <c r="O60" t="e">
        <f>AND(#REF!,"AAAAAFb5xg4=")</f>
        <v>#REF!</v>
      </c>
      <c r="P60" t="e">
        <f>AND(#REF!,"AAAAAFb5xg8=")</f>
        <v>#REF!</v>
      </c>
      <c r="Q60" t="e">
        <f>AND(#REF!,"AAAAAFb5xhA=")</f>
        <v>#REF!</v>
      </c>
      <c r="R60" t="e">
        <f>AND(#REF!,"AAAAAFb5xhE=")</f>
        <v>#REF!</v>
      </c>
      <c r="S60" t="e">
        <f>AND(#REF!,"AAAAAFb5xhI=")</f>
        <v>#REF!</v>
      </c>
      <c r="T60" t="e">
        <f>AND(#REF!,"AAAAAFb5xhM=")</f>
        <v>#REF!</v>
      </c>
      <c r="U60" t="e">
        <f>AND(#REF!,"AAAAAFb5xhQ=")</f>
        <v>#REF!</v>
      </c>
      <c r="V60" t="e">
        <f>AND(#REF!,"AAAAAFb5xhU=")</f>
        <v>#REF!</v>
      </c>
      <c r="W60" t="e">
        <f>AND(#REF!,"AAAAAFb5xhY=")</f>
        <v>#REF!</v>
      </c>
      <c r="X60" t="e">
        <f>AND(#REF!,"AAAAAFb5xhc=")</f>
        <v>#REF!</v>
      </c>
      <c r="Y60" t="e">
        <f>AND(#REF!,"AAAAAFb5xhg=")</f>
        <v>#REF!</v>
      </c>
      <c r="Z60" t="e">
        <f>AND(#REF!,"AAAAAFb5xhk=")</f>
        <v>#REF!</v>
      </c>
      <c r="AA60" t="e">
        <f>AND(#REF!,"AAAAAFb5xho=")</f>
        <v>#REF!</v>
      </c>
      <c r="AB60" t="e">
        <f>AND(#REF!,"AAAAAFb5xhs=")</f>
        <v>#REF!</v>
      </c>
      <c r="AC60" t="e">
        <f>AND(#REF!,"AAAAAFb5xhw=")</f>
        <v>#REF!</v>
      </c>
      <c r="AD60" t="e">
        <f>AND(#REF!,"AAAAAFb5xh0=")</f>
        <v>#REF!</v>
      </c>
      <c r="AE60" t="e">
        <f>AND(#REF!,"AAAAAFb5xh4=")</f>
        <v>#REF!</v>
      </c>
      <c r="AF60" t="e">
        <f>AND(#REF!,"AAAAAFb5xh8=")</f>
        <v>#REF!</v>
      </c>
      <c r="AG60" t="e">
        <f>IF(#REF!,"AAAAAFb5xiA=",0)</f>
        <v>#REF!</v>
      </c>
      <c r="AH60" t="e">
        <f>AND(#REF!,"AAAAAFb5xiE=")</f>
        <v>#REF!</v>
      </c>
      <c r="AI60" t="e">
        <f>AND(#REF!,"AAAAAFb5xiI=")</f>
        <v>#REF!</v>
      </c>
      <c r="AJ60" t="e">
        <f>AND(#REF!,"AAAAAFb5xiM=")</f>
        <v>#REF!</v>
      </c>
      <c r="AK60" t="e">
        <f>AND(#REF!,"AAAAAFb5xiQ=")</f>
        <v>#REF!</v>
      </c>
      <c r="AL60" t="e">
        <f>AND(#REF!,"AAAAAFb5xiU=")</f>
        <v>#REF!</v>
      </c>
      <c r="AM60" t="e">
        <f>AND(#REF!,"AAAAAFb5xiY=")</f>
        <v>#REF!</v>
      </c>
      <c r="AN60" t="e">
        <f>AND(#REF!,"AAAAAFb5xic=")</f>
        <v>#REF!</v>
      </c>
      <c r="AO60" t="e">
        <f>AND(#REF!,"AAAAAFb5xig=")</f>
        <v>#REF!</v>
      </c>
      <c r="AP60" t="e">
        <f>AND(#REF!,"AAAAAFb5xik=")</f>
        <v>#REF!</v>
      </c>
      <c r="AQ60" t="e">
        <f>AND(#REF!,"AAAAAFb5xio=")</f>
        <v>#REF!</v>
      </c>
      <c r="AR60" t="e">
        <f>AND(#REF!,"AAAAAFb5xis=")</f>
        <v>#REF!</v>
      </c>
      <c r="AS60" t="e">
        <f>AND(#REF!,"AAAAAFb5xiw=")</f>
        <v>#REF!</v>
      </c>
      <c r="AT60" t="e">
        <f>AND(#REF!,"AAAAAFb5xi0=")</f>
        <v>#REF!</v>
      </c>
      <c r="AU60" t="e">
        <f>AND(#REF!,"AAAAAFb5xi4=")</f>
        <v>#REF!</v>
      </c>
      <c r="AV60" t="e">
        <f>AND(#REF!,"AAAAAFb5xi8=")</f>
        <v>#REF!</v>
      </c>
      <c r="AW60" t="e">
        <f>AND(#REF!,"AAAAAFb5xjA=")</f>
        <v>#REF!</v>
      </c>
      <c r="AX60" t="e">
        <f>AND(#REF!,"AAAAAFb5xjE=")</f>
        <v>#REF!</v>
      </c>
      <c r="AY60" t="e">
        <f>AND(#REF!,"AAAAAFb5xjI=")</f>
        <v>#REF!</v>
      </c>
      <c r="AZ60" t="e">
        <f>AND(#REF!,"AAAAAFb5xjM=")</f>
        <v>#REF!</v>
      </c>
      <c r="BA60" t="e">
        <f>AND(#REF!,"AAAAAFb5xjQ=")</f>
        <v>#REF!</v>
      </c>
      <c r="BB60" t="e">
        <f>AND(#REF!,"AAAAAFb5xjU=")</f>
        <v>#REF!</v>
      </c>
      <c r="BC60" t="e">
        <f>AND(#REF!,"AAAAAFb5xjY=")</f>
        <v>#REF!</v>
      </c>
      <c r="BD60" t="e">
        <f>AND(#REF!,"AAAAAFb5xjc=")</f>
        <v>#REF!</v>
      </c>
      <c r="BE60" t="e">
        <f>AND(#REF!,"AAAAAFb5xjg=")</f>
        <v>#REF!</v>
      </c>
      <c r="BF60" t="e">
        <f>AND(#REF!,"AAAAAFb5xjk=")</f>
        <v>#REF!</v>
      </c>
      <c r="BG60" t="e">
        <f>AND(#REF!,"AAAAAFb5xjo=")</f>
        <v>#REF!</v>
      </c>
      <c r="BH60" t="e">
        <f>AND(#REF!,"AAAAAFb5xjs=")</f>
        <v>#REF!</v>
      </c>
      <c r="BI60" t="e">
        <f>AND(#REF!,"AAAAAFb5xjw=")</f>
        <v>#REF!</v>
      </c>
      <c r="BJ60" t="e">
        <f>AND(#REF!,"AAAAAFb5xj0=")</f>
        <v>#REF!</v>
      </c>
      <c r="BK60" t="e">
        <f>AND(#REF!,"AAAAAFb5xj4=")</f>
        <v>#REF!</v>
      </c>
      <c r="BL60" t="e">
        <f>AND(#REF!,"AAAAAFb5xj8=")</f>
        <v>#REF!</v>
      </c>
      <c r="BM60" t="e">
        <f>AND(#REF!,"AAAAAFb5xkA=")</f>
        <v>#REF!</v>
      </c>
      <c r="BN60" t="e">
        <f>AND(#REF!,"AAAAAFb5xkE=")</f>
        <v>#REF!</v>
      </c>
      <c r="BO60" t="e">
        <f>AND(#REF!,"AAAAAFb5xkI=")</f>
        <v>#REF!</v>
      </c>
      <c r="BP60" t="e">
        <f>AND(#REF!,"AAAAAFb5xkM=")</f>
        <v>#REF!</v>
      </c>
      <c r="BQ60" t="e">
        <f>AND(#REF!,"AAAAAFb5xkQ=")</f>
        <v>#REF!</v>
      </c>
      <c r="BR60" t="e">
        <f>AND(#REF!,"AAAAAFb5xkU=")</f>
        <v>#REF!</v>
      </c>
      <c r="BS60" t="e">
        <f>AND(#REF!,"AAAAAFb5xkY=")</f>
        <v>#REF!</v>
      </c>
      <c r="BT60" t="e">
        <f>AND(#REF!,"AAAAAFb5xkc=")</f>
        <v>#REF!</v>
      </c>
      <c r="BU60" t="e">
        <f>AND(#REF!,"AAAAAFb5xkg=")</f>
        <v>#REF!</v>
      </c>
      <c r="BV60" t="e">
        <f>AND(#REF!,"AAAAAFb5xkk=")</f>
        <v>#REF!</v>
      </c>
      <c r="BW60" t="e">
        <f>AND(#REF!,"AAAAAFb5xko=")</f>
        <v>#REF!</v>
      </c>
      <c r="BX60" t="e">
        <f>AND(#REF!,"AAAAAFb5xks=")</f>
        <v>#REF!</v>
      </c>
      <c r="BY60" t="e">
        <f>IF(#REF!,"AAAAAFb5xkw=",0)</f>
        <v>#REF!</v>
      </c>
      <c r="BZ60" t="e">
        <f>AND(#REF!,"AAAAAFb5xk0=")</f>
        <v>#REF!</v>
      </c>
      <c r="CA60" t="e">
        <f>AND(#REF!,"AAAAAFb5xk4=")</f>
        <v>#REF!</v>
      </c>
      <c r="CB60" t="e">
        <f>AND(#REF!,"AAAAAFb5xk8=")</f>
        <v>#REF!</v>
      </c>
      <c r="CC60" t="e">
        <f>AND(#REF!,"AAAAAFb5xlA=")</f>
        <v>#REF!</v>
      </c>
      <c r="CD60" t="e">
        <f>AND(#REF!,"AAAAAFb5xlE=")</f>
        <v>#REF!</v>
      </c>
      <c r="CE60" t="e">
        <f>AND(#REF!,"AAAAAFb5xlI=")</f>
        <v>#REF!</v>
      </c>
      <c r="CF60" t="e">
        <f>AND(#REF!,"AAAAAFb5xlM=")</f>
        <v>#REF!</v>
      </c>
      <c r="CG60" t="e">
        <f>AND(#REF!,"AAAAAFb5xlQ=")</f>
        <v>#REF!</v>
      </c>
      <c r="CH60" t="e">
        <f>AND(#REF!,"AAAAAFb5xlU=")</f>
        <v>#REF!</v>
      </c>
      <c r="CI60" t="e">
        <f>AND(#REF!,"AAAAAFb5xlY=")</f>
        <v>#REF!</v>
      </c>
      <c r="CJ60" t="e">
        <f>AND(#REF!,"AAAAAFb5xlc=")</f>
        <v>#REF!</v>
      </c>
      <c r="CK60" t="e">
        <f>AND(#REF!,"AAAAAFb5xlg=")</f>
        <v>#REF!</v>
      </c>
      <c r="CL60" t="e">
        <f>AND(#REF!,"AAAAAFb5xlk=")</f>
        <v>#REF!</v>
      </c>
      <c r="CM60" t="e">
        <f>AND(#REF!,"AAAAAFb5xlo=")</f>
        <v>#REF!</v>
      </c>
      <c r="CN60" t="e">
        <f>AND(#REF!,"AAAAAFb5xls=")</f>
        <v>#REF!</v>
      </c>
      <c r="CO60" t="e">
        <f>AND(#REF!,"AAAAAFb5xlw=")</f>
        <v>#REF!</v>
      </c>
      <c r="CP60" t="e">
        <f>AND(#REF!,"AAAAAFb5xl0=")</f>
        <v>#REF!</v>
      </c>
      <c r="CQ60" t="e">
        <f>AND(#REF!,"AAAAAFb5xl4=")</f>
        <v>#REF!</v>
      </c>
      <c r="CR60" t="e">
        <f>AND(#REF!,"AAAAAFb5xl8=")</f>
        <v>#REF!</v>
      </c>
      <c r="CS60" t="e">
        <f>AND(#REF!,"AAAAAFb5xmA=")</f>
        <v>#REF!</v>
      </c>
      <c r="CT60" t="e">
        <f>AND(#REF!,"AAAAAFb5xmE=")</f>
        <v>#REF!</v>
      </c>
      <c r="CU60" t="e">
        <f>AND(#REF!,"AAAAAFb5xmI=")</f>
        <v>#REF!</v>
      </c>
      <c r="CV60" t="e">
        <f>AND(#REF!,"AAAAAFb5xmM=")</f>
        <v>#REF!</v>
      </c>
      <c r="CW60" t="e">
        <f>AND(#REF!,"AAAAAFb5xmQ=")</f>
        <v>#REF!</v>
      </c>
      <c r="CX60" t="e">
        <f>AND(#REF!,"AAAAAFb5xmU=")</f>
        <v>#REF!</v>
      </c>
      <c r="CY60" t="e">
        <f>AND(#REF!,"AAAAAFb5xmY=")</f>
        <v>#REF!</v>
      </c>
      <c r="CZ60" t="e">
        <f>AND(#REF!,"AAAAAFb5xmc=")</f>
        <v>#REF!</v>
      </c>
      <c r="DA60" t="e">
        <f>AND(#REF!,"AAAAAFb5xmg=")</f>
        <v>#REF!</v>
      </c>
      <c r="DB60" t="e">
        <f>AND(#REF!,"AAAAAFb5xmk=")</f>
        <v>#REF!</v>
      </c>
      <c r="DC60" t="e">
        <f>AND(#REF!,"AAAAAFb5xmo=")</f>
        <v>#REF!</v>
      </c>
      <c r="DD60" t="e">
        <f>AND(#REF!,"AAAAAFb5xms=")</f>
        <v>#REF!</v>
      </c>
      <c r="DE60" t="e">
        <f>AND(#REF!,"AAAAAFb5xmw=")</f>
        <v>#REF!</v>
      </c>
      <c r="DF60" t="e">
        <f>AND(#REF!,"AAAAAFb5xm0=")</f>
        <v>#REF!</v>
      </c>
      <c r="DG60" t="e">
        <f>AND(#REF!,"AAAAAFb5xm4=")</f>
        <v>#REF!</v>
      </c>
      <c r="DH60" t="e">
        <f>AND(#REF!,"AAAAAFb5xm8=")</f>
        <v>#REF!</v>
      </c>
      <c r="DI60" t="e">
        <f>AND(#REF!,"AAAAAFb5xnA=")</f>
        <v>#REF!</v>
      </c>
      <c r="DJ60" t="e">
        <f>AND(#REF!,"AAAAAFb5xnE=")</f>
        <v>#REF!</v>
      </c>
      <c r="DK60" t="e">
        <f>AND(#REF!,"AAAAAFb5xnI=")</f>
        <v>#REF!</v>
      </c>
      <c r="DL60" t="e">
        <f>AND(#REF!,"AAAAAFb5xnM=")</f>
        <v>#REF!</v>
      </c>
      <c r="DM60" t="e">
        <f>AND(#REF!,"AAAAAFb5xnQ=")</f>
        <v>#REF!</v>
      </c>
      <c r="DN60" t="e">
        <f>AND(#REF!,"AAAAAFb5xnU=")</f>
        <v>#REF!</v>
      </c>
      <c r="DO60" t="e">
        <f>AND(#REF!,"AAAAAFb5xnY=")</f>
        <v>#REF!</v>
      </c>
      <c r="DP60" t="e">
        <f>AND(#REF!,"AAAAAFb5xnc=")</f>
        <v>#REF!</v>
      </c>
      <c r="DQ60" t="e">
        <f>IF(#REF!,"AAAAAFb5xng=",0)</f>
        <v>#REF!</v>
      </c>
      <c r="DR60" t="e">
        <f>AND(#REF!,"AAAAAFb5xnk=")</f>
        <v>#REF!</v>
      </c>
      <c r="DS60" t="e">
        <f>AND(#REF!,"AAAAAFb5xno=")</f>
        <v>#REF!</v>
      </c>
      <c r="DT60" t="e">
        <f>AND(#REF!,"AAAAAFb5xns=")</f>
        <v>#REF!</v>
      </c>
      <c r="DU60" t="e">
        <f>AND(#REF!,"AAAAAFb5xnw=")</f>
        <v>#REF!</v>
      </c>
      <c r="DV60" t="e">
        <f>AND(#REF!,"AAAAAFb5xn0=")</f>
        <v>#REF!</v>
      </c>
      <c r="DW60" t="e">
        <f>AND(#REF!,"AAAAAFb5xn4=")</f>
        <v>#REF!</v>
      </c>
      <c r="DX60" t="e">
        <f>AND(#REF!,"AAAAAFb5xn8=")</f>
        <v>#REF!</v>
      </c>
      <c r="DY60" t="e">
        <f>AND(#REF!,"AAAAAFb5xoA=")</f>
        <v>#REF!</v>
      </c>
      <c r="DZ60" t="e">
        <f>AND(#REF!,"AAAAAFb5xoE=")</f>
        <v>#REF!</v>
      </c>
      <c r="EA60" t="e">
        <f>AND(#REF!,"AAAAAFb5xoI=")</f>
        <v>#REF!</v>
      </c>
      <c r="EB60" t="e">
        <f>AND(#REF!,"AAAAAFb5xoM=")</f>
        <v>#REF!</v>
      </c>
      <c r="EC60" t="e">
        <f>AND(#REF!,"AAAAAFb5xoQ=")</f>
        <v>#REF!</v>
      </c>
      <c r="ED60" t="e">
        <f>AND(#REF!,"AAAAAFb5xoU=")</f>
        <v>#REF!</v>
      </c>
      <c r="EE60" t="e">
        <f>AND(#REF!,"AAAAAFb5xoY=")</f>
        <v>#REF!</v>
      </c>
      <c r="EF60" t="e">
        <f>AND(#REF!,"AAAAAFb5xoc=")</f>
        <v>#REF!</v>
      </c>
      <c r="EG60" t="e">
        <f>AND(#REF!,"AAAAAFb5xog=")</f>
        <v>#REF!</v>
      </c>
      <c r="EH60" t="e">
        <f>AND(#REF!,"AAAAAFb5xok=")</f>
        <v>#REF!</v>
      </c>
      <c r="EI60" t="e">
        <f>AND(#REF!,"AAAAAFb5xoo=")</f>
        <v>#REF!</v>
      </c>
      <c r="EJ60" t="e">
        <f>AND(#REF!,"AAAAAFb5xos=")</f>
        <v>#REF!</v>
      </c>
      <c r="EK60" t="e">
        <f>AND(#REF!,"AAAAAFb5xow=")</f>
        <v>#REF!</v>
      </c>
      <c r="EL60" t="e">
        <f>AND(#REF!,"AAAAAFb5xo0=")</f>
        <v>#REF!</v>
      </c>
      <c r="EM60" t="e">
        <f>AND(#REF!,"AAAAAFb5xo4=")</f>
        <v>#REF!</v>
      </c>
      <c r="EN60" t="e">
        <f>AND(#REF!,"AAAAAFb5xo8=")</f>
        <v>#REF!</v>
      </c>
      <c r="EO60" t="e">
        <f>AND(#REF!,"AAAAAFb5xpA=")</f>
        <v>#REF!</v>
      </c>
      <c r="EP60" t="e">
        <f>AND(#REF!,"AAAAAFb5xpE=")</f>
        <v>#REF!</v>
      </c>
      <c r="EQ60" t="e">
        <f>AND(#REF!,"AAAAAFb5xpI=")</f>
        <v>#REF!</v>
      </c>
      <c r="ER60" t="e">
        <f>AND(#REF!,"AAAAAFb5xpM=")</f>
        <v>#REF!</v>
      </c>
      <c r="ES60" t="e">
        <f>AND(#REF!,"AAAAAFb5xpQ=")</f>
        <v>#REF!</v>
      </c>
      <c r="ET60" t="e">
        <f>AND(#REF!,"AAAAAFb5xpU=")</f>
        <v>#REF!</v>
      </c>
      <c r="EU60" t="e">
        <f>AND(#REF!,"AAAAAFb5xpY=")</f>
        <v>#REF!</v>
      </c>
      <c r="EV60" t="e">
        <f>AND(#REF!,"AAAAAFb5xpc=")</f>
        <v>#REF!</v>
      </c>
      <c r="EW60" t="e">
        <f>AND(#REF!,"AAAAAFb5xpg=")</f>
        <v>#REF!</v>
      </c>
      <c r="EX60" t="e">
        <f>AND(#REF!,"AAAAAFb5xpk=")</f>
        <v>#REF!</v>
      </c>
      <c r="EY60" t="e">
        <f>AND(#REF!,"AAAAAFb5xpo=")</f>
        <v>#REF!</v>
      </c>
      <c r="EZ60" t="e">
        <f>AND(#REF!,"AAAAAFb5xps=")</f>
        <v>#REF!</v>
      </c>
      <c r="FA60" t="e">
        <f>AND(#REF!,"AAAAAFb5xpw=")</f>
        <v>#REF!</v>
      </c>
      <c r="FB60" t="e">
        <f>AND(#REF!,"AAAAAFb5xp0=")</f>
        <v>#REF!</v>
      </c>
      <c r="FC60" t="e">
        <f>AND(#REF!,"AAAAAFb5xp4=")</f>
        <v>#REF!</v>
      </c>
      <c r="FD60" t="e">
        <f>AND(#REF!,"AAAAAFb5xp8=")</f>
        <v>#REF!</v>
      </c>
      <c r="FE60" t="e">
        <f>AND(#REF!,"AAAAAFb5xqA=")</f>
        <v>#REF!</v>
      </c>
      <c r="FF60" t="e">
        <f>AND(#REF!,"AAAAAFb5xqE=")</f>
        <v>#REF!</v>
      </c>
      <c r="FG60" t="e">
        <f>AND(#REF!,"AAAAAFb5xqI=")</f>
        <v>#REF!</v>
      </c>
      <c r="FH60" t="e">
        <f>AND(#REF!,"AAAAAFb5xqM=")</f>
        <v>#REF!</v>
      </c>
      <c r="FI60" t="e">
        <f>IF(#REF!,"AAAAAFb5xqQ=",0)</f>
        <v>#REF!</v>
      </c>
      <c r="FJ60" t="e">
        <f>AND(#REF!,"AAAAAFb5xqU=")</f>
        <v>#REF!</v>
      </c>
      <c r="FK60" t="e">
        <f>AND(#REF!,"AAAAAFb5xqY=")</f>
        <v>#REF!</v>
      </c>
      <c r="FL60" t="e">
        <f>AND(#REF!,"AAAAAFb5xqc=")</f>
        <v>#REF!</v>
      </c>
      <c r="FM60" t="e">
        <f>AND(#REF!,"AAAAAFb5xqg=")</f>
        <v>#REF!</v>
      </c>
      <c r="FN60" t="e">
        <f>AND(#REF!,"AAAAAFb5xqk=")</f>
        <v>#REF!</v>
      </c>
      <c r="FO60" t="e">
        <f>AND(#REF!,"AAAAAFb5xqo=")</f>
        <v>#REF!</v>
      </c>
      <c r="FP60" t="e">
        <f>AND(#REF!,"AAAAAFb5xqs=")</f>
        <v>#REF!</v>
      </c>
      <c r="FQ60" t="e">
        <f>AND(#REF!,"AAAAAFb5xqw=")</f>
        <v>#REF!</v>
      </c>
      <c r="FR60" t="e">
        <f>AND(#REF!,"AAAAAFb5xq0=")</f>
        <v>#REF!</v>
      </c>
      <c r="FS60" t="e">
        <f>AND(#REF!,"AAAAAFb5xq4=")</f>
        <v>#REF!</v>
      </c>
      <c r="FT60" t="e">
        <f>AND(#REF!,"AAAAAFb5xq8=")</f>
        <v>#REF!</v>
      </c>
      <c r="FU60" t="e">
        <f>AND(#REF!,"AAAAAFb5xrA=")</f>
        <v>#REF!</v>
      </c>
      <c r="FV60" t="e">
        <f>AND(#REF!,"AAAAAFb5xrE=")</f>
        <v>#REF!</v>
      </c>
      <c r="FW60" t="e">
        <f>AND(#REF!,"AAAAAFb5xrI=")</f>
        <v>#REF!</v>
      </c>
      <c r="FX60" t="e">
        <f>AND(#REF!,"AAAAAFb5xrM=")</f>
        <v>#REF!</v>
      </c>
      <c r="FY60" t="e">
        <f>AND(#REF!,"AAAAAFb5xrQ=")</f>
        <v>#REF!</v>
      </c>
      <c r="FZ60" t="e">
        <f>AND(#REF!,"AAAAAFb5xrU=")</f>
        <v>#REF!</v>
      </c>
      <c r="GA60" t="e">
        <f>AND(#REF!,"AAAAAFb5xrY=")</f>
        <v>#REF!</v>
      </c>
      <c r="GB60" t="e">
        <f>AND(#REF!,"AAAAAFb5xrc=")</f>
        <v>#REF!</v>
      </c>
      <c r="GC60" t="e">
        <f>AND(#REF!,"AAAAAFb5xrg=")</f>
        <v>#REF!</v>
      </c>
      <c r="GD60" t="e">
        <f>AND(#REF!,"AAAAAFb5xrk=")</f>
        <v>#REF!</v>
      </c>
      <c r="GE60" t="e">
        <f>AND(#REF!,"AAAAAFb5xro=")</f>
        <v>#REF!</v>
      </c>
      <c r="GF60" t="e">
        <f>AND(#REF!,"AAAAAFb5xrs=")</f>
        <v>#REF!</v>
      </c>
      <c r="GG60" t="e">
        <f>AND(#REF!,"AAAAAFb5xrw=")</f>
        <v>#REF!</v>
      </c>
      <c r="GH60" t="e">
        <f>AND(#REF!,"AAAAAFb5xr0=")</f>
        <v>#REF!</v>
      </c>
      <c r="GI60" t="e">
        <f>AND(#REF!,"AAAAAFb5xr4=")</f>
        <v>#REF!</v>
      </c>
      <c r="GJ60" t="e">
        <f>AND(#REF!,"AAAAAFb5xr8=")</f>
        <v>#REF!</v>
      </c>
      <c r="GK60" t="e">
        <f>AND(#REF!,"AAAAAFb5xsA=")</f>
        <v>#REF!</v>
      </c>
      <c r="GL60" t="e">
        <f>AND(#REF!,"AAAAAFb5xsE=")</f>
        <v>#REF!</v>
      </c>
      <c r="GM60" t="e">
        <f>AND(#REF!,"AAAAAFb5xsI=")</f>
        <v>#REF!</v>
      </c>
      <c r="GN60" t="e">
        <f>AND(#REF!,"AAAAAFb5xsM=")</f>
        <v>#REF!</v>
      </c>
      <c r="GO60" t="e">
        <f>AND(#REF!,"AAAAAFb5xsQ=")</f>
        <v>#REF!</v>
      </c>
      <c r="GP60" t="e">
        <f>AND(#REF!,"AAAAAFb5xsU=")</f>
        <v>#REF!</v>
      </c>
      <c r="GQ60" t="e">
        <f>AND(#REF!,"AAAAAFb5xsY=")</f>
        <v>#REF!</v>
      </c>
      <c r="GR60" t="e">
        <f>AND(#REF!,"AAAAAFb5xsc=")</f>
        <v>#REF!</v>
      </c>
      <c r="GS60" t="e">
        <f>AND(#REF!,"AAAAAFb5xsg=")</f>
        <v>#REF!</v>
      </c>
      <c r="GT60" t="e">
        <f>AND(#REF!,"AAAAAFb5xsk=")</f>
        <v>#REF!</v>
      </c>
      <c r="GU60" t="e">
        <f>AND(#REF!,"AAAAAFb5xso=")</f>
        <v>#REF!</v>
      </c>
      <c r="GV60" t="e">
        <f>AND(#REF!,"AAAAAFb5xss=")</f>
        <v>#REF!</v>
      </c>
      <c r="GW60" t="e">
        <f>AND(#REF!,"AAAAAFb5xsw=")</f>
        <v>#REF!</v>
      </c>
      <c r="GX60" t="e">
        <f>AND(#REF!,"AAAAAFb5xs0=")</f>
        <v>#REF!</v>
      </c>
      <c r="GY60" t="e">
        <f>AND(#REF!,"AAAAAFb5xs4=")</f>
        <v>#REF!</v>
      </c>
      <c r="GZ60" t="e">
        <f>AND(#REF!,"AAAAAFb5xs8=")</f>
        <v>#REF!</v>
      </c>
      <c r="HA60" t="e">
        <f>IF(#REF!,"AAAAAFb5xtA=",0)</f>
        <v>#REF!</v>
      </c>
      <c r="HB60" t="e">
        <f>AND(#REF!,"AAAAAFb5xtE=")</f>
        <v>#REF!</v>
      </c>
      <c r="HC60" t="e">
        <f>AND(#REF!,"AAAAAFb5xtI=")</f>
        <v>#REF!</v>
      </c>
      <c r="HD60" t="e">
        <f>AND(#REF!,"AAAAAFb5xtM=")</f>
        <v>#REF!</v>
      </c>
      <c r="HE60" t="e">
        <f>AND(#REF!,"AAAAAFb5xtQ=")</f>
        <v>#REF!</v>
      </c>
      <c r="HF60" t="e">
        <f>AND(#REF!,"AAAAAFb5xtU=")</f>
        <v>#REF!</v>
      </c>
      <c r="HG60" t="e">
        <f>AND(#REF!,"AAAAAFb5xtY=")</f>
        <v>#REF!</v>
      </c>
      <c r="HH60" t="e">
        <f>AND(#REF!,"AAAAAFb5xtc=")</f>
        <v>#REF!</v>
      </c>
      <c r="HI60" t="e">
        <f>AND(#REF!,"AAAAAFb5xtg=")</f>
        <v>#REF!</v>
      </c>
      <c r="HJ60" t="e">
        <f>AND(#REF!,"AAAAAFb5xtk=")</f>
        <v>#REF!</v>
      </c>
      <c r="HK60" t="e">
        <f>AND(#REF!,"AAAAAFb5xto=")</f>
        <v>#REF!</v>
      </c>
      <c r="HL60" t="e">
        <f>AND(#REF!,"AAAAAFb5xts=")</f>
        <v>#REF!</v>
      </c>
      <c r="HM60" t="e">
        <f>AND(#REF!,"AAAAAFb5xtw=")</f>
        <v>#REF!</v>
      </c>
      <c r="HN60" t="e">
        <f>AND(#REF!,"AAAAAFb5xt0=")</f>
        <v>#REF!</v>
      </c>
      <c r="HO60" t="e">
        <f>AND(#REF!,"AAAAAFb5xt4=")</f>
        <v>#REF!</v>
      </c>
      <c r="HP60" t="e">
        <f>AND(#REF!,"AAAAAFb5xt8=")</f>
        <v>#REF!</v>
      </c>
      <c r="HQ60" t="e">
        <f>AND(#REF!,"AAAAAFb5xuA=")</f>
        <v>#REF!</v>
      </c>
      <c r="HR60" t="e">
        <f>AND(#REF!,"AAAAAFb5xuE=")</f>
        <v>#REF!</v>
      </c>
      <c r="HS60" t="e">
        <f>AND(#REF!,"AAAAAFb5xuI=")</f>
        <v>#REF!</v>
      </c>
      <c r="HT60" t="e">
        <f>AND(#REF!,"AAAAAFb5xuM=")</f>
        <v>#REF!</v>
      </c>
      <c r="HU60" t="e">
        <f>AND(#REF!,"AAAAAFb5xuQ=")</f>
        <v>#REF!</v>
      </c>
      <c r="HV60" t="e">
        <f>AND(#REF!,"AAAAAFb5xuU=")</f>
        <v>#REF!</v>
      </c>
      <c r="HW60" t="e">
        <f>AND(#REF!,"AAAAAFb5xuY=")</f>
        <v>#REF!</v>
      </c>
      <c r="HX60" t="e">
        <f>AND(#REF!,"AAAAAFb5xuc=")</f>
        <v>#REF!</v>
      </c>
      <c r="HY60" t="e">
        <f>AND(#REF!,"AAAAAFb5xug=")</f>
        <v>#REF!</v>
      </c>
      <c r="HZ60" t="e">
        <f>AND(#REF!,"AAAAAFb5xuk=")</f>
        <v>#REF!</v>
      </c>
      <c r="IA60" t="e">
        <f>AND(#REF!,"AAAAAFb5xuo=")</f>
        <v>#REF!</v>
      </c>
      <c r="IB60" t="e">
        <f>AND(#REF!,"AAAAAFb5xus=")</f>
        <v>#REF!</v>
      </c>
      <c r="IC60" t="e">
        <f>AND(#REF!,"AAAAAFb5xuw=")</f>
        <v>#REF!</v>
      </c>
      <c r="ID60" t="e">
        <f>AND(#REF!,"AAAAAFb5xu0=")</f>
        <v>#REF!</v>
      </c>
      <c r="IE60" t="e">
        <f>AND(#REF!,"AAAAAFb5xu4=")</f>
        <v>#REF!</v>
      </c>
      <c r="IF60" t="e">
        <f>AND(#REF!,"AAAAAFb5xu8=")</f>
        <v>#REF!</v>
      </c>
      <c r="IG60" t="e">
        <f>AND(#REF!,"AAAAAFb5xvA=")</f>
        <v>#REF!</v>
      </c>
      <c r="IH60" t="e">
        <f>AND(#REF!,"AAAAAFb5xvE=")</f>
        <v>#REF!</v>
      </c>
      <c r="II60" t="e">
        <f>AND(#REF!,"AAAAAFb5xvI=")</f>
        <v>#REF!</v>
      </c>
      <c r="IJ60" t="e">
        <f>AND(#REF!,"AAAAAFb5xvM=")</f>
        <v>#REF!</v>
      </c>
      <c r="IK60" t="e">
        <f>AND(#REF!,"AAAAAFb5xvQ=")</f>
        <v>#REF!</v>
      </c>
      <c r="IL60" t="e">
        <f>AND(#REF!,"AAAAAFb5xvU=")</f>
        <v>#REF!</v>
      </c>
      <c r="IM60" t="e">
        <f>AND(#REF!,"AAAAAFb5xvY=")</f>
        <v>#REF!</v>
      </c>
      <c r="IN60" t="e">
        <f>AND(#REF!,"AAAAAFb5xvc=")</f>
        <v>#REF!</v>
      </c>
      <c r="IO60" t="e">
        <f>AND(#REF!,"AAAAAFb5xvg=")</f>
        <v>#REF!</v>
      </c>
      <c r="IP60" t="e">
        <f>AND(#REF!,"AAAAAFb5xvk=")</f>
        <v>#REF!</v>
      </c>
      <c r="IQ60" t="e">
        <f>AND(#REF!,"AAAAAFb5xvo=")</f>
        <v>#REF!</v>
      </c>
      <c r="IR60" t="e">
        <f>AND(#REF!,"AAAAAFb5xvs=")</f>
        <v>#REF!</v>
      </c>
      <c r="IS60" t="e">
        <f>IF(#REF!,"AAAAAFb5xvw=",0)</f>
        <v>#REF!</v>
      </c>
      <c r="IT60" t="e">
        <f>AND(#REF!,"AAAAAFb5xv0=")</f>
        <v>#REF!</v>
      </c>
      <c r="IU60" t="e">
        <f>AND(#REF!,"AAAAAFb5xv4=")</f>
        <v>#REF!</v>
      </c>
      <c r="IV60" t="e">
        <f>AND(#REF!,"AAAAAFb5xv8=")</f>
        <v>#REF!</v>
      </c>
    </row>
    <row r="61" spans="1:256" x14ac:dyDescent="0.25">
      <c r="A61" t="e">
        <f>AND(#REF!,"AAAAABc8bwA=")</f>
        <v>#REF!</v>
      </c>
      <c r="B61" t="e">
        <f>AND(#REF!,"AAAAABc8bwE=")</f>
        <v>#REF!</v>
      </c>
      <c r="C61" t="e">
        <f>AND(#REF!,"AAAAABc8bwI=")</f>
        <v>#REF!</v>
      </c>
      <c r="D61" t="e">
        <f>AND(#REF!,"AAAAABc8bwM=")</f>
        <v>#REF!</v>
      </c>
      <c r="E61" t="e">
        <f>AND(#REF!,"AAAAABc8bwQ=")</f>
        <v>#REF!</v>
      </c>
      <c r="F61" t="e">
        <f>AND(#REF!,"AAAAABc8bwU=")</f>
        <v>#REF!</v>
      </c>
      <c r="G61" t="e">
        <f>AND(#REF!,"AAAAABc8bwY=")</f>
        <v>#REF!</v>
      </c>
      <c r="H61" t="e">
        <f>AND(#REF!,"AAAAABc8bwc=")</f>
        <v>#REF!</v>
      </c>
      <c r="I61" t="e">
        <f>AND(#REF!,"AAAAABc8bwg=")</f>
        <v>#REF!</v>
      </c>
      <c r="J61" t="e">
        <f>AND(#REF!,"AAAAABc8bwk=")</f>
        <v>#REF!</v>
      </c>
      <c r="K61" t="e">
        <f>AND(#REF!,"AAAAABc8bwo=")</f>
        <v>#REF!</v>
      </c>
      <c r="L61" t="e">
        <f>AND(#REF!,"AAAAABc8bws=")</f>
        <v>#REF!</v>
      </c>
      <c r="M61" t="e">
        <f>AND(#REF!,"AAAAABc8bww=")</f>
        <v>#REF!</v>
      </c>
      <c r="N61" t="e">
        <f>AND(#REF!,"AAAAABc8bw0=")</f>
        <v>#REF!</v>
      </c>
      <c r="O61" t="e">
        <f>AND(#REF!,"AAAAABc8bw4=")</f>
        <v>#REF!</v>
      </c>
      <c r="P61" t="e">
        <f>AND(#REF!,"AAAAABc8bw8=")</f>
        <v>#REF!</v>
      </c>
      <c r="Q61" t="e">
        <f>AND(#REF!,"AAAAABc8bxA=")</f>
        <v>#REF!</v>
      </c>
      <c r="R61" t="e">
        <f>AND(#REF!,"AAAAABc8bxE=")</f>
        <v>#REF!</v>
      </c>
      <c r="S61" t="e">
        <f>AND(#REF!,"AAAAABc8bxI=")</f>
        <v>#REF!</v>
      </c>
      <c r="T61" t="e">
        <f>AND(#REF!,"AAAAABc8bxM=")</f>
        <v>#REF!</v>
      </c>
      <c r="U61" t="e">
        <f>AND(#REF!,"AAAAABc8bxQ=")</f>
        <v>#REF!</v>
      </c>
      <c r="V61" t="e">
        <f>AND(#REF!,"AAAAABc8bxU=")</f>
        <v>#REF!</v>
      </c>
      <c r="W61" t="e">
        <f>AND(#REF!,"AAAAABc8bxY=")</f>
        <v>#REF!</v>
      </c>
      <c r="X61" t="e">
        <f>AND(#REF!,"AAAAABc8bxc=")</f>
        <v>#REF!</v>
      </c>
      <c r="Y61" t="e">
        <f>AND(#REF!,"AAAAABc8bxg=")</f>
        <v>#REF!</v>
      </c>
      <c r="Z61" t="e">
        <f>AND(#REF!,"AAAAABc8bxk=")</f>
        <v>#REF!</v>
      </c>
      <c r="AA61" t="e">
        <f>AND(#REF!,"AAAAABc8bxo=")</f>
        <v>#REF!</v>
      </c>
      <c r="AB61" t="e">
        <f>AND(#REF!,"AAAAABc8bxs=")</f>
        <v>#REF!</v>
      </c>
      <c r="AC61" t="e">
        <f>AND(#REF!,"AAAAABc8bxw=")</f>
        <v>#REF!</v>
      </c>
      <c r="AD61" t="e">
        <f>AND(#REF!,"AAAAABc8bx0=")</f>
        <v>#REF!</v>
      </c>
      <c r="AE61" t="e">
        <f>AND(#REF!,"AAAAABc8bx4=")</f>
        <v>#REF!</v>
      </c>
      <c r="AF61" t="e">
        <f>AND(#REF!,"AAAAABc8bx8=")</f>
        <v>#REF!</v>
      </c>
      <c r="AG61" t="e">
        <f>AND(#REF!,"AAAAABc8byA=")</f>
        <v>#REF!</v>
      </c>
      <c r="AH61" t="e">
        <f>AND(#REF!,"AAAAABc8byE=")</f>
        <v>#REF!</v>
      </c>
      <c r="AI61" t="e">
        <f>AND(#REF!,"AAAAABc8byI=")</f>
        <v>#REF!</v>
      </c>
      <c r="AJ61" t="e">
        <f>AND(#REF!,"AAAAABc8byM=")</f>
        <v>#REF!</v>
      </c>
      <c r="AK61" t="e">
        <f>AND(#REF!,"AAAAABc8byQ=")</f>
        <v>#REF!</v>
      </c>
      <c r="AL61" t="e">
        <f>AND(#REF!,"AAAAABc8byU=")</f>
        <v>#REF!</v>
      </c>
      <c r="AM61" t="e">
        <f>AND(#REF!,"AAAAABc8byY=")</f>
        <v>#REF!</v>
      </c>
      <c r="AN61" t="e">
        <f>AND(#REF!,"AAAAABc8byc=")</f>
        <v>#REF!</v>
      </c>
      <c r="AO61" t="e">
        <f>IF(#REF!,"AAAAABc8byg=",0)</f>
        <v>#REF!</v>
      </c>
      <c r="AP61" t="e">
        <f>AND(#REF!,"AAAAABc8byk=")</f>
        <v>#REF!</v>
      </c>
      <c r="AQ61" t="e">
        <f>AND(#REF!,"AAAAABc8byo=")</f>
        <v>#REF!</v>
      </c>
      <c r="AR61" t="e">
        <f>AND(#REF!,"AAAAABc8bys=")</f>
        <v>#REF!</v>
      </c>
      <c r="AS61" t="e">
        <f>AND(#REF!,"AAAAABc8byw=")</f>
        <v>#REF!</v>
      </c>
      <c r="AT61" t="e">
        <f>AND(#REF!,"AAAAABc8by0=")</f>
        <v>#REF!</v>
      </c>
      <c r="AU61" t="e">
        <f>AND(#REF!,"AAAAABc8by4=")</f>
        <v>#REF!</v>
      </c>
      <c r="AV61" t="e">
        <f>AND(#REF!,"AAAAABc8by8=")</f>
        <v>#REF!</v>
      </c>
      <c r="AW61" t="e">
        <f>AND(#REF!,"AAAAABc8bzA=")</f>
        <v>#REF!</v>
      </c>
      <c r="AX61" t="e">
        <f>AND(#REF!,"AAAAABc8bzE=")</f>
        <v>#REF!</v>
      </c>
      <c r="AY61" t="e">
        <f>AND(#REF!,"AAAAABc8bzI=")</f>
        <v>#REF!</v>
      </c>
      <c r="AZ61" t="e">
        <f>AND(#REF!,"AAAAABc8bzM=")</f>
        <v>#REF!</v>
      </c>
      <c r="BA61" t="e">
        <f>AND(#REF!,"AAAAABc8bzQ=")</f>
        <v>#REF!</v>
      </c>
      <c r="BB61" t="e">
        <f>AND(#REF!,"AAAAABc8bzU=")</f>
        <v>#REF!</v>
      </c>
      <c r="BC61" t="e">
        <f>AND(#REF!,"AAAAABc8bzY=")</f>
        <v>#REF!</v>
      </c>
      <c r="BD61" t="e">
        <f>AND(#REF!,"AAAAABc8bzc=")</f>
        <v>#REF!</v>
      </c>
      <c r="BE61" t="e">
        <f>AND(#REF!,"AAAAABc8bzg=")</f>
        <v>#REF!</v>
      </c>
      <c r="BF61" t="e">
        <f>AND(#REF!,"AAAAABc8bzk=")</f>
        <v>#REF!</v>
      </c>
      <c r="BG61" t="e">
        <f>AND(#REF!,"AAAAABc8bzo=")</f>
        <v>#REF!</v>
      </c>
      <c r="BH61" t="e">
        <f>AND(#REF!,"AAAAABc8bzs=")</f>
        <v>#REF!</v>
      </c>
      <c r="BI61" t="e">
        <f>AND(#REF!,"AAAAABc8bzw=")</f>
        <v>#REF!</v>
      </c>
      <c r="BJ61" t="e">
        <f>AND(#REF!,"AAAAABc8bz0=")</f>
        <v>#REF!</v>
      </c>
      <c r="BK61" t="e">
        <f>AND(#REF!,"AAAAABc8bz4=")</f>
        <v>#REF!</v>
      </c>
      <c r="BL61" t="e">
        <f>AND(#REF!,"AAAAABc8bz8=")</f>
        <v>#REF!</v>
      </c>
      <c r="BM61" t="e">
        <f>AND(#REF!,"AAAAABc8b0A=")</f>
        <v>#REF!</v>
      </c>
      <c r="BN61" t="e">
        <f>AND(#REF!,"AAAAABc8b0E=")</f>
        <v>#REF!</v>
      </c>
      <c r="BO61" t="e">
        <f>AND(#REF!,"AAAAABc8b0I=")</f>
        <v>#REF!</v>
      </c>
      <c r="BP61" t="e">
        <f>AND(#REF!,"AAAAABc8b0M=")</f>
        <v>#REF!</v>
      </c>
      <c r="BQ61" t="e">
        <f>AND(#REF!,"AAAAABc8b0Q=")</f>
        <v>#REF!</v>
      </c>
      <c r="BR61" t="e">
        <f>AND(#REF!,"AAAAABc8b0U=")</f>
        <v>#REF!</v>
      </c>
      <c r="BS61" t="e">
        <f>AND(#REF!,"AAAAABc8b0Y=")</f>
        <v>#REF!</v>
      </c>
      <c r="BT61" t="e">
        <f>AND(#REF!,"AAAAABc8b0c=")</f>
        <v>#REF!</v>
      </c>
      <c r="BU61" t="e">
        <f>AND(#REF!,"AAAAABc8b0g=")</f>
        <v>#REF!</v>
      </c>
      <c r="BV61" t="e">
        <f>AND(#REF!,"AAAAABc8b0k=")</f>
        <v>#REF!</v>
      </c>
      <c r="BW61" t="e">
        <f>AND(#REF!,"AAAAABc8b0o=")</f>
        <v>#REF!</v>
      </c>
      <c r="BX61" t="e">
        <f>AND(#REF!,"AAAAABc8b0s=")</f>
        <v>#REF!</v>
      </c>
      <c r="BY61" t="e">
        <f>AND(#REF!,"AAAAABc8b0w=")</f>
        <v>#REF!</v>
      </c>
      <c r="BZ61" t="e">
        <f>AND(#REF!,"AAAAABc8b00=")</f>
        <v>#REF!</v>
      </c>
      <c r="CA61" t="e">
        <f>AND(#REF!,"AAAAABc8b04=")</f>
        <v>#REF!</v>
      </c>
      <c r="CB61" t="e">
        <f>AND(#REF!,"AAAAABc8b08=")</f>
        <v>#REF!</v>
      </c>
      <c r="CC61" t="e">
        <f>AND(#REF!,"AAAAABc8b1A=")</f>
        <v>#REF!</v>
      </c>
      <c r="CD61" t="e">
        <f>AND(#REF!,"AAAAABc8b1E=")</f>
        <v>#REF!</v>
      </c>
      <c r="CE61" t="e">
        <f>AND(#REF!,"AAAAABc8b1I=")</f>
        <v>#REF!</v>
      </c>
      <c r="CF61" t="e">
        <f>AND(#REF!,"AAAAABc8b1M=")</f>
        <v>#REF!</v>
      </c>
      <c r="CG61" t="e">
        <f>IF(#REF!,"AAAAABc8b1Q=",0)</f>
        <v>#REF!</v>
      </c>
      <c r="CH61" t="e">
        <f>AND(#REF!,"AAAAABc8b1U=")</f>
        <v>#REF!</v>
      </c>
      <c r="CI61" t="e">
        <f>AND(#REF!,"AAAAABc8b1Y=")</f>
        <v>#REF!</v>
      </c>
      <c r="CJ61" t="e">
        <f>AND(#REF!,"AAAAABc8b1c=")</f>
        <v>#REF!</v>
      </c>
      <c r="CK61" t="e">
        <f>AND(#REF!,"AAAAABc8b1g=")</f>
        <v>#REF!</v>
      </c>
      <c r="CL61" t="e">
        <f>AND(#REF!,"AAAAABc8b1k=")</f>
        <v>#REF!</v>
      </c>
      <c r="CM61" t="e">
        <f>AND(#REF!,"AAAAABc8b1o=")</f>
        <v>#REF!</v>
      </c>
      <c r="CN61" t="e">
        <f>AND(#REF!,"AAAAABc8b1s=")</f>
        <v>#REF!</v>
      </c>
      <c r="CO61" t="e">
        <f>AND(#REF!,"AAAAABc8b1w=")</f>
        <v>#REF!</v>
      </c>
      <c r="CP61" t="e">
        <f>AND(#REF!,"AAAAABc8b10=")</f>
        <v>#REF!</v>
      </c>
      <c r="CQ61" t="e">
        <f>AND(#REF!,"AAAAABc8b14=")</f>
        <v>#REF!</v>
      </c>
      <c r="CR61" t="e">
        <f>AND(#REF!,"AAAAABc8b18=")</f>
        <v>#REF!</v>
      </c>
      <c r="CS61" t="e">
        <f>AND(#REF!,"AAAAABc8b2A=")</f>
        <v>#REF!</v>
      </c>
      <c r="CT61" t="e">
        <f>AND(#REF!,"AAAAABc8b2E=")</f>
        <v>#REF!</v>
      </c>
      <c r="CU61" t="e">
        <f>AND(#REF!,"AAAAABc8b2I=")</f>
        <v>#REF!</v>
      </c>
      <c r="CV61" t="e">
        <f>AND(#REF!,"AAAAABc8b2M=")</f>
        <v>#REF!</v>
      </c>
      <c r="CW61" t="e">
        <f>AND(#REF!,"AAAAABc8b2Q=")</f>
        <v>#REF!</v>
      </c>
      <c r="CX61" t="e">
        <f>AND(#REF!,"AAAAABc8b2U=")</f>
        <v>#REF!</v>
      </c>
      <c r="CY61" t="e">
        <f>AND(#REF!,"AAAAABc8b2Y=")</f>
        <v>#REF!</v>
      </c>
      <c r="CZ61" t="e">
        <f>AND(#REF!,"AAAAABc8b2c=")</f>
        <v>#REF!</v>
      </c>
      <c r="DA61" t="e">
        <f>AND(#REF!,"AAAAABc8b2g=")</f>
        <v>#REF!</v>
      </c>
      <c r="DB61" t="e">
        <f>AND(#REF!,"AAAAABc8b2k=")</f>
        <v>#REF!</v>
      </c>
      <c r="DC61" t="e">
        <f>AND(#REF!,"AAAAABc8b2o=")</f>
        <v>#REF!</v>
      </c>
      <c r="DD61" t="e">
        <f>AND(#REF!,"AAAAABc8b2s=")</f>
        <v>#REF!</v>
      </c>
      <c r="DE61" t="e">
        <f>AND(#REF!,"AAAAABc8b2w=")</f>
        <v>#REF!</v>
      </c>
      <c r="DF61" t="e">
        <f>AND(#REF!,"AAAAABc8b20=")</f>
        <v>#REF!</v>
      </c>
      <c r="DG61" t="e">
        <f>AND(#REF!,"AAAAABc8b24=")</f>
        <v>#REF!</v>
      </c>
      <c r="DH61" t="e">
        <f>AND(#REF!,"AAAAABc8b28=")</f>
        <v>#REF!</v>
      </c>
      <c r="DI61" t="e">
        <f>AND(#REF!,"AAAAABc8b3A=")</f>
        <v>#REF!</v>
      </c>
      <c r="DJ61" t="e">
        <f>AND(#REF!,"AAAAABc8b3E=")</f>
        <v>#REF!</v>
      </c>
      <c r="DK61" t="e">
        <f>AND(#REF!,"AAAAABc8b3I=")</f>
        <v>#REF!</v>
      </c>
      <c r="DL61" t="e">
        <f>AND(#REF!,"AAAAABc8b3M=")</f>
        <v>#REF!</v>
      </c>
      <c r="DM61" t="e">
        <f>AND(#REF!,"AAAAABc8b3Q=")</f>
        <v>#REF!</v>
      </c>
      <c r="DN61" t="e">
        <f>AND(#REF!,"AAAAABc8b3U=")</f>
        <v>#REF!</v>
      </c>
      <c r="DO61" t="e">
        <f>AND(#REF!,"AAAAABc8b3Y=")</f>
        <v>#REF!</v>
      </c>
      <c r="DP61" t="e">
        <f>AND(#REF!,"AAAAABc8b3c=")</f>
        <v>#REF!</v>
      </c>
      <c r="DQ61" t="e">
        <f>AND(#REF!,"AAAAABc8b3g=")</f>
        <v>#REF!</v>
      </c>
      <c r="DR61" t="e">
        <f>AND(#REF!,"AAAAABc8b3k=")</f>
        <v>#REF!</v>
      </c>
      <c r="DS61" t="e">
        <f>AND(#REF!,"AAAAABc8b3o=")</f>
        <v>#REF!</v>
      </c>
      <c r="DT61" t="e">
        <f>AND(#REF!,"AAAAABc8b3s=")</f>
        <v>#REF!</v>
      </c>
      <c r="DU61" t="e">
        <f>AND(#REF!,"AAAAABc8b3w=")</f>
        <v>#REF!</v>
      </c>
      <c r="DV61" t="e">
        <f>AND(#REF!,"AAAAABc8b30=")</f>
        <v>#REF!</v>
      </c>
      <c r="DW61" t="e">
        <f>AND(#REF!,"AAAAABc8b34=")</f>
        <v>#REF!</v>
      </c>
      <c r="DX61" t="e">
        <f>AND(#REF!,"AAAAABc8b38=")</f>
        <v>#REF!</v>
      </c>
      <c r="DY61" t="e">
        <f>IF(#REF!,"AAAAABc8b4A=",0)</f>
        <v>#REF!</v>
      </c>
      <c r="DZ61" t="e">
        <f>AND(#REF!,"AAAAABc8b4E=")</f>
        <v>#REF!</v>
      </c>
      <c r="EA61" t="e">
        <f>AND(#REF!,"AAAAABc8b4I=")</f>
        <v>#REF!</v>
      </c>
      <c r="EB61" t="e">
        <f>AND(#REF!,"AAAAABc8b4M=")</f>
        <v>#REF!</v>
      </c>
      <c r="EC61" t="e">
        <f>AND(#REF!,"AAAAABc8b4Q=")</f>
        <v>#REF!</v>
      </c>
      <c r="ED61" t="e">
        <f>AND(#REF!,"AAAAABc8b4U=")</f>
        <v>#REF!</v>
      </c>
      <c r="EE61" t="e">
        <f>AND(#REF!,"AAAAABc8b4Y=")</f>
        <v>#REF!</v>
      </c>
      <c r="EF61" t="e">
        <f>AND(#REF!,"AAAAABc8b4c=")</f>
        <v>#REF!</v>
      </c>
      <c r="EG61" t="e">
        <f>AND(#REF!,"AAAAABc8b4g=")</f>
        <v>#REF!</v>
      </c>
      <c r="EH61" t="e">
        <f>AND(#REF!,"AAAAABc8b4k=")</f>
        <v>#REF!</v>
      </c>
      <c r="EI61" t="e">
        <f>AND(#REF!,"AAAAABc8b4o=")</f>
        <v>#REF!</v>
      </c>
      <c r="EJ61" t="e">
        <f>AND(#REF!,"AAAAABc8b4s=")</f>
        <v>#REF!</v>
      </c>
      <c r="EK61" t="e">
        <f>AND(#REF!,"AAAAABc8b4w=")</f>
        <v>#REF!</v>
      </c>
      <c r="EL61" t="e">
        <f>AND(#REF!,"AAAAABc8b40=")</f>
        <v>#REF!</v>
      </c>
      <c r="EM61" t="e">
        <f>AND(#REF!,"AAAAABc8b44=")</f>
        <v>#REF!</v>
      </c>
      <c r="EN61" t="e">
        <f>AND(#REF!,"AAAAABc8b48=")</f>
        <v>#REF!</v>
      </c>
      <c r="EO61" t="e">
        <f>AND(#REF!,"AAAAABc8b5A=")</f>
        <v>#REF!</v>
      </c>
      <c r="EP61" t="e">
        <f>AND(#REF!,"AAAAABc8b5E=")</f>
        <v>#REF!</v>
      </c>
      <c r="EQ61" t="e">
        <f>AND(#REF!,"AAAAABc8b5I=")</f>
        <v>#REF!</v>
      </c>
      <c r="ER61" t="e">
        <f>AND(#REF!,"AAAAABc8b5M=")</f>
        <v>#REF!</v>
      </c>
      <c r="ES61" t="e">
        <f>AND(#REF!,"AAAAABc8b5Q=")</f>
        <v>#REF!</v>
      </c>
      <c r="ET61" t="e">
        <f>AND(#REF!,"AAAAABc8b5U=")</f>
        <v>#REF!</v>
      </c>
      <c r="EU61" t="e">
        <f>AND(#REF!,"AAAAABc8b5Y=")</f>
        <v>#REF!</v>
      </c>
      <c r="EV61" t="e">
        <f>AND(#REF!,"AAAAABc8b5c=")</f>
        <v>#REF!</v>
      </c>
      <c r="EW61" t="e">
        <f>AND(#REF!,"AAAAABc8b5g=")</f>
        <v>#REF!</v>
      </c>
      <c r="EX61" t="e">
        <f>AND(#REF!,"AAAAABc8b5k=")</f>
        <v>#REF!</v>
      </c>
      <c r="EY61" t="e">
        <f>AND(#REF!,"AAAAABc8b5o=")</f>
        <v>#REF!</v>
      </c>
      <c r="EZ61" t="e">
        <f>AND(#REF!,"AAAAABc8b5s=")</f>
        <v>#REF!</v>
      </c>
      <c r="FA61" t="e">
        <f>AND(#REF!,"AAAAABc8b5w=")</f>
        <v>#REF!</v>
      </c>
      <c r="FB61" t="e">
        <f>AND(#REF!,"AAAAABc8b50=")</f>
        <v>#REF!</v>
      </c>
      <c r="FC61" t="e">
        <f>AND(#REF!,"AAAAABc8b54=")</f>
        <v>#REF!</v>
      </c>
      <c r="FD61" t="e">
        <f>AND(#REF!,"AAAAABc8b58=")</f>
        <v>#REF!</v>
      </c>
      <c r="FE61" t="e">
        <f>AND(#REF!,"AAAAABc8b6A=")</f>
        <v>#REF!</v>
      </c>
      <c r="FF61" t="e">
        <f>AND(#REF!,"AAAAABc8b6E=")</f>
        <v>#REF!</v>
      </c>
      <c r="FG61" t="e">
        <f>AND(#REF!,"AAAAABc8b6I=")</f>
        <v>#REF!</v>
      </c>
      <c r="FH61" t="e">
        <f>AND(#REF!,"AAAAABc8b6M=")</f>
        <v>#REF!</v>
      </c>
      <c r="FI61" t="e">
        <f>AND(#REF!,"AAAAABc8b6Q=")</f>
        <v>#REF!</v>
      </c>
      <c r="FJ61" t="e">
        <f>AND(#REF!,"AAAAABc8b6U=")</f>
        <v>#REF!</v>
      </c>
      <c r="FK61" t="e">
        <f>AND(#REF!,"AAAAABc8b6Y=")</f>
        <v>#REF!</v>
      </c>
      <c r="FL61" t="e">
        <f>AND(#REF!,"AAAAABc8b6c=")</f>
        <v>#REF!</v>
      </c>
      <c r="FM61" t="e">
        <f>AND(#REF!,"AAAAABc8b6g=")</f>
        <v>#REF!</v>
      </c>
      <c r="FN61" t="e">
        <f>AND(#REF!,"AAAAABc8b6k=")</f>
        <v>#REF!</v>
      </c>
      <c r="FO61" t="e">
        <f>AND(#REF!,"AAAAABc8b6o=")</f>
        <v>#REF!</v>
      </c>
      <c r="FP61" t="e">
        <f>AND(#REF!,"AAAAABc8b6s=")</f>
        <v>#REF!</v>
      </c>
      <c r="FQ61" t="e">
        <f>IF(#REF!,"AAAAABc8b6w=",0)</f>
        <v>#REF!</v>
      </c>
      <c r="FR61" t="e">
        <f>AND(#REF!,"AAAAABc8b60=")</f>
        <v>#REF!</v>
      </c>
      <c r="FS61" t="e">
        <f>AND(#REF!,"AAAAABc8b64=")</f>
        <v>#REF!</v>
      </c>
      <c r="FT61" t="e">
        <f>AND(#REF!,"AAAAABc8b68=")</f>
        <v>#REF!</v>
      </c>
      <c r="FU61" t="e">
        <f>AND(#REF!,"AAAAABc8b7A=")</f>
        <v>#REF!</v>
      </c>
      <c r="FV61" t="e">
        <f>AND(#REF!,"AAAAABc8b7E=")</f>
        <v>#REF!</v>
      </c>
      <c r="FW61" t="e">
        <f>AND(#REF!,"AAAAABc8b7I=")</f>
        <v>#REF!</v>
      </c>
      <c r="FX61" t="e">
        <f>AND(#REF!,"AAAAABc8b7M=")</f>
        <v>#REF!</v>
      </c>
      <c r="FY61" t="e">
        <f>AND(#REF!,"AAAAABc8b7Q=")</f>
        <v>#REF!</v>
      </c>
      <c r="FZ61" t="e">
        <f>AND(#REF!,"AAAAABc8b7U=")</f>
        <v>#REF!</v>
      </c>
      <c r="GA61" t="e">
        <f>AND(#REF!,"AAAAABc8b7Y=")</f>
        <v>#REF!</v>
      </c>
      <c r="GB61" t="e">
        <f>AND(#REF!,"AAAAABc8b7c=")</f>
        <v>#REF!</v>
      </c>
      <c r="GC61" t="e">
        <f>AND(#REF!,"AAAAABc8b7g=")</f>
        <v>#REF!</v>
      </c>
      <c r="GD61" t="e">
        <f>AND(#REF!,"AAAAABc8b7k=")</f>
        <v>#REF!</v>
      </c>
      <c r="GE61" t="e">
        <f>AND(#REF!,"AAAAABc8b7o=")</f>
        <v>#REF!</v>
      </c>
      <c r="GF61" t="e">
        <f>AND(#REF!,"AAAAABc8b7s=")</f>
        <v>#REF!</v>
      </c>
      <c r="GG61" t="e">
        <f>AND(#REF!,"AAAAABc8b7w=")</f>
        <v>#REF!</v>
      </c>
      <c r="GH61" t="e">
        <f>AND(#REF!,"AAAAABc8b70=")</f>
        <v>#REF!</v>
      </c>
      <c r="GI61" t="e">
        <f>AND(#REF!,"AAAAABc8b74=")</f>
        <v>#REF!</v>
      </c>
      <c r="GJ61" t="e">
        <f>AND(#REF!,"AAAAABc8b78=")</f>
        <v>#REF!</v>
      </c>
      <c r="GK61" t="e">
        <f>AND(#REF!,"AAAAABc8b8A=")</f>
        <v>#REF!</v>
      </c>
      <c r="GL61" t="e">
        <f>AND(#REF!,"AAAAABc8b8E=")</f>
        <v>#REF!</v>
      </c>
      <c r="GM61" t="e">
        <f>AND(#REF!,"AAAAABc8b8I=")</f>
        <v>#REF!</v>
      </c>
      <c r="GN61" t="e">
        <f>AND(#REF!,"AAAAABc8b8M=")</f>
        <v>#REF!</v>
      </c>
      <c r="GO61" t="e">
        <f>AND(#REF!,"AAAAABc8b8Q=")</f>
        <v>#REF!</v>
      </c>
      <c r="GP61" t="e">
        <f>AND(#REF!,"AAAAABc8b8U=")</f>
        <v>#REF!</v>
      </c>
      <c r="GQ61" t="e">
        <f>AND(#REF!,"AAAAABc8b8Y=")</f>
        <v>#REF!</v>
      </c>
      <c r="GR61" t="e">
        <f>AND(#REF!,"AAAAABc8b8c=")</f>
        <v>#REF!</v>
      </c>
      <c r="GS61" t="e">
        <f>AND(#REF!,"AAAAABc8b8g=")</f>
        <v>#REF!</v>
      </c>
      <c r="GT61" t="e">
        <f>AND(#REF!,"AAAAABc8b8k=")</f>
        <v>#REF!</v>
      </c>
      <c r="GU61" t="e">
        <f>AND(#REF!,"AAAAABc8b8o=")</f>
        <v>#REF!</v>
      </c>
      <c r="GV61" t="e">
        <f>AND(#REF!,"AAAAABc8b8s=")</f>
        <v>#REF!</v>
      </c>
      <c r="GW61" t="e">
        <f>AND(#REF!,"AAAAABc8b8w=")</f>
        <v>#REF!</v>
      </c>
      <c r="GX61" t="e">
        <f>AND(#REF!,"AAAAABc8b80=")</f>
        <v>#REF!</v>
      </c>
      <c r="GY61" t="e">
        <f>AND(#REF!,"AAAAABc8b84=")</f>
        <v>#REF!</v>
      </c>
      <c r="GZ61" t="e">
        <f>AND(#REF!,"AAAAABc8b88=")</f>
        <v>#REF!</v>
      </c>
      <c r="HA61" t="e">
        <f>AND(#REF!,"AAAAABc8b9A=")</f>
        <v>#REF!</v>
      </c>
      <c r="HB61" t="e">
        <f>AND(#REF!,"AAAAABc8b9E=")</f>
        <v>#REF!</v>
      </c>
      <c r="HC61" t="e">
        <f>AND(#REF!,"AAAAABc8b9I=")</f>
        <v>#REF!</v>
      </c>
      <c r="HD61" t="e">
        <f>AND(#REF!,"AAAAABc8b9M=")</f>
        <v>#REF!</v>
      </c>
      <c r="HE61" t="e">
        <f>AND(#REF!,"AAAAABc8b9Q=")</f>
        <v>#REF!</v>
      </c>
      <c r="HF61" t="e">
        <f>AND(#REF!,"AAAAABc8b9U=")</f>
        <v>#REF!</v>
      </c>
      <c r="HG61" t="e">
        <f>AND(#REF!,"AAAAABc8b9Y=")</f>
        <v>#REF!</v>
      </c>
      <c r="HH61" t="e">
        <f>AND(#REF!,"AAAAABc8b9c=")</f>
        <v>#REF!</v>
      </c>
      <c r="HI61" t="e">
        <f>IF(#REF!,"AAAAABc8b9g=",0)</f>
        <v>#REF!</v>
      </c>
      <c r="HJ61" t="e">
        <f>AND(#REF!,"AAAAABc8b9k=")</f>
        <v>#REF!</v>
      </c>
      <c r="HK61" t="e">
        <f>AND(#REF!,"AAAAABc8b9o=")</f>
        <v>#REF!</v>
      </c>
      <c r="HL61" t="e">
        <f>AND(#REF!,"AAAAABc8b9s=")</f>
        <v>#REF!</v>
      </c>
      <c r="HM61" t="e">
        <f>AND(#REF!,"AAAAABc8b9w=")</f>
        <v>#REF!</v>
      </c>
      <c r="HN61" t="e">
        <f>AND(#REF!,"AAAAABc8b90=")</f>
        <v>#REF!</v>
      </c>
      <c r="HO61" t="e">
        <f>AND(#REF!,"AAAAABc8b94=")</f>
        <v>#REF!</v>
      </c>
      <c r="HP61" t="e">
        <f>AND(#REF!,"AAAAABc8b98=")</f>
        <v>#REF!</v>
      </c>
      <c r="HQ61" t="e">
        <f>AND(#REF!,"AAAAABc8b+A=")</f>
        <v>#REF!</v>
      </c>
      <c r="HR61" t="e">
        <f>AND(#REF!,"AAAAABc8b+E=")</f>
        <v>#REF!</v>
      </c>
      <c r="HS61" t="e">
        <f>AND(#REF!,"AAAAABc8b+I=")</f>
        <v>#REF!</v>
      </c>
      <c r="HT61" t="e">
        <f>AND(#REF!,"AAAAABc8b+M=")</f>
        <v>#REF!</v>
      </c>
      <c r="HU61" t="e">
        <f>AND(#REF!,"AAAAABc8b+Q=")</f>
        <v>#REF!</v>
      </c>
      <c r="HV61" t="e">
        <f>AND(#REF!,"AAAAABc8b+U=")</f>
        <v>#REF!</v>
      </c>
      <c r="HW61" t="e">
        <f>AND(#REF!,"AAAAABc8b+Y=")</f>
        <v>#REF!</v>
      </c>
      <c r="HX61" t="e">
        <f>AND(#REF!,"AAAAABc8b+c=")</f>
        <v>#REF!</v>
      </c>
      <c r="HY61" t="e">
        <f>AND(#REF!,"AAAAABc8b+g=")</f>
        <v>#REF!</v>
      </c>
      <c r="HZ61" t="e">
        <f>AND(#REF!,"AAAAABc8b+k=")</f>
        <v>#REF!</v>
      </c>
      <c r="IA61" t="e">
        <f>AND(#REF!,"AAAAABc8b+o=")</f>
        <v>#REF!</v>
      </c>
      <c r="IB61" t="e">
        <f>AND(#REF!,"AAAAABc8b+s=")</f>
        <v>#REF!</v>
      </c>
      <c r="IC61" t="e">
        <f>AND(#REF!,"AAAAABc8b+w=")</f>
        <v>#REF!</v>
      </c>
      <c r="ID61" t="e">
        <f>AND(#REF!,"AAAAABc8b+0=")</f>
        <v>#REF!</v>
      </c>
      <c r="IE61" t="e">
        <f>AND(#REF!,"AAAAABc8b+4=")</f>
        <v>#REF!</v>
      </c>
      <c r="IF61" t="e">
        <f>AND(#REF!,"AAAAABc8b+8=")</f>
        <v>#REF!</v>
      </c>
      <c r="IG61" t="e">
        <f>AND(#REF!,"AAAAABc8b/A=")</f>
        <v>#REF!</v>
      </c>
      <c r="IH61" t="e">
        <f>AND(#REF!,"AAAAABc8b/E=")</f>
        <v>#REF!</v>
      </c>
      <c r="II61" t="e">
        <f>AND(#REF!,"AAAAABc8b/I=")</f>
        <v>#REF!</v>
      </c>
      <c r="IJ61" t="e">
        <f>AND(#REF!,"AAAAABc8b/M=")</f>
        <v>#REF!</v>
      </c>
      <c r="IK61" t="e">
        <f>AND(#REF!,"AAAAABc8b/Q=")</f>
        <v>#REF!</v>
      </c>
      <c r="IL61" t="e">
        <f>AND(#REF!,"AAAAABc8b/U=")</f>
        <v>#REF!</v>
      </c>
      <c r="IM61" t="e">
        <f>AND(#REF!,"AAAAABc8b/Y=")</f>
        <v>#REF!</v>
      </c>
      <c r="IN61" t="e">
        <f>AND(#REF!,"AAAAABc8b/c=")</f>
        <v>#REF!</v>
      </c>
      <c r="IO61" t="e">
        <f>AND(#REF!,"AAAAABc8b/g=")</f>
        <v>#REF!</v>
      </c>
      <c r="IP61" t="e">
        <f>AND(#REF!,"AAAAABc8b/k=")</f>
        <v>#REF!</v>
      </c>
      <c r="IQ61" t="e">
        <f>AND(#REF!,"AAAAABc8b/o=")</f>
        <v>#REF!</v>
      </c>
      <c r="IR61" t="e">
        <f>AND(#REF!,"AAAAABc8b/s=")</f>
        <v>#REF!</v>
      </c>
      <c r="IS61" t="e">
        <f>AND(#REF!,"AAAAABc8b/w=")</f>
        <v>#REF!</v>
      </c>
      <c r="IT61" t="e">
        <f>AND(#REF!,"AAAAABc8b/0=")</f>
        <v>#REF!</v>
      </c>
      <c r="IU61" t="e">
        <f>AND(#REF!,"AAAAABc8b/4=")</f>
        <v>#REF!</v>
      </c>
      <c r="IV61" t="e">
        <f>AND(#REF!,"AAAAABc8b/8=")</f>
        <v>#REF!</v>
      </c>
    </row>
    <row r="62" spans="1:256" x14ac:dyDescent="0.25">
      <c r="A62" t="e">
        <f>AND(#REF!,"AAAAAF8/9wA=")</f>
        <v>#REF!</v>
      </c>
      <c r="B62" t="e">
        <f>AND(#REF!,"AAAAAF8/9wE=")</f>
        <v>#REF!</v>
      </c>
      <c r="C62" t="e">
        <f>AND(#REF!,"AAAAAF8/9wI=")</f>
        <v>#REF!</v>
      </c>
      <c r="D62" t="e">
        <f>AND(#REF!,"AAAAAF8/9wM=")</f>
        <v>#REF!</v>
      </c>
      <c r="E62" t="e">
        <f>IF(#REF!,"AAAAAF8/9wQ=",0)</f>
        <v>#REF!</v>
      </c>
      <c r="F62" t="e">
        <f>AND(#REF!,"AAAAAF8/9wU=")</f>
        <v>#REF!</v>
      </c>
      <c r="G62" t="e">
        <f>AND(#REF!,"AAAAAF8/9wY=")</f>
        <v>#REF!</v>
      </c>
      <c r="H62" t="e">
        <f>AND(#REF!,"AAAAAF8/9wc=")</f>
        <v>#REF!</v>
      </c>
      <c r="I62" t="e">
        <f>AND(#REF!,"AAAAAF8/9wg=")</f>
        <v>#REF!</v>
      </c>
      <c r="J62" t="e">
        <f>AND(#REF!,"AAAAAF8/9wk=")</f>
        <v>#REF!</v>
      </c>
      <c r="K62" t="e">
        <f>AND(#REF!,"AAAAAF8/9wo=")</f>
        <v>#REF!</v>
      </c>
      <c r="L62" t="e">
        <f>AND(#REF!,"AAAAAF8/9ws=")</f>
        <v>#REF!</v>
      </c>
      <c r="M62" t="e">
        <f>AND(#REF!,"AAAAAF8/9ww=")</f>
        <v>#REF!</v>
      </c>
      <c r="N62" t="e">
        <f>AND(#REF!,"AAAAAF8/9w0=")</f>
        <v>#REF!</v>
      </c>
      <c r="O62" t="e">
        <f>AND(#REF!,"AAAAAF8/9w4=")</f>
        <v>#REF!</v>
      </c>
      <c r="P62" t="e">
        <f>AND(#REF!,"AAAAAF8/9w8=")</f>
        <v>#REF!</v>
      </c>
      <c r="Q62" t="e">
        <f>AND(#REF!,"AAAAAF8/9xA=")</f>
        <v>#REF!</v>
      </c>
      <c r="R62" t="e">
        <f>AND(#REF!,"AAAAAF8/9xE=")</f>
        <v>#REF!</v>
      </c>
      <c r="S62" t="e">
        <f>AND(#REF!,"AAAAAF8/9xI=")</f>
        <v>#REF!</v>
      </c>
      <c r="T62" t="e">
        <f>AND(#REF!,"AAAAAF8/9xM=")</f>
        <v>#REF!</v>
      </c>
      <c r="U62" t="e">
        <f>AND(#REF!,"AAAAAF8/9xQ=")</f>
        <v>#REF!</v>
      </c>
      <c r="V62" t="e">
        <f>AND(#REF!,"AAAAAF8/9xU=")</f>
        <v>#REF!</v>
      </c>
      <c r="W62" t="e">
        <f>AND(#REF!,"AAAAAF8/9xY=")</f>
        <v>#REF!</v>
      </c>
      <c r="X62" t="e">
        <f>AND(#REF!,"AAAAAF8/9xc=")</f>
        <v>#REF!</v>
      </c>
      <c r="Y62" t="e">
        <f>AND(#REF!,"AAAAAF8/9xg=")</f>
        <v>#REF!</v>
      </c>
      <c r="Z62" t="e">
        <f>AND(#REF!,"AAAAAF8/9xk=")</f>
        <v>#REF!</v>
      </c>
      <c r="AA62" t="e">
        <f>AND(#REF!,"AAAAAF8/9xo=")</f>
        <v>#REF!</v>
      </c>
      <c r="AB62" t="e">
        <f>AND(#REF!,"AAAAAF8/9xs=")</f>
        <v>#REF!</v>
      </c>
      <c r="AC62" t="e">
        <f>AND(#REF!,"AAAAAF8/9xw=")</f>
        <v>#REF!</v>
      </c>
      <c r="AD62" t="e">
        <f>AND(#REF!,"AAAAAF8/9x0=")</f>
        <v>#REF!</v>
      </c>
      <c r="AE62" t="e">
        <f>AND(#REF!,"AAAAAF8/9x4=")</f>
        <v>#REF!</v>
      </c>
      <c r="AF62" t="e">
        <f>AND(#REF!,"AAAAAF8/9x8=")</f>
        <v>#REF!</v>
      </c>
      <c r="AG62" t="e">
        <f>AND(#REF!,"AAAAAF8/9yA=")</f>
        <v>#REF!</v>
      </c>
      <c r="AH62" t="e">
        <f>AND(#REF!,"AAAAAF8/9yE=")</f>
        <v>#REF!</v>
      </c>
      <c r="AI62" t="e">
        <f>AND(#REF!,"AAAAAF8/9yI=")</f>
        <v>#REF!</v>
      </c>
      <c r="AJ62" t="e">
        <f>AND(#REF!,"AAAAAF8/9yM=")</f>
        <v>#REF!</v>
      </c>
      <c r="AK62" t="e">
        <f>AND(#REF!,"AAAAAF8/9yQ=")</f>
        <v>#REF!</v>
      </c>
      <c r="AL62" t="e">
        <f>AND(#REF!,"AAAAAF8/9yU=")</f>
        <v>#REF!</v>
      </c>
      <c r="AM62" t="e">
        <f>AND(#REF!,"AAAAAF8/9yY=")</f>
        <v>#REF!</v>
      </c>
      <c r="AN62" t="e">
        <f>AND(#REF!,"AAAAAF8/9yc=")</f>
        <v>#REF!</v>
      </c>
      <c r="AO62" t="e">
        <f>AND(#REF!,"AAAAAF8/9yg=")</f>
        <v>#REF!</v>
      </c>
      <c r="AP62" t="e">
        <f>AND(#REF!,"AAAAAF8/9yk=")</f>
        <v>#REF!</v>
      </c>
      <c r="AQ62" t="e">
        <f>AND(#REF!,"AAAAAF8/9yo=")</f>
        <v>#REF!</v>
      </c>
      <c r="AR62" t="e">
        <f>AND(#REF!,"AAAAAF8/9ys=")</f>
        <v>#REF!</v>
      </c>
      <c r="AS62" t="e">
        <f>AND(#REF!,"AAAAAF8/9yw=")</f>
        <v>#REF!</v>
      </c>
      <c r="AT62" t="e">
        <f>AND(#REF!,"AAAAAF8/9y0=")</f>
        <v>#REF!</v>
      </c>
      <c r="AU62" t="e">
        <f>AND(#REF!,"AAAAAF8/9y4=")</f>
        <v>#REF!</v>
      </c>
      <c r="AV62" t="e">
        <f>AND(#REF!,"AAAAAF8/9y8=")</f>
        <v>#REF!</v>
      </c>
      <c r="AW62" t="e">
        <f>IF(#REF!,"AAAAAF8/9zA=",0)</f>
        <v>#REF!</v>
      </c>
      <c r="AX62" t="e">
        <f>AND(#REF!,"AAAAAF8/9zE=")</f>
        <v>#REF!</v>
      </c>
      <c r="AY62" t="e">
        <f>AND(#REF!,"AAAAAF8/9zI=")</f>
        <v>#REF!</v>
      </c>
      <c r="AZ62" t="e">
        <f>AND(#REF!,"AAAAAF8/9zM=")</f>
        <v>#REF!</v>
      </c>
      <c r="BA62" t="e">
        <f>AND(#REF!,"AAAAAF8/9zQ=")</f>
        <v>#REF!</v>
      </c>
      <c r="BB62" t="e">
        <f>AND(#REF!,"AAAAAF8/9zU=")</f>
        <v>#REF!</v>
      </c>
      <c r="BC62" t="e">
        <f>AND(#REF!,"AAAAAF8/9zY=")</f>
        <v>#REF!</v>
      </c>
      <c r="BD62" t="e">
        <f>AND(#REF!,"AAAAAF8/9zc=")</f>
        <v>#REF!</v>
      </c>
      <c r="BE62" t="e">
        <f>AND(#REF!,"AAAAAF8/9zg=")</f>
        <v>#REF!</v>
      </c>
      <c r="BF62" t="e">
        <f>AND(#REF!,"AAAAAF8/9zk=")</f>
        <v>#REF!</v>
      </c>
      <c r="BG62" t="e">
        <f>AND(#REF!,"AAAAAF8/9zo=")</f>
        <v>#REF!</v>
      </c>
      <c r="BH62" t="e">
        <f>AND(#REF!,"AAAAAF8/9zs=")</f>
        <v>#REF!</v>
      </c>
      <c r="BI62" t="e">
        <f>AND(#REF!,"AAAAAF8/9zw=")</f>
        <v>#REF!</v>
      </c>
      <c r="BJ62" t="e">
        <f>AND(#REF!,"AAAAAF8/9z0=")</f>
        <v>#REF!</v>
      </c>
      <c r="BK62" t="e">
        <f>AND(#REF!,"AAAAAF8/9z4=")</f>
        <v>#REF!</v>
      </c>
      <c r="BL62" t="e">
        <f>AND(#REF!,"AAAAAF8/9z8=")</f>
        <v>#REF!</v>
      </c>
      <c r="BM62" t="e">
        <f>AND(#REF!,"AAAAAF8/90A=")</f>
        <v>#REF!</v>
      </c>
      <c r="BN62" t="e">
        <f>AND(#REF!,"AAAAAF8/90E=")</f>
        <v>#REF!</v>
      </c>
      <c r="BO62" t="e">
        <f>AND(#REF!,"AAAAAF8/90I=")</f>
        <v>#REF!</v>
      </c>
      <c r="BP62" t="e">
        <f>AND(#REF!,"AAAAAF8/90M=")</f>
        <v>#REF!</v>
      </c>
      <c r="BQ62" t="e">
        <f>AND(#REF!,"AAAAAF8/90Q=")</f>
        <v>#REF!</v>
      </c>
      <c r="BR62" t="e">
        <f>AND(#REF!,"AAAAAF8/90U=")</f>
        <v>#REF!</v>
      </c>
      <c r="BS62" t="e">
        <f>AND(#REF!,"AAAAAF8/90Y=")</f>
        <v>#REF!</v>
      </c>
      <c r="BT62" t="e">
        <f>AND(#REF!,"AAAAAF8/90c=")</f>
        <v>#REF!</v>
      </c>
      <c r="BU62" t="e">
        <f>AND(#REF!,"AAAAAF8/90g=")</f>
        <v>#REF!</v>
      </c>
      <c r="BV62" t="e">
        <f>AND(#REF!,"AAAAAF8/90k=")</f>
        <v>#REF!</v>
      </c>
      <c r="BW62" t="e">
        <f>AND(#REF!,"AAAAAF8/90o=")</f>
        <v>#REF!</v>
      </c>
      <c r="BX62" t="e">
        <f>AND(#REF!,"AAAAAF8/90s=")</f>
        <v>#REF!</v>
      </c>
      <c r="BY62" t="e">
        <f>AND(#REF!,"AAAAAF8/90w=")</f>
        <v>#REF!</v>
      </c>
      <c r="BZ62" t="e">
        <f>AND(#REF!,"AAAAAF8/900=")</f>
        <v>#REF!</v>
      </c>
      <c r="CA62" t="e">
        <f>AND(#REF!,"AAAAAF8/904=")</f>
        <v>#REF!</v>
      </c>
      <c r="CB62" t="e">
        <f>AND(#REF!,"AAAAAF8/908=")</f>
        <v>#REF!</v>
      </c>
      <c r="CC62" t="e">
        <f>AND(#REF!,"AAAAAF8/91A=")</f>
        <v>#REF!</v>
      </c>
      <c r="CD62" t="e">
        <f>AND(#REF!,"AAAAAF8/91E=")</f>
        <v>#REF!</v>
      </c>
      <c r="CE62" t="e">
        <f>AND(#REF!,"AAAAAF8/91I=")</f>
        <v>#REF!</v>
      </c>
      <c r="CF62" t="e">
        <f>AND(#REF!,"AAAAAF8/91M=")</f>
        <v>#REF!</v>
      </c>
      <c r="CG62" t="e">
        <f>AND(#REF!,"AAAAAF8/91Q=")</f>
        <v>#REF!</v>
      </c>
      <c r="CH62" t="e">
        <f>AND(#REF!,"AAAAAF8/91U=")</f>
        <v>#REF!</v>
      </c>
      <c r="CI62" t="e">
        <f>AND(#REF!,"AAAAAF8/91Y=")</f>
        <v>#REF!</v>
      </c>
      <c r="CJ62" t="e">
        <f>AND(#REF!,"AAAAAF8/91c=")</f>
        <v>#REF!</v>
      </c>
      <c r="CK62" t="e">
        <f>AND(#REF!,"AAAAAF8/91g=")</f>
        <v>#REF!</v>
      </c>
      <c r="CL62" t="e">
        <f>AND(#REF!,"AAAAAF8/91k=")</f>
        <v>#REF!</v>
      </c>
      <c r="CM62" t="e">
        <f>AND(#REF!,"AAAAAF8/91o=")</f>
        <v>#REF!</v>
      </c>
      <c r="CN62" t="e">
        <f>AND(#REF!,"AAAAAF8/91s=")</f>
        <v>#REF!</v>
      </c>
      <c r="CO62" t="e">
        <f>IF(#REF!,"AAAAAF8/91w=",0)</f>
        <v>#REF!</v>
      </c>
      <c r="CP62" t="e">
        <f>AND(#REF!,"AAAAAF8/910=")</f>
        <v>#REF!</v>
      </c>
      <c r="CQ62" t="e">
        <f>AND(#REF!,"AAAAAF8/914=")</f>
        <v>#REF!</v>
      </c>
      <c r="CR62" t="e">
        <f>AND(#REF!,"AAAAAF8/918=")</f>
        <v>#REF!</v>
      </c>
      <c r="CS62" t="e">
        <f>AND(#REF!,"AAAAAF8/92A=")</f>
        <v>#REF!</v>
      </c>
      <c r="CT62" t="e">
        <f>AND(#REF!,"AAAAAF8/92E=")</f>
        <v>#REF!</v>
      </c>
      <c r="CU62" t="e">
        <f>AND(#REF!,"AAAAAF8/92I=")</f>
        <v>#REF!</v>
      </c>
      <c r="CV62" t="e">
        <f>AND(#REF!,"AAAAAF8/92M=")</f>
        <v>#REF!</v>
      </c>
      <c r="CW62" t="e">
        <f>AND(#REF!,"AAAAAF8/92Q=")</f>
        <v>#REF!</v>
      </c>
      <c r="CX62" t="e">
        <f>AND(#REF!,"AAAAAF8/92U=")</f>
        <v>#REF!</v>
      </c>
      <c r="CY62" t="e">
        <f>AND(#REF!,"AAAAAF8/92Y=")</f>
        <v>#REF!</v>
      </c>
      <c r="CZ62" t="e">
        <f>AND(#REF!,"AAAAAF8/92c=")</f>
        <v>#REF!</v>
      </c>
      <c r="DA62" t="e">
        <f>AND(#REF!,"AAAAAF8/92g=")</f>
        <v>#REF!</v>
      </c>
      <c r="DB62" t="e">
        <f>AND(#REF!,"AAAAAF8/92k=")</f>
        <v>#REF!</v>
      </c>
      <c r="DC62" t="e">
        <f>AND(#REF!,"AAAAAF8/92o=")</f>
        <v>#REF!</v>
      </c>
      <c r="DD62" t="e">
        <f>AND(#REF!,"AAAAAF8/92s=")</f>
        <v>#REF!</v>
      </c>
      <c r="DE62" t="e">
        <f>AND(#REF!,"AAAAAF8/92w=")</f>
        <v>#REF!</v>
      </c>
      <c r="DF62" t="e">
        <f>AND(#REF!,"AAAAAF8/920=")</f>
        <v>#REF!</v>
      </c>
      <c r="DG62" t="e">
        <f>AND(#REF!,"AAAAAF8/924=")</f>
        <v>#REF!</v>
      </c>
      <c r="DH62" t="e">
        <f>AND(#REF!,"AAAAAF8/928=")</f>
        <v>#REF!</v>
      </c>
      <c r="DI62" t="e">
        <f>AND(#REF!,"AAAAAF8/93A=")</f>
        <v>#REF!</v>
      </c>
      <c r="DJ62" t="e">
        <f>AND(#REF!,"AAAAAF8/93E=")</f>
        <v>#REF!</v>
      </c>
      <c r="DK62" t="e">
        <f>AND(#REF!,"AAAAAF8/93I=")</f>
        <v>#REF!</v>
      </c>
      <c r="DL62" t="e">
        <f>AND(#REF!,"AAAAAF8/93M=")</f>
        <v>#REF!</v>
      </c>
      <c r="DM62" t="e">
        <f>AND(#REF!,"AAAAAF8/93Q=")</f>
        <v>#REF!</v>
      </c>
      <c r="DN62" t="e">
        <f>AND(#REF!,"AAAAAF8/93U=")</f>
        <v>#REF!</v>
      </c>
      <c r="DO62" t="e">
        <f>AND(#REF!,"AAAAAF8/93Y=")</f>
        <v>#REF!</v>
      </c>
      <c r="DP62" t="e">
        <f>AND(#REF!,"AAAAAF8/93c=")</f>
        <v>#REF!</v>
      </c>
      <c r="DQ62" t="e">
        <f>AND(#REF!,"AAAAAF8/93g=")</f>
        <v>#REF!</v>
      </c>
      <c r="DR62" t="e">
        <f>AND(#REF!,"AAAAAF8/93k=")</f>
        <v>#REF!</v>
      </c>
      <c r="DS62" t="e">
        <f>AND(#REF!,"AAAAAF8/93o=")</f>
        <v>#REF!</v>
      </c>
      <c r="DT62" t="e">
        <f>AND(#REF!,"AAAAAF8/93s=")</f>
        <v>#REF!</v>
      </c>
      <c r="DU62" t="e">
        <f>AND(#REF!,"AAAAAF8/93w=")</f>
        <v>#REF!</v>
      </c>
      <c r="DV62" t="e">
        <f>AND(#REF!,"AAAAAF8/930=")</f>
        <v>#REF!</v>
      </c>
      <c r="DW62" t="e">
        <f>AND(#REF!,"AAAAAF8/934=")</f>
        <v>#REF!</v>
      </c>
      <c r="DX62" t="e">
        <f>AND(#REF!,"AAAAAF8/938=")</f>
        <v>#REF!</v>
      </c>
      <c r="DY62" t="e">
        <f>AND(#REF!,"AAAAAF8/94A=")</f>
        <v>#REF!</v>
      </c>
      <c r="DZ62" t="e">
        <f>AND(#REF!,"AAAAAF8/94E=")</f>
        <v>#REF!</v>
      </c>
      <c r="EA62" t="e">
        <f>AND(#REF!,"AAAAAF8/94I=")</f>
        <v>#REF!</v>
      </c>
      <c r="EB62" t="e">
        <f>AND(#REF!,"AAAAAF8/94M=")</f>
        <v>#REF!</v>
      </c>
      <c r="EC62" t="e">
        <f>AND(#REF!,"AAAAAF8/94Q=")</f>
        <v>#REF!</v>
      </c>
      <c r="ED62" t="e">
        <f>AND(#REF!,"AAAAAF8/94U=")</f>
        <v>#REF!</v>
      </c>
      <c r="EE62" t="e">
        <f>AND(#REF!,"AAAAAF8/94Y=")</f>
        <v>#REF!</v>
      </c>
      <c r="EF62" t="e">
        <f>AND(#REF!,"AAAAAF8/94c=")</f>
        <v>#REF!</v>
      </c>
      <c r="EG62" t="e">
        <f>IF(#REF!,"AAAAAF8/94g=",0)</f>
        <v>#REF!</v>
      </c>
      <c r="EH62" t="e">
        <f>AND(#REF!,"AAAAAF8/94k=")</f>
        <v>#REF!</v>
      </c>
      <c r="EI62" t="e">
        <f>AND(#REF!,"AAAAAF8/94o=")</f>
        <v>#REF!</v>
      </c>
      <c r="EJ62" t="e">
        <f>AND(#REF!,"AAAAAF8/94s=")</f>
        <v>#REF!</v>
      </c>
      <c r="EK62" t="e">
        <f>AND(#REF!,"AAAAAF8/94w=")</f>
        <v>#REF!</v>
      </c>
      <c r="EL62" t="e">
        <f>AND(#REF!,"AAAAAF8/940=")</f>
        <v>#REF!</v>
      </c>
      <c r="EM62" t="e">
        <f>AND(#REF!,"AAAAAF8/944=")</f>
        <v>#REF!</v>
      </c>
      <c r="EN62" t="e">
        <f>AND(#REF!,"AAAAAF8/948=")</f>
        <v>#REF!</v>
      </c>
      <c r="EO62" t="e">
        <f>AND(#REF!,"AAAAAF8/95A=")</f>
        <v>#REF!</v>
      </c>
      <c r="EP62" t="e">
        <f>AND(#REF!,"AAAAAF8/95E=")</f>
        <v>#REF!</v>
      </c>
      <c r="EQ62" t="e">
        <f>AND(#REF!,"AAAAAF8/95I=")</f>
        <v>#REF!</v>
      </c>
      <c r="ER62" t="e">
        <f>AND(#REF!,"AAAAAF8/95M=")</f>
        <v>#REF!</v>
      </c>
      <c r="ES62" t="e">
        <f>AND(#REF!,"AAAAAF8/95Q=")</f>
        <v>#REF!</v>
      </c>
      <c r="ET62" t="e">
        <f>AND(#REF!,"AAAAAF8/95U=")</f>
        <v>#REF!</v>
      </c>
      <c r="EU62" t="e">
        <f>AND(#REF!,"AAAAAF8/95Y=")</f>
        <v>#REF!</v>
      </c>
      <c r="EV62" t="e">
        <f>AND(#REF!,"AAAAAF8/95c=")</f>
        <v>#REF!</v>
      </c>
      <c r="EW62" t="e">
        <f>AND(#REF!,"AAAAAF8/95g=")</f>
        <v>#REF!</v>
      </c>
      <c r="EX62" t="e">
        <f>AND(#REF!,"AAAAAF8/95k=")</f>
        <v>#REF!</v>
      </c>
      <c r="EY62" t="e">
        <f>AND(#REF!,"AAAAAF8/95o=")</f>
        <v>#REF!</v>
      </c>
      <c r="EZ62" t="e">
        <f>AND(#REF!,"AAAAAF8/95s=")</f>
        <v>#REF!</v>
      </c>
      <c r="FA62" t="e">
        <f>AND(#REF!,"AAAAAF8/95w=")</f>
        <v>#REF!</v>
      </c>
      <c r="FB62" t="e">
        <f>AND(#REF!,"AAAAAF8/950=")</f>
        <v>#REF!</v>
      </c>
      <c r="FC62" t="e">
        <f>AND(#REF!,"AAAAAF8/954=")</f>
        <v>#REF!</v>
      </c>
      <c r="FD62" t="e">
        <f>AND(#REF!,"AAAAAF8/958=")</f>
        <v>#REF!</v>
      </c>
      <c r="FE62" t="e">
        <f>AND(#REF!,"AAAAAF8/96A=")</f>
        <v>#REF!</v>
      </c>
      <c r="FF62" t="e">
        <f>AND(#REF!,"AAAAAF8/96E=")</f>
        <v>#REF!</v>
      </c>
      <c r="FG62" t="e">
        <f>AND(#REF!,"AAAAAF8/96I=")</f>
        <v>#REF!</v>
      </c>
      <c r="FH62" t="e">
        <f>AND(#REF!,"AAAAAF8/96M=")</f>
        <v>#REF!</v>
      </c>
      <c r="FI62" t="e">
        <f>AND(#REF!,"AAAAAF8/96Q=")</f>
        <v>#REF!</v>
      </c>
      <c r="FJ62" t="e">
        <f>AND(#REF!,"AAAAAF8/96U=")</f>
        <v>#REF!</v>
      </c>
      <c r="FK62" t="e">
        <f>AND(#REF!,"AAAAAF8/96Y=")</f>
        <v>#REF!</v>
      </c>
      <c r="FL62" t="e">
        <f>AND(#REF!,"AAAAAF8/96c=")</f>
        <v>#REF!</v>
      </c>
      <c r="FM62" t="e">
        <f>AND(#REF!,"AAAAAF8/96g=")</f>
        <v>#REF!</v>
      </c>
      <c r="FN62" t="e">
        <f>AND(#REF!,"AAAAAF8/96k=")</f>
        <v>#REF!</v>
      </c>
      <c r="FO62" t="e">
        <f>AND(#REF!,"AAAAAF8/96o=")</f>
        <v>#REF!</v>
      </c>
      <c r="FP62" t="e">
        <f>AND(#REF!,"AAAAAF8/96s=")</f>
        <v>#REF!</v>
      </c>
      <c r="FQ62" t="e">
        <f>AND(#REF!,"AAAAAF8/96w=")</f>
        <v>#REF!</v>
      </c>
      <c r="FR62" t="e">
        <f>AND(#REF!,"AAAAAF8/960=")</f>
        <v>#REF!</v>
      </c>
      <c r="FS62" t="e">
        <f>AND(#REF!,"AAAAAF8/964=")</f>
        <v>#REF!</v>
      </c>
      <c r="FT62" t="e">
        <f>AND(#REF!,"AAAAAF8/968=")</f>
        <v>#REF!</v>
      </c>
      <c r="FU62" t="e">
        <f>AND(#REF!,"AAAAAF8/97A=")</f>
        <v>#REF!</v>
      </c>
      <c r="FV62" t="e">
        <f>AND(#REF!,"AAAAAF8/97E=")</f>
        <v>#REF!</v>
      </c>
      <c r="FW62" t="e">
        <f>AND(#REF!,"AAAAAF8/97I=")</f>
        <v>#REF!</v>
      </c>
      <c r="FX62" t="e">
        <f>AND(#REF!,"AAAAAF8/97M=")</f>
        <v>#REF!</v>
      </c>
      <c r="FY62" t="e">
        <f>IF(#REF!,"AAAAAF8/97Q=",0)</f>
        <v>#REF!</v>
      </c>
      <c r="FZ62" t="e">
        <f>AND(#REF!,"AAAAAF8/97U=")</f>
        <v>#REF!</v>
      </c>
      <c r="GA62" t="e">
        <f>AND(#REF!,"AAAAAF8/97Y=")</f>
        <v>#REF!</v>
      </c>
      <c r="GB62" t="e">
        <f>AND(#REF!,"AAAAAF8/97c=")</f>
        <v>#REF!</v>
      </c>
      <c r="GC62" t="e">
        <f>AND(#REF!,"AAAAAF8/97g=")</f>
        <v>#REF!</v>
      </c>
      <c r="GD62" t="e">
        <f>AND(#REF!,"AAAAAF8/97k=")</f>
        <v>#REF!</v>
      </c>
      <c r="GE62" t="e">
        <f>AND(#REF!,"AAAAAF8/97o=")</f>
        <v>#REF!</v>
      </c>
      <c r="GF62" t="e">
        <f>AND(#REF!,"AAAAAF8/97s=")</f>
        <v>#REF!</v>
      </c>
      <c r="GG62" t="e">
        <f>AND(#REF!,"AAAAAF8/97w=")</f>
        <v>#REF!</v>
      </c>
      <c r="GH62" t="e">
        <f>AND(#REF!,"AAAAAF8/970=")</f>
        <v>#REF!</v>
      </c>
      <c r="GI62" t="e">
        <f>AND(#REF!,"AAAAAF8/974=")</f>
        <v>#REF!</v>
      </c>
      <c r="GJ62" t="e">
        <f>AND(#REF!,"AAAAAF8/978=")</f>
        <v>#REF!</v>
      </c>
      <c r="GK62" t="e">
        <f>AND(#REF!,"AAAAAF8/98A=")</f>
        <v>#REF!</v>
      </c>
      <c r="GL62" t="e">
        <f>AND(#REF!,"AAAAAF8/98E=")</f>
        <v>#REF!</v>
      </c>
      <c r="GM62" t="e">
        <f>AND(#REF!,"AAAAAF8/98I=")</f>
        <v>#REF!</v>
      </c>
      <c r="GN62" t="e">
        <f>AND(#REF!,"AAAAAF8/98M=")</f>
        <v>#REF!</v>
      </c>
      <c r="GO62" t="e">
        <f>AND(#REF!,"AAAAAF8/98Q=")</f>
        <v>#REF!</v>
      </c>
      <c r="GP62" t="e">
        <f>AND(#REF!,"AAAAAF8/98U=")</f>
        <v>#REF!</v>
      </c>
      <c r="GQ62" t="e">
        <f>AND(#REF!,"AAAAAF8/98Y=")</f>
        <v>#REF!</v>
      </c>
      <c r="GR62" t="e">
        <f>AND(#REF!,"AAAAAF8/98c=")</f>
        <v>#REF!</v>
      </c>
      <c r="GS62" t="e">
        <f>AND(#REF!,"AAAAAF8/98g=")</f>
        <v>#REF!</v>
      </c>
      <c r="GT62" t="e">
        <f>AND(#REF!,"AAAAAF8/98k=")</f>
        <v>#REF!</v>
      </c>
      <c r="GU62" t="e">
        <f>AND(#REF!,"AAAAAF8/98o=")</f>
        <v>#REF!</v>
      </c>
      <c r="GV62" t="e">
        <f>AND(#REF!,"AAAAAF8/98s=")</f>
        <v>#REF!</v>
      </c>
      <c r="GW62" t="e">
        <f>AND(#REF!,"AAAAAF8/98w=")</f>
        <v>#REF!</v>
      </c>
      <c r="GX62" t="e">
        <f>AND(#REF!,"AAAAAF8/980=")</f>
        <v>#REF!</v>
      </c>
      <c r="GY62" t="e">
        <f>AND(#REF!,"AAAAAF8/984=")</f>
        <v>#REF!</v>
      </c>
      <c r="GZ62" t="e">
        <f>AND(#REF!,"AAAAAF8/988=")</f>
        <v>#REF!</v>
      </c>
      <c r="HA62" t="e">
        <f>AND(#REF!,"AAAAAF8/99A=")</f>
        <v>#REF!</v>
      </c>
      <c r="HB62" t="e">
        <f>AND(#REF!,"AAAAAF8/99E=")</f>
        <v>#REF!</v>
      </c>
      <c r="HC62" t="e">
        <f>AND(#REF!,"AAAAAF8/99I=")</f>
        <v>#REF!</v>
      </c>
      <c r="HD62" t="e">
        <f>AND(#REF!,"AAAAAF8/99M=")</f>
        <v>#REF!</v>
      </c>
      <c r="HE62" t="e">
        <f>AND(#REF!,"AAAAAF8/99Q=")</f>
        <v>#REF!</v>
      </c>
      <c r="HF62" t="e">
        <f>AND(#REF!,"AAAAAF8/99U=")</f>
        <v>#REF!</v>
      </c>
      <c r="HG62" t="e">
        <f>AND(#REF!,"AAAAAF8/99Y=")</f>
        <v>#REF!</v>
      </c>
      <c r="HH62" t="e">
        <f>AND(#REF!,"AAAAAF8/99c=")</f>
        <v>#REF!</v>
      </c>
      <c r="HI62" t="e">
        <f>AND(#REF!,"AAAAAF8/99g=")</f>
        <v>#REF!</v>
      </c>
      <c r="HJ62" t="e">
        <f>AND(#REF!,"AAAAAF8/99k=")</f>
        <v>#REF!</v>
      </c>
      <c r="HK62" t="e">
        <f>AND(#REF!,"AAAAAF8/99o=")</f>
        <v>#REF!</v>
      </c>
      <c r="HL62" t="e">
        <f>AND(#REF!,"AAAAAF8/99s=")</f>
        <v>#REF!</v>
      </c>
      <c r="HM62" t="e">
        <f>AND(#REF!,"AAAAAF8/99w=")</f>
        <v>#REF!</v>
      </c>
      <c r="HN62" t="e">
        <f>AND(#REF!,"AAAAAF8/990=")</f>
        <v>#REF!</v>
      </c>
      <c r="HO62" t="e">
        <f>AND(#REF!,"AAAAAF8/994=")</f>
        <v>#REF!</v>
      </c>
      <c r="HP62" t="e">
        <f>AND(#REF!,"AAAAAF8/998=")</f>
        <v>#REF!</v>
      </c>
      <c r="HQ62" t="e">
        <f>IF(#REF!,"AAAAAF8/9+A=",0)</f>
        <v>#REF!</v>
      </c>
      <c r="HR62" t="e">
        <f>AND(#REF!,"AAAAAF8/9+E=")</f>
        <v>#REF!</v>
      </c>
      <c r="HS62" t="e">
        <f>AND(#REF!,"AAAAAF8/9+I=")</f>
        <v>#REF!</v>
      </c>
      <c r="HT62" t="e">
        <f>AND(#REF!,"AAAAAF8/9+M=")</f>
        <v>#REF!</v>
      </c>
      <c r="HU62" t="e">
        <f>AND(#REF!,"AAAAAF8/9+Q=")</f>
        <v>#REF!</v>
      </c>
      <c r="HV62" t="e">
        <f>AND(#REF!,"AAAAAF8/9+U=")</f>
        <v>#REF!</v>
      </c>
      <c r="HW62" t="e">
        <f>AND(#REF!,"AAAAAF8/9+Y=")</f>
        <v>#REF!</v>
      </c>
      <c r="HX62" t="e">
        <f>AND(#REF!,"AAAAAF8/9+c=")</f>
        <v>#REF!</v>
      </c>
      <c r="HY62" t="e">
        <f>AND(#REF!,"AAAAAF8/9+g=")</f>
        <v>#REF!</v>
      </c>
      <c r="HZ62" t="e">
        <f>AND(#REF!,"AAAAAF8/9+k=")</f>
        <v>#REF!</v>
      </c>
      <c r="IA62" t="e">
        <f>AND(#REF!,"AAAAAF8/9+o=")</f>
        <v>#REF!</v>
      </c>
      <c r="IB62" t="e">
        <f>AND(#REF!,"AAAAAF8/9+s=")</f>
        <v>#REF!</v>
      </c>
      <c r="IC62" t="e">
        <f>AND(#REF!,"AAAAAF8/9+w=")</f>
        <v>#REF!</v>
      </c>
      <c r="ID62" t="e">
        <f>AND(#REF!,"AAAAAF8/9+0=")</f>
        <v>#REF!</v>
      </c>
      <c r="IE62" t="e">
        <f>AND(#REF!,"AAAAAF8/9+4=")</f>
        <v>#REF!</v>
      </c>
      <c r="IF62" t="e">
        <f>AND(#REF!,"AAAAAF8/9+8=")</f>
        <v>#REF!</v>
      </c>
      <c r="IG62" t="e">
        <f>AND(#REF!,"AAAAAF8/9/A=")</f>
        <v>#REF!</v>
      </c>
      <c r="IH62" t="e">
        <f>AND(#REF!,"AAAAAF8/9/E=")</f>
        <v>#REF!</v>
      </c>
      <c r="II62" t="e">
        <f>AND(#REF!,"AAAAAF8/9/I=")</f>
        <v>#REF!</v>
      </c>
      <c r="IJ62" t="e">
        <f>AND(#REF!,"AAAAAF8/9/M=")</f>
        <v>#REF!</v>
      </c>
      <c r="IK62" t="e">
        <f>AND(#REF!,"AAAAAF8/9/Q=")</f>
        <v>#REF!</v>
      </c>
      <c r="IL62" t="e">
        <f>AND(#REF!,"AAAAAF8/9/U=")</f>
        <v>#REF!</v>
      </c>
      <c r="IM62" t="e">
        <f>AND(#REF!,"AAAAAF8/9/Y=")</f>
        <v>#REF!</v>
      </c>
      <c r="IN62" t="e">
        <f>AND(#REF!,"AAAAAF8/9/c=")</f>
        <v>#REF!</v>
      </c>
      <c r="IO62" t="e">
        <f>AND(#REF!,"AAAAAF8/9/g=")</f>
        <v>#REF!</v>
      </c>
      <c r="IP62" t="e">
        <f>AND(#REF!,"AAAAAF8/9/k=")</f>
        <v>#REF!</v>
      </c>
      <c r="IQ62" t="e">
        <f>AND(#REF!,"AAAAAF8/9/o=")</f>
        <v>#REF!</v>
      </c>
      <c r="IR62" t="e">
        <f>AND(#REF!,"AAAAAF8/9/s=")</f>
        <v>#REF!</v>
      </c>
      <c r="IS62" t="e">
        <f>AND(#REF!,"AAAAAF8/9/w=")</f>
        <v>#REF!</v>
      </c>
      <c r="IT62" t="e">
        <f>AND(#REF!,"AAAAAF8/9/0=")</f>
        <v>#REF!</v>
      </c>
      <c r="IU62" t="e">
        <f>AND(#REF!,"AAAAAF8/9/4=")</f>
        <v>#REF!</v>
      </c>
      <c r="IV62" t="e">
        <f>AND(#REF!,"AAAAAF8/9/8=")</f>
        <v>#REF!</v>
      </c>
    </row>
    <row r="63" spans="1:256" x14ac:dyDescent="0.25">
      <c r="A63" t="e">
        <f>AND(#REF!,"AAAAAG/t/wA=")</f>
        <v>#REF!</v>
      </c>
      <c r="B63" t="e">
        <f>AND(#REF!,"AAAAAG/t/wE=")</f>
        <v>#REF!</v>
      </c>
      <c r="C63" t="e">
        <f>AND(#REF!,"AAAAAG/t/wI=")</f>
        <v>#REF!</v>
      </c>
      <c r="D63" t="e">
        <f>AND(#REF!,"AAAAAG/t/wM=")</f>
        <v>#REF!</v>
      </c>
      <c r="E63" t="e">
        <f>AND(#REF!,"AAAAAG/t/wQ=")</f>
        <v>#REF!</v>
      </c>
      <c r="F63" t="e">
        <f>AND(#REF!,"AAAAAG/t/wU=")</f>
        <v>#REF!</v>
      </c>
      <c r="G63" t="e">
        <f>AND(#REF!,"AAAAAG/t/wY=")</f>
        <v>#REF!</v>
      </c>
      <c r="H63" t="e">
        <f>AND(#REF!,"AAAAAG/t/wc=")</f>
        <v>#REF!</v>
      </c>
      <c r="I63" t="e">
        <f>AND(#REF!,"AAAAAG/t/wg=")</f>
        <v>#REF!</v>
      </c>
      <c r="J63" t="e">
        <f>AND(#REF!,"AAAAAG/t/wk=")</f>
        <v>#REF!</v>
      </c>
      <c r="K63" t="e">
        <f>AND(#REF!,"AAAAAG/t/wo=")</f>
        <v>#REF!</v>
      </c>
      <c r="L63" t="e">
        <f>AND(#REF!,"AAAAAG/t/ws=")</f>
        <v>#REF!</v>
      </c>
      <c r="M63" t="e">
        <f>IF(#REF!,"AAAAAG/t/ww=",0)</f>
        <v>#REF!</v>
      </c>
      <c r="N63" t="e">
        <f>AND(#REF!,"AAAAAG/t/w0=")</f>
        <v>#REF!</v>
      </c>
      <c r="O63" t="e">
        <f>AND(#REF!,"AAAAAG/t/w4=")</f>
        <v>#REF!</v>
      </c>
      <c r="P63" t="e">
        <f>AND(#REF!,"AAAAAG/t/w8=")</f>
        <v>#REF!</v>
      </c>
      <c r="Q63" t="e">
        <f>AND(#REF!,"AAAAAG/t/xA=")</f>
        <v>#REF!</v>
      </c>
      <c r="R63" t="e">
        <f>AND(#REF!,"AAAAAG/t/xE=")</f>
        <v>#REF!</v>
      </c>
      <c r="S63" t="e">
        <f>AND(#REF!,"AAAAAG/t/xI=")</f>
        <v>#REF!</v>
      </c>
      <c r="T63" t="e">
        <f>AND(#REF!,"AAAAAG/t/xM=")</f>
        <v>#REF!</v>
      </c>
      <c r="U63" t="e">
        <f>AND(#REF!,"AAAAAG/t/xQ=")</f>
        <v>#REF!</v>
      </c>
      <c r="V63" t="e">
        <f>AND(#REF!,"AAAAAG/t/xU=")</f>
        <v>#REF!</v>
      </c>
      <c r="W63" t="e">
        <f>AND(#REF!,"AAAAAG/t/xY=")</f>
        <v>#REF!</v>
      </c>
      <c r="X63" t="e">
        <f>AND(#REF!,"AAAAAG/t/xc=")</f>
        <v>#REF!</v>
      </c>
      <c r="Y63" t="e">
        <f>AND(#REF!,"AAAAAG/t/xg=")</f>
        <v>#REF!</v>
      </c>
      <c r="Z63" t="e">
        <f>AND(#REF!,"AAAAAG/t/xk=")</f>
        <v>#REF!</v>
      </c>
      <c r="AA63" t="e">
        <f>AND(#REF!,"AAAAAG/t/xo=")</f>
        <v>#REF!</v>
      </c>
      <c r="AB63" t="e">
        <f>AND(#REF!,"AAAAAG/t/xs=")</f>
        <v>#REF!</v>
      </c>
      <c r="AC63" t="e">
        <f>AND(#REF!,"AAAAAG/t/xw=")</f>
        <v>#REF!</v>
      </c>
      <c r="AD63" t="e">
        <f>AND(#REF!,"AAAAAG/t/x0=")</f>
        <v>#REF!</v>
      </c>
      <c r="AE63" t="e">
        <f>AND(#REF!,"AAAAAG/t/x4=")</f>
        <v>#REF!</v>
      </c>
      <c r="AF63" t="e">
        <f>AND(#REF!,"AAAAAG/t/x8=")</f>
        <v>#REF!</v>
      </c>
      <c r="AG63" t="e">
        <f>AND(#REF!,"AAAAAG/t/yA=")</f>
        <v>#REF!</v>
      </c>
      <c r="AH63" t="e">
        <f>AND(#REF!,"AAAAAG/t/yE=")</f>
        <v>#REF!</v>
      </c>
      <c r="AI63" t="e">
        <f>AND(#REF!,"AAAAAG/t/yI=")</f>
        <v>#REF!</v>
      </c>
      <c r="AJ63" t="e">
        <f>AND(#REF!,"AAAAAG/t/yM=")</f>
        <v>#REF!</v>
      </c>
      <c r="AK63" t="e">
        <f>AND(#REF!,"AAAAAG/t/yQ=")</f>
        <v>#REF!</v>
      </c>
      <c r="AL63" t="e">
        <f>AND(#REF!,"AAAAAG/t/yU=")</f>
        <v>#REF!</v>
      </c>
      <c r="AM63" t="e">
        <f>AND(#REF!,"AAAAAG/t/yY=")</f>
        <v>#REF!</v>
      </c>
      <c r="AN63" t="e">
        <f>AND(#REF!,"AAAAAG/t/yc=")</f>
        <v>#REF!</v>
      </c>
      <c r="AO63" t="e">
        <f>AND(#REF!,"AAAAAG/t/yg=")</f>
        <v>#REF!</v>
      </c>
      <c r="AP63" t="e">
        <f>AND(#REF!,"AAAAAG/t/yk=")</f>
        <v>#REF!</v>
      </c>
      <c r="AQ63" t="e">
        <f>AND(#REF!,"AAAAAG/t/yo=")</f>
        <v>#REF!</v>
      </c>
      <c r="AR63" t="e">
        <f>AND(#REF!,"AAAAAG/t/ys=")</f>
        <v>#REF!</v>
      </c>
      <c r="AS63" t="e">
        <f>AND(#REF!,"AAAAAG/t/yw=")</f>
        <v>#REF!</v>
      </c>
      <c r="AT63" t="e">
        <f>AND(#REF!,"AAAAAG/t/y0=")</f>
        <v>#REF!</v>
      </c>
      <c r="AU63" t="e">
        <f>AND(#REF!,"AAAAAG/t/y4=")</f>
        <v>#REF!</v>
      </c>
      <c r="AV63" t="e">
        <f>AND(#REF!,"AAAAAG/t/y8=")</f>
        <v>#REF!</v>
      </c>
      <c r="AW63" t="e">
        <f>AND(#REF!,"AAAAAG/t/zA=")</f>
        <v>#REF!</v>
      </c>
      <c r="AX63" t="e">
        <f>AND(#REF!,"AAAAAG/t/zE=")</f>
        <v>#REF!</v>
      </c>
      <c r="AY63" t="e">
        <f>AND(#REF!,"AAAAAG/t/zI=")</f>
        <v>#REF!</v>
      </c>
      <c r="AZ63" t="e">
        <f>AND(#REF!,"AAAAAG/t/zM=")</f>
        <v>#REF!</v>
      </c>
      <c r="BA63" t="e">
        <f>AND(#REF!,"AAAAAG/t/zQ=")</f>
        <v>#REF!</v>
      </c>
      <c r="BB63" t="e">
        <f>AND(#REF!,"AAAAAG/t/zU=")</f>
        <v>#REF!</v>
      </c>
      <c r="BC63" t="e">
        <f>AND(#REF!,"AAAAAG/t/zY=")</f>
        <v>#REF!</v>
      </c>
      <c r="BD63" t="e">
        <f>AND(#REF!,"AAAAAG/t/zc=")</f>
        <v>#REF!</v>
      </c>
      <c r="BE63" t="e">
        <f>IF(#REF!,"AAAAAG/t/zg=",0)</f>
        <v>#REF!</v>
      </c>
      <c r="BF63" t="e">
        <f>AND(#REF!,"AAAAAG/t/zk=")</f>
        <v>#REF!</v>
      </c>
      <c r="BG63" t="e">
        <f>AND(#REF!,"AAAAAG/t/zo=")</f>
        <v>#REF!</v>
      </c>
      <c r="BH63" t="e">
        <f>AND(#REF!,"AAAAAG/t/zs=")</f>
        <v>#REF!</v>
      </c>
      <c r="BI63" t="e">
        <f>AND(#REF!,"AAAAAG/t/zw=")</f>
        <v>#REF!</v>
      </c>
      <c r="BJ63" t="e">
        <f>AND(#REF!,"AAAAAG/t/z0=")</f>
        <v>#REF!</v>
      </c>
      <c r="BK63" t="e">
        <f>AND(#REF!,"AAAAAG/t/z4=")</f>
        <v>#REF!</v>
      </c>
      <c r="BL63" t="e">
        <f>AND(#REF!,"AAAAAG/t/z8=")</f>
        <v>#REF!</v>
      </c>
      <c r="BM63" t="e">
        <f>AND(#REF!,"AAAAAG/t/0A=")</f>
        <v>#REF!</v>
      </c>
      <c r="BN63" t="e">
        <f>AND(#REF!,"AAAAAG/t/0E=")</f>
        <v>#REF!</v>
      </c>
      <c r="BO63" t="e">
        <f>AND(#REF!,"AAAAAG/t/0I=")</f>
        <v>#REF!</v>
      </c>
      <c r="BP63" t="e">
        <f>AND(#REF!,"AAAAAG/t/0M=")</f>
        <v>#REF!</v>
      </c>
      <c r="BQ63" t="e">
        <f>AND(#REF!,"AAAAAG/t/0Q=")</f>
        <v>#REF!</v>
      </c>
      <c r="BR63" t="e">
        <f>AND(#REF!,"AAAAAG/t/0U=")</f>
        <v>#REF!</v>
      </c>
      <c r="BS63" t="e">
        <f>AND(#REF!,"AAAAAG/t/0Y=")</f>
        <v>#REF!</v>
      </c>
      <c r="BT63" t="e">
        <f>AND(#REF!,"AAAAAG/t/0c=")</f>
        <v>#REF!</v>
      </c>
      <c r="BU63" t="e">
        <f>AND(#REF!,"AAAAAG/t/0g=")</f>
        <v>#REF!</v>
      </c>
      <c r="BV63" t="e">
        <f>AND(#REF!,"AAAAAG/t/0k=")</f>
        <v>#REF!</v>
      </c>
      <c r="BW63" t="e">
        <f>AND(#REF!,"AAAAAG/t/0o=")</f>
        <v>#REF!</v>
      </c>
      <c r="BX63" t="e">
        <f>AND(#REF!,"AAAAAG/t/0s=")</f>
        <v>#REF!</v>
      </c>
      <c r="BY63" t="e">
        <f>AND(#REF!,"AAAAAG/t/0w=")</f>
        <v>#REF!</v>
      </c>
      <c r="BZ63" t="e">
        <f>AND(#REF!,"AAAAAG/t/00=")</f>
        <v>#REF!</v>
      </c>
      <c r="CA63" t="e">
        <f>AND(#REF!,"AAAAAG/t/04=")</f>
        <v>#REF!</v>
      </c>
      <c r="CB63" t="e">
        <f>AND(#REF!,"AAAAAG/t/08=")</f>
        <v>#REF!</v>
      </c>
      <c r="CC63" t="e">
        <f>AND(#REF!,"AAAAAG/t/1A=")</f>
        <v>#REF!</v>
      </c>
      <c r="CD63" t="e">
        <f>AND(#REF!,"AAAAAG/t/1E=")</f>
        <v>#REF!</v>
      </c>
      <c r="CE63" t="e">
        <f>AND(#REF!,"AAAAAG/t/1I=")</f>
        <v>#REF!</v>
      </c>
      <c r="CF63" t="e">
        <f>AND(#REF!,"AAAAAG/t/1M=")</f>
        <v>#REF!</v>
      </c>
      <c r="CG63" t="e">
        <f>AND(#REF!,"AAAAAG/t/1Q=")</f>
        <v>#REF!</v>
      </c>
      <c r="CH63" t="e">
        <f>AND(#REF!,"AAAAAG/t/1U=")</f>
        <v>#REF!</v>
      </c>
      <c r="CI63" t="e">
        <f>AND(#REF!,"AAAAAG/t/1Y=")</f>
        <v>#REF!</v>
      </c>
      <c r="CJ63" t="e">
        <f>AND(#REF!,"AAAAAG/t/1c=")</f>
        <v>#REF!</v>
      </c>
      <c r="CK63" t="e">
        <f>AND(#REF!,"AAAAAG/t/1g=")</f>
        <v>#REF!</v>
      </c>
      <c r="CL63" t="e">
        <f>AND(#REF!,"AAAAAG/t/1k=")</f>
        <v>#REF!</v>
      </c>
      <c r="CM63" t="e">
        <f>AND(#REF!,"AAAAAG/t/1o=")</f>
        <v>#REF!</v>
      </c>
      <c r="CN63" t="e">
        <f>AND(#REF!,"AAAAAG/t/1s=")</f>
        <v>#REF!</v>
      </c>
      <c r="CO63" t="e">
        <f>AND(#REF!,"AAAAAG/t/1w=")</f>
        <v>#REF!</v>
      </c>
      <c r="CP63" t="e">
        <f>AND(#REF!,"AAAAAG/t/10=")</f>
        <v>#REF!</v>
      </c>
      <c r="CQ63" t="e">
        <f>AND(#REF!,"AAAAAG/t/14=")</f>
        <v>#REF!</v>
      </c>
      <c r="CR63" t="e">
        <f>AND(#REF!,"AAAAAG/t/18=")</f>
        <v>#REF!</v>
      </c>
      <c r="CS63" t="e">
        <f>AND(#REF!,"AAAAAG/t/2A=")</f>
        <v>#REF!</v>
      </c>
      <c r="CT63" t="e">
        <f>AND(#REF!,"AAAAAG/t/2E=")</f>
        <v>#REF!</v>
      </c>
      <c r="CU63" t="e">
        <f>AND(#REF!,"AAAAAG/t/2I=")</f>
        <v>#REF!</v>
      </c>
      <c r="CV63" t="e">
        <f>AND(#REF!,"AAAAAG/t/2M=")</f>
        <v>#REF!</v>
      </c>
      <c r="CW63" t="e">
        <f>IF(#REF!,"AAAAAG/t/2Q=",0)</f>
        <v>#REF!</v>
      </c>
      <c r="CX63" t="e">
        <f>AND(#REF!,"AAAAAG/t/2U=")</f>
        <v>#REF!</v>
      </c>
      <c r="CY63" t="e">
        <f>AND(#REF!,"AAAAAG/t/2Y=")</f>
        <v>#REF!</v>
      </c>
      <c r="CZ63" t="e">
        <f>AND(#REF!,"AAAAAG/t/2c=")</f>
        <v>#REF!</v>
      </c>
      <c r="DA63" t="e">
        <f>AND(#REF!,"AAAAAG/t/2g=")</f>
        <v>#REF!</v>
      </c>
      <c r="DB63" t="e">
        <f>AND(#REF!,"AAAAAG/t/2k=")</f>
        <v>#REF!</v>
      </c>
      <c r="DC63" t="e">
        <f>AND(#REF!,"AAAAAG/t/2o=")</f>
        <v>#REF!</v>
      </c>
      <c r="DD63" t="e">
        <f>AND(#REF!,"AAAAAG/t/2s=")</f>
        <v>#REF!</v>
      </c>
      <c r="DE63" t="e">
        <f>AND(#REF!,"AAAAAG/t/2w=")</f>
        <v>#REF!</v>
      </c>
      <c r="DF63" t="e">
        <f>AND(#REF!,"AAAAAG/t/20=")</f>
        <v>#REF!</v>
      </c>
      <c r="DG63" t="e">
        <f>AND(#REF!,"AAAAAG/t/24=")</f>
        <v>#REF!</v>
      </c>
      <c r="DH63" t="e">
        <f>AND(#REF!,"AAAAAG/t/28=")</f>
        <v>#REF!</v>
      </c>
      <c r="DI63" t="e">
        <f>AND(#REF!,"AAAAAG/t/3A=")</f>
        <v>#REF!</v>
      </c>
      <c r="DJ63" t="e">
        <f>AND(#REF!,"AAAAAG/t/3E=")</f>
        <v>#REF!</v>
      </c>
      <c r="DK63" t="e">
        <f>AND(#REF!,"AAAAAG/t/3I=")</f>
        <v>#REF!</v>
      </c>
      <c r="DL63" t="e">
        <f>AND(#REF!,"AAAAAG/t/3M=")</f>
        <v>#REF!</v>
      </c>
      <c r="DM63" t="e">
        <f>AND(#REF!,"AAAAAG/t/3Q=")</f>
        <v>#REF!</v>
      </c>
      <c r="DN63" t="e">
        <f>AND(#REF!,"AAAAAG/t/3U=")</f>
        <v>#REF!</v>
      </c>
      <c r="DO63" t="e">
        <f>AND(#REF!,"AAAAAG/t/3Y=")</f>
        <v>#REF!</v>
      </c>
      <c r="DP63" t="e">
        <f>AND(#REF!,"AAAAAG/t/3c=")</f>
        <v>#REF!</v>
      </c>
      <c r="DQ63" t="e">
        <f>AND(#REF!,"AAAAAG/t/3g=")</f>
        <v>#REF!</v>
      </c>
      <c r="DR63" t="e">
        <f>AND(#REF!,"AAAAAG/t/3k=")</f>
        <v>#REF!</v>
      </c>
      <c r="DS63" t="e">
        <f>AND(#REF!,"AAAAAG/t/3o=")</f>
        <v>#REF!</v>
      </c>
      <c r="DT63" t="e">
        <f>AND(#REF!,"AAAAAG/t/3s=")</f>
        <v>#REF!</v>
      </c>
      <c r="DU63" t="e">
        <f>AND(#REF!,"AAAAAG/t/3w=")</f>
        <v>#REF!</v>
      </c>
      <c r="DV63" t="e">
        <f>AND(#REF!,"AAAAAG/t/30=")</f>
        <v>#REF!</v>
      </c>
      <c r="DW63" t="e">
        <f>AND(#REF!,"AAAAAG/t/34=")</f>
        <v>#REF!</v>
      </c>
      <c r="DX63" t="e">
        <f>AND(#REF!,"AAAAAG/t/38=")</f>
        <v>#REF!</v>
      </c>
      <c r="DY63" t="e">
        <f>AND(#REF!,"AAAAAG/t/4A=")</f>
        <v>#REF!</v>
      </c>
      <c r="DZ63" t="e">
        <f>AND(#REF!,"AAAAAG/t/4E=")</f>
        <v>#REF!</v>
      </c>
      <c r="EA63" t="e">
        <f>AND(#REF!,"AAAAAG/t/4I=")</f>
        <v>#REF!</v>
      </c>
      <c r="EB63" t="e">
        <f>AND(#REF!,"AAAAAG/t/4M=")</f>
        <v>#REF!</v>
      </c>
      <c r="EC63" t="e">
        <f>AND(#REF!,"AAAAAG/t/4Q=")</f>
        <v>#REF!</v>
      </c>
      <c r="ED63" t="e">
        <f>AND(#REF!,"AAAAAG/t/4U=")</f>
        <v>#REF!</v>
      </c>
      <c r="EE63" t="e">
        <f>AND(#REF!,"AAAAAG/t/4Y=")</f>
        <v>#REF!</v>
      </c>
      <c r="EF63" t="e">
        <f>AND(#REF!,"AAAAAG/t/4c=")</f>
        <v>#REF!</v>
      </c>
      <c r="EG63" t="e">
        <f>AND(#REF!,"AAAAAG/t/4g=")</f>
        <v>#REF!</v>
      </c>
      <c r="EH63" t="e">
        <f>AND(#REF!,"AAAAAG/t/4k=")</f>
        <v>#REF!</v>
      </c>
      <c r="EI63" t="e">
        <f>AND(#REF!,"AAAAAG/t/4o=")</f>
        <v>#REF!</v>
      </c>
      <c r="EJ63" t="e">
        <f>AND(#REF!,"AAAAAG/t/4s=")</f>
        <v>#REF!</v>
      </c>
      <c r="EK63" t="e">
        <f>AND(#REF!,"AAAAAG/t/4w=")</f>
        <v>#REF!</v>
      </c>
      <c r="EL63" t="e">
        <f>AND(#REF!,"AAAAAG/t/40=")</f>
        <v>#REF!</v>
      </c>
      <c r="EM63" t="e">
        <f>AND(#REF!,"AAAAAG/t/44=")</f>
        <v>#REF!</v>
      </c>
      <c r="EN63" t="e">
        <f>AND(#REF!,"AAAAAG/t/48=")</f>
        <v>#REF!</v>
      </c>
      <c r="EO63" t="e">
        <f>IF(#REF!,"AAAAAG/t/5A=",0)</f>
        <v>#REF!</v>
      </c>
      <c r="EP63" t="e">
        <f>AND(#REF!,"AAAAAG/t/5E=")</f>
        <v>#REF!</v>
      </c>
      <c r="EQ63" t="e">
        <f>AND(#REF!,"AAAAAG/t/5I=")</f>
        <v>#REF!</v>
      </c>
      <c r="ER63" t="e">
        <f>AND(#REF!,"AAAAAG/t/5M=")</f>
        <v>#REF!</v>
      </c>
      <c r="ES63" t="e">
        <f>AND(#REF!,"AAAAAG/t/5Q=")</f>
        <v>#REF!</v>
      </c>
      <c r="ET63" t="e">
        <f>AND(#REF!,"AAAAAG/t/5U=")</f>
        <v>#REF!</v>
      </c>
      <c r="EU63" t="e">
        <f>AND(#REF!,"AAAAAG/t/5Y=")</f>
        <v>#REF!</v>
      </c>
      <c r="EV63" t="e">
        <f>AND(#REF!,"AAAAAG/t/5c=")</f>
        <v>#REF!</v>
      </c>
      <c r="EW63" t="e">
        <f>AND(#REF!,"AAAAAG/t/5g=")</f>
        <v>#REF!</v>
      </c>
      <c r="EX63" t="e">
        <f>AND(#REF!,"AAAAAG/t/5k=")</f>
        <v>#REF!</v>
      </c>
      <c r="EY63" t="e">
        <f>AND(#REF!,"AAAAAG/t/5o=")</f>
        <v>#REF!</v>
      </c>
      <c r="EZ63" t="e">
        <f>AND(#REF!,"AAAAAG/t/5s=")</f>
        <v>#REF!</v>
      </c>
      <c r="FA63" t="e">
        <f>AND(#REF!,"AAAAAG/t/5w=")</f>
        <v>#REF!</v>
      </c>
      <c r="FB63" t="e">
        <f>AND(#REF!,"AAAAAG/t/50=")</f>
        <v>#REF!</v>
      </c>
      <c r="FC63" t="e">
        <f>AND(#REF!,"AAAAAG/t/54=")</f>
        <v>#REF!</v>
      </c>
      <c r="FD63" t="e">
        <f>AND(#REF!,"AAAAAG/t/58=")</f>
        <v>#REF!</v>
      </c>
      <c r="FE63" t="e">
        <f>AND(#REF!,"AAAAAG/t/6A=")</f>
        <v>#REF!</v>
      </c>
      <c r="FF63" t="e">
        <f>AND(#REF!,"AAAAAG/t/6E=")</f>
        <v>#REF!</v>
      </c>
      <c r="FG63" t="e">
        <f>AND(#REF!,"AAAAAG/t/6I=")</f>
        <v>#REF!</v>
      </c>
      <c r="FH63" t="e">
        <f>AND(#REF!,"AAAAAG/t/6M=")</f>
        <v>#REF!</v>
      </c>
      <c r="FI63" t="e">
        <f>AND(#REF!,"AAAAAG/t/6Q=")</f>
        <v>#REF!</v>
      </c>
      <c r="FJ63" t="e">
        <f>AND(#REF!,"AAAAAG/t/6U=")</f>
        <v>#REF!</v>
      </c>
      <c r="FK63" t="e">
        <f>AND(#REF!,"AAAAAG/t/6Y=")</f>
        <v>#REF!</v>
      </c>
      <c r="FL63" t="e">
        <f>AND(#REF!,"AAAAAG/t/6c=")</f>
        <v>#REF!</v>
      </c>
      <c r="FM63" t="e">
        <f>AND(#REF!,"AAAAAG/t/6g=")</f>
        <v>#REF!</v>
      </c>
      <c r="FN63" t="e">
        <f>AND(#REF!,"AAAAAG/t/6k=")</f>
        <v>#REF!</v>
      </c>
      <c r="FO63" t="e">
        <f>AND(#REF!,"AAAAAG/t/6o=")</f>
        <v>#REF!</v>
      </c>
      <c r="FP63" t="e">
        <f>AND(#REF!,"AAAAAG/t/6s=")</f>
        <v>#REF!</v>
      </c>
      <c r="FQ63" t="e">
        <f>AND(#REF!,"AAAAAG/t/6w=")</f>
        <v>#REF!</v>
      </c>
      <c r="FR63" t="e">
        <f>AND(#REF!,"AAAAAG/t/60=")</f>
        <v>#REF!</v>
      </c>
      <c r="FS63" t="e">
        <f>AND(#REF!,"AAAAAG/t/64=")</f>
        <v>#REF!</v>
      </c>
      <c r="FT63" t="e">
        <f>AND(#REF!,"AAAAAG/t/68=")</f>
        <v>#REF!</v>
      </c>
      <c r="FU63" t="e">
        <f>AND(#REF!,"AAAAAG/t/7A=")</f>
        <v>#REF!</v>
      </c>
      <c r="FV63" t="e">
        <f>AND(#REF!,"AAAAAG/t/7E=")</f>
        <v>#REF!</v>
      </c>
      <c r="FW63" t="e">
        <f>AND(#REF!,"AAAAAG/t/7I=")</f>
        <v>#REF!</v>
      </c>
      <c r="FX63" t="e">
        <f>AND(#REF!,"AAAAAG/t/7M=")</f>
        <v>#REF!</v>
      </c>
      <c r="FY63" t="e">
        <f>AND(#REF!,"AAAAAG/t/7Q=")</f>
        <v>#REF!</v>
      </c>
      <c r="FZ63" t="e">
        <f>AND(#REF!,"AAAAAG/t/7U=")</f>
        <v>#REF!</v>
      </c>
      <c r="GA63" t="e">
        <f>AND(#REF!,"AAAAAG/t/7Y=")</f>
        <v>#REF!</v>
      </c>
      <c r="GB63" t="e">
        <f>AND(#REF!,"AAAAAG/t/7c=")</f>
        <v>#REF!</v>
      </c>
      <c r="GC63" t="e">
        <f>AND(#REF!,"AAAAAG/t/7g=")</f>
        <v>#REF!</v>
      </c>
      <c r="GD63" t="e">
        <f>AND(#REF!,"AAAAAG/t/7k=")</f>
        <v>#REF!</v>
      </c>
      <c r="GE63" t="e">
        <f>AND(#REF!,"AAAAAG/t/7o=")</f>
        <v>#REF!</v>
      </c>
      <c r="GF63" t="e">
        <f>AND(#REF!,"AAAAAG/t/7s=")</f>
        <v>#REF!</v>
      </c>
      <c r="GG63" t="e">
        <f>IF(#REF!,"AAAAAG/t/7w=",0)</f>
        <v>#REF!</v>
      </c>
      <c r="GH63" t="e">
        <f>AND(#REF!,"AAAAAG/t/70=")</f>
        <v>#REF!</v>
      </c>
      <c r="GI63" t="e">
        <f>AND(#REF!,"AAAAAG/t/74=")</f>
        <v>#REF!</v>
      </c>
      <c r="GJ63" t="e">
        <f>AND(#REF!,"AAAAAG/t/78=")</f>
        <v>#REF!</v>
      </c>
      <c r="GK63" t="e">
        <f>AND(#REF!,"AAAAAG/t/8A=")</f>
        <v>#REF!</v>
      </c>
      <c r="GL63" t="e">
        <f>AND(#REF!,"AAAAAG/t/8E=")</f>
        <v>#REF!</v>
      </c>
      <c r="GM63" t="e">
        <f>AND(#REF!,"AAAAAG/t/8I=")</f>
        <v>#REF!</v>
      </c>
      <c r="GN63" t="e">
        <f>AND(#REF!,"AAAAAG/t/8M=")</f>
        <v>#REF!</v>
      </c>
      <c r="GO63" t="e">
        <f>AND(#REF!,"AAAAAG/t/8Q=")</f>
        <v>#REF!</v>
      </c>
      <c r="GP63" t="e">
        <f>AND(#REF!,"AAAAAG/t/8U=")</f>
        <v>#REF!</v>
      </c>
      <c r="GQ63" t="e">
        <f>AND(#REF!,"AAAAAG/t/8Y=")</f>
        <v>#REF!</v>
      </c>
      <c r="GR63" t="e">
        <f>AND(#REF!,"AAAAAG/t/8c=")</f>
        <v>#REF!</v>
      </c>
      <c r="GS63" t="e">
        <f>AND(#REF!,"AAAAAG/t/8g=")</f>
        <v>#REF!</v>
      </c>
      <c r="GT63" t="e">
        <f>AND(#REF!,"AAAAAG/t/8k=")</f>
        <v>#REF!</v>
      </c>
      <c r="GU63" t="e">
        <f>AND(#REF!,"AAAAAG/t/8o=")</f>
        <v>#REF!</v>
      </c>
      <c r="GV63" t="e">
        <f>AND(#REF!,"AAAAAG/t/8s=")</f>
        <v>#REF!</v>
      </c>
      <c r="GW63" t="e">
        <f>AND(#REF!,"AAAAAG/t/8w=")</f>
        <v>#REF!</v>
      </c>
      <c r="GX63" t="e">
        <f>AND(#REF!,"AAAAAG/t/80=")</f>
        <v>#REF!</v>
      </c>
      <c r="GY63" t="e">
        <f>AND(#REF!,"AAAAAG/t/84=")</f>
        <v>#REF!</v>
      </c>
      <c r="GZ63" t="e">
        <f>AND(#REF!,"AAAAAG/t/88=")</f>
        <v>#REF!</v>
      </c>
      <c r="HA63" t="e">
        <f>AND(#REF!,"AAAAAG/t/9A=")</f>
        <v>#REF!</v>
      </c>
      <c r="HB63" t="e">
        <f>AND(#REF!,"AAAAAG/t/9E=")</f>
        <v>#REF!</v>
      </c>
      <c r="HC63" t="e">
        <f>AND(#REF!,"AAAAAG/t/9I=")</f>
        <v>#REF!</v>
      </c>
      <c r="HD63" t="e">
        <f>AND(#REF!,"AAAAAG/t/9M=")</f>
        <v>#REF!</v>
      </c>
      <c r="HE63" t="e">
        <f>AND(#REF!,"AAAAAG/t/9Q=")</f>
        <v>#REF!</v>
      </c>
      <c r="HF63" t="e">
        <f>AND(#REF!,"AAAAAG/t/9U=")</f>
        <v>#REF!</v>
      </c>
      <c r="HG63" t="e">
        <f>AND(#REF!,"AAAAAG/t/9Y=")</f>
        <v>#REF!</v>
      </c>
      <c r="HH63" t="e">
        <f>AND(#REF!,"AAAAAG/t/9c=")</f>
        <v>#REF!</v>
      </c>
      <c r="HI63" t="e">
        <f>AND(#REF!,"AAAAAG/t/9g=")</f>
        <v>#REF!</v>
      </c>
      <c r="HJ63" t="e">
        <f>AND(#REF!,"AAAAAG/t/9k=")</f>
        <v>#REF!</v>
      </c>
      <c r="HK63" t="e">
        <f>AND(#REF!,"AAAAAG/t/9o=")</f>
        <v>#REF!</v>
      </c>
      <c r="HL63" t="e">
        <f>AND(#REF!,"AAAAAG/t/9s=")</f>
        <v>#REF!</v>
      </c>
      <c r="HM63" t="e">
        <f>AND(#REF!,"AAAAAG/t/9w=")</f>
        <v>#REF!</v>
      </c>
      <c r="HN63" t="e">
        <f>AND(#REF!,"AAAAAG/t/90=")</f>
        <v>#REF!</v>
      </c>
      <c r="HO63" t="e">
        <f>AND(#REF!,"AAAAAG/t/94=")</f>
        <v>#REF!</v>
      </c>
      <c r="HP63" t="e">
        <f>AND(#REF!,"AAAAAG/t/98=")</f>
        <v>#REF!</v>
      </c>
      <c r="HQ63" t="e">
        <f>AND(#REF!,"AAAAAG/t/+A=")</f>
        <v>#REF!</v>
      </c>
      <c r="HR63" t="e">
        <f>AND(#REF!,"AAAAAG/t/+E=")</f>
        <v>#REF!</v>
      </c>
      <c r="HS63" t="e">
        <f>AND(#REF!,"AAAAAG/t/+I=")</f>
        <v>#REF!</v>
      </c>
      <c r="HT63" t="e">
        <f>AND(#REF!,"AAAAAG/t/+M=")</f>
        <v>#REF!</v>
      </c>
      <c r="HU63" t="e">
        <f>AND(#REF!,"AAAAAG/t/+Q=")</f>
        <v>#REF!</v>
      </c>
      <c r="HV63" t="e">
        <f>AND(#REF!,"AAAAAG/t/+U=")</f>
        <v>#REF!</v>
      </c>
      <c r="HW63" t="e">
        <f>AND(#REF!,"AAAAAG/t/+Y=")</f>
        <v>#REF!</v>
      </c>
      <c r="HX63" t="e">
        <f>AND(#REF!,"AAAAAG/t/+c=")</f>
        <v>#REF!</v>
      </c>
      <c r="HY63" t="e">
        <f>IF(#REF!,"AAAAAG/t/+g=",0)</f>
        <v>#REF!</v>
      </c>
      <c r="HZ63" t="e">
        <f>AND(#REF!,"AAAAAG/t/+k=")</f>
        <v>#REF!</v>
      </c>
      <c r="IA63" t="e">
        <f>AND(#REF!,"AAAAAG/t/+o=")</f>
        <v>#REF!</v>
      </c>
      <c r="IB63" t="e">
        <f>AND(#REF!,"AAAAAG/t/+s=")</f>
        <v>#REF!</v>
      </c>
      <c r="IC63" t="e">
        <f>AND(#REF!,"AAAAAG/t/+w=")</f>
        <v>#REF!</v>
      </c>
      <c r="ID63" t="e">
        <f>AND(#REF!,"AAAAAG/t/+0=")</f>
        <v>#REF!</v>
      </c>
      <c r="IE63" t="e">
        <f>AND(#REF!,"AAAAAG/t/+4=")</f>
        <v>#REF!</v>
      </c>
      <c r="IF63" t="e">
        <f>AND(#REF!,"AAAAAG/t/+8=")</f>
        <v>#REF!</v>
      </c>
      <c r="IG63" t="e">
        <f>AND(#REF!,"AAAAAG/t//A=")</f>
        <v>#REF!</v>
      </c>
      <c r="IH63" t="e">
        <f>AND(#REF!,"AAAAAG/t//E=")</f>
        <v>#REF!</v>
      </c>
      <c r="II63" t="e">
        <f>AND(#REF!,"AAAAAG/t//I=")</f>
        <v>#REF!</v>
      </c>
      <c r="IJ63" t="e">
        <f>AND(#REF!,"AAAAAG/t//M=")</f>
        <v>#REF!</v>
      </c>
      <c r="IK63" t="e">
        <f>AND(#REF!,"AAAAAG/t//Q=")</f>
        <v>#REF!</v>
      </c>
      <c r="IL63" t="e">
        <f>AND(#REF!,"AAAAAG/t//U=")</f>
        <v>#REF!</v>
      </c>
      <c r="IM63" t="e">
        <f>AND(#REF!,"AAAAAG/t//Y=")</f>
        <v>#REF!</v>
      </c>
      <c r="IN63" t="e">
        <f>AND(#REF!,"AAAAAG/t//c=")</f>
        <v>#REF!</v>
      </c>
      <c r="IO63" t="e">
        <f>AND(#REF!,"AAAAAG/t//g=")</f>
        <v>#REF!</v>
      </c>
      <c r="IP63" t="e">
        <f>AND(#REF!,"AAAAAG/t//k=")</f>
        <v>#REF!</v>
      </c>
      <c r="IQ63" t="e">
        <f>AND(#REF!,"AAAAAG/t//o=")</f>
        <v>#REF!</v>
      </c>
      <c r="IR63" t="e">
        <f>AND(#REF!,"AAAAAG/t//s=")</f>
        <v>#REF!</v>
      </c>
      <c r="IS63" t="e">
        <f>AND(#REF!,"AAAAAG/t//w=")</f>
        <v>#REF!</v>
      </c>
      <c r="IT63" t="e">
        <f>AND(#REF!,"AAAAAG/t//0=")</f>
        <v>#REF!</v>
      </c>
      <c r="IU63" t="e">
        <f>AND(#REF!,"AAAAAG/t//4=")</f>
        <v>#REF!</v>
      </c>
      <c r="IV63" t="e">
        <f>AND(#REF!,"AAAAAG/t//8=")</f>
        <v>#REF!</v>
      </c>
    </row>
    <row r="64" spans="1:256" x14ac:dyDescent="0.25">
      <c r="A64" t="e">
        <f>AND(#REF!,"AAAAAHmtfwA=")</f>
        <v>#REF!</v>
      </c>
      <c r="B64" t="e">
        <f>AND(#REF!,"AAAAAHmtfwE=")</f>
        <v>#REF!</v>
      </c>
      <c r="C64" t="e">
        <f>AND(#REF!,"AAAAAHmtfwI=")</f>
        <v>#REF!</v>
      </c>
      <c r="D64" t="e">
        <f>AND(#REF!,"AAAAAHmtfwM=")</f>
        <v>#REF!</v>
      </c>
      <c r="E64" t="e">
        <f>AND(#REF!,"AAAAAHmtfwQ=")</f>
        <v>#REF!</v>
      </c>
      <c r="F64" t="e">
        <f>AND(#REF!,"AAAAAHmtfwU=")</f>
        <v>#REF!</v>
      </c>
      <c r="G64" t="e">
        <f>AND(#REF!,"AAAAAHmtfwY=")</f>
        <v>#REF!</v>
      </c>
      <c r="H64" t="e">
        <f>AND(#REF!,"AAAAAHmtfwc=")</f>
        <v>#REF!</v>
      </c>
      <c r="I64" t="e">
        <f>AND(#REF!,"AAAAAHmtfwg=")</f>
        <v>#REF!</v>
      </c>
      <c r="J64" t="e">
        <f>AND(#REF!,"AAAAAHmtfwk=")</f>
        <v>#REF!</v>
      </c>
      <c r="K64" t="e">
        <f>AND(#REF!,"AAAAAHmtfwo=")</f>
        <v>#REF!</v>
      </c>
      <c r="L64" t="e">
        <f>AND(#REF!,"AAAAAHmtfws=")</f>
        <v>#REF!</v>
      </c>
      <c r="M64" t="e">
        <f>AND(#REF!,"AAAAAHmtfww=")</f>
        <v>#REF!</v>
      </c>
      <c r="N64" t="e">
        <f>AND(#REF!,"AAAAAHmtfw0=")</f>
        <v>#REF!</v>
      </c>
      <c r="O64" t="e">
        <f>AND(#REF!,"AAAAAHmtfw4=")</f>
        <v>#REF!</v>
      </c>
      <c r="P64" t="e">
        <f>AND(#REF!,"AAAAAHmtfw8=")</f>
        <v>#REF!</v>
      </c>
      <c r="Q64" t="e">
        <f>AND(#REF!,"AAAAAHmtfxA=")</f>
        <v>#REF!</v>
      </c>
      <c r="R64" t="e">
        <f>AND(#REF!,"AAAAAHmtfxE=")</f>
        <v>#REF!</v>
      </c>
      <c r="S64" t="e">
        <f>AND(#REF!,"AAAAAHmtfxI=")</f>
        <v>#REF!</v>
      </c>
      <c r="T64" t="e">
        <f>AND(#REF!,"AAAAAHmtfxM=")</f>
        <v>#REF!</v>
      </c>
      <c r="U64" t="e">
        <f>IF(#REF!,"AAAAAHmtfxQ=",0)</f>
        <v>#REF!</v>
      </c>
      <c r="V64" t="e">
        <f>AND(#REF!,"AAAAAHmtfxU=")</f>
        <v>#REF!</v>
      </c>
      <c r="W64" t="e">
        <f>AND(#REF!,"AAAAAHmtfxY=")</f>
        <v>#REF!</v>
      </c>
      <c r="X64" t="e">
        <f>AND(#REF!,"AAAAAHmtfxc=")</f>
        <v>#REF!</v>
      </c>
      <c r="Y64" t="e">
        <f>AND(#REF!,"AAAAAHmtfxg=")</f>
        <v>#REF!</v>
      </c>
      <c r="Z64" t="e">
        <f>AND(#REF!,"AAAAAHmtfxk=")</f>
        <v>#REF!</v>
      </c>
      <c r="AA64" t="e">
        <f>AND(#REF!,"AAAAAHmtfxo=")</f>
        <v>#REF!</v>
      </c>
      <c r="AB64" t="e">
        <f>AND(#REF!,"AAAAAHmtfxs=")</f>
        <v>#REF!</v>
      </c>
      <c r="AC64" t="e">
        <f>AND(#REF!,"AAAAAHmtfxw=")</f>
        <v>#REF!</v>
      </c>
      <c r="AD64" t="e">
        <f>AND(#REF!,"AAAAAHmtfx0=")</f>
        <v>#REF!</v>
      </c>
      <c r="AE64" t="e">
        <f>AND(#REF!,"AAAAAHmtfx4=")</f>
        <v>#REF!</v>
      </c>
      <c r="AF64" t="e">
        <f>AND(#REF!,"AAAAAHmtfx8=")</f>
        <v>#REF!</v>
      </c>
      <c r="AG64" t="e">
        <f>AND(#REF!,"AAAAAHmtfyA=")</f>
        <v>#REF!</v>
      </c>
      <c r="AH64" t="e">
        <f>AND(#REF!,"AAAAAHmtfyE=")</f>
        <v>#REF!</v>
      </c>
      <c r="AI64" t="e">
        <f>AND(#REF!,"AAAAAHmtfyI=")</f>
        <v>#REF!</v>
      </c>
      <c r="AJ64" t="e">
        <f>AND(#REF!,"AAAAAHmtfyM=")</f>
        <v>#REF!</v>
      </c>
      <c r="AK64" t="e">
        <f>AND(#REF!,"AAAAAHmtfyQ=")</f>
        <v>#REF!</v>
      </c>
      <c r="AL64" t="e">
        <f>AND(#REF!,"AAAAAHmtfyU=")</f>
        <v>#REF!</v>
      </c>
      <c r="AM64" t="e">
        <f>AND(#REF!,"AAAAAHmtfyY=")</f>
        <v>#REF!</v>
      </c>
      <c r="AN64" t="e">
        <f>AND(#REF!,"AAAAAHmtfyc=")</f>
        <v>#REF!</v>
      </c>
      <c r="AO64" t="e">
        <f>AND(#REF!,"AAAAAHmtfyg=")</f>
        <v>#REF!</v>
      </c>
      <c r="AP64" t="e">
        <f>AND(#REF!,"AAAAAHmtfyk=")</f>
        <v>#REF!</v>
      </c>
      <c r="AQ64" t="e">
        <f>AND(#REF!,"AAAAAHmtfyo=")</f>
        <v>#REF!</v>
      </c>
      <c r="AR64" t="e">
        <f>AND(#REF!,"AAAAAHmtfys=")</f>
        <v>#REF!</v>
      </c>
      <c r="AS64" t="e">
        <f>AND(#REF!,"AAAAAHmtfyw=")</f>
        <v>#REF!</v>
      </c>
      <c r="AT64" t="e">
        <f>AND(#REF!,"AAAAAHmtfy0=")</f>
        <v>#REF!</v>
      </c>
      <c r="AU64" t="e">
        <f>AND(#REF!,"AAAAAHmtfy4=")</f>
        <v>#REF!</v>
      </c>
      <c r="AV64" t="e">
        <f>AND(#REF!,"AAAAAHmtfy8=")</f>
        <v>#REF!</v>
      </c>
      <c r="AW64" t="e">
        <f>AND(#REF!,"AAAAAHmtfzA=")</f>
        <v>#REF!</v>
      </c>
      <c r="AX64" t="e">
        <f>AND(#REF!,"AAAAAHmtfzE=")</f>
        <v>#REF!</v>
      </c>
      <c r="AY64" t="e">
        <f>AND(#REF!,"AAAAAHmtfzI=")</f>
        <v>#REF!</v>
      </c>
      <c r="AZ64" t="e">
        <f>AND(#REF!,"AAAAAHmtfzM=")</f>
        <v>#REF!</v>
      </c>
      <c r="BA64" t="e">
        <f>AND(#REF!,"AAAAAHmtfzQ=")</f>
        <v>#REF!</v>
      </c>
      <c r="BB64" t="e">
        <f>AND(#REF!,"AAAAAHmtfzU=")</f>
        <v>#REF!</v>
      </c>
      <c r="BC64" t="e">
        <f>AND(#REF!,"AAAAAHmtfzY=")</f>
        <v>#REF!</v>
      </c>
      <c r="BD64" t="e">
        <f>AND(#REF!,"AAAAAHmtfzc=")</f>
        <v>#REF!</v>
      </c>
      <c r="BE64" t="e">
        <f>AND(#REF!,"AAAAAHmtfzg=")</f>
        <v>#REF!</v>
      </c>
      <c r="BF64" t="e">
        <f>AND(#REF!,"AAAAAHmtfzk=")</f>
        <v>#REF!</v>
      </c>
      <c r="BG64" t="e">
        <f>AND(#REF!,"AAAAAHmtfzo=")</f>
        <v>#REF!</v>
      </c>
      <c r="BH64" t="e">
        <f>AND(#REF!,"AAAAAHmtfzs=")</f>
        <v>#REF!</v>
      </c>
      <c r="BI64" t="e">
        <f>AND(#REF!,"AAAAAHmtfzw=")</f>
        <v>#REF!</v>
      </c>
      <c r="BJ64" t="e">
        <f>AND(#REF!,"AAAAAHmtfz0=")</f>
        <v>#REF!</v>
      </c>
      <c r="BK64" t="e">
        <f>AND(#REF!,"AAAAAHmtfz4=")</f>
        <v>#REF!</v>
      </c>
      <c r="BL64" t="e">
        <f>AND(#REF!,"AAAAAHmtfz8=")</f>
        <v>#REF!</v>
      </c>
      <c r="BM64" t="e">
        <f>IF(#REF!,"AAAAAHmtf0A=",0)</f>
        <v>#REF!</v>
      </c>
      <c r="BN64" t="e">
        <f>AND(#REF!,"AAAAAHmtf0E=")</f>
        <v>#REF!</v>
      </c>
      <c r="BO64" t="e">
        <f>AND(#REF!,"AAAAAHmtf0I=")</f>
        <v>#REF!</v>
      </c>
      <c r="BP64" t="e">
        <f>AND(#REF!,"AAAAAHmtf0M=")</f>
        <v>#REF!</v>
      </c>
      <c r="BQ64" t="e">
        <f>AND(#REF!,"AAAAAHmtf0Q=")</f>
        <v>#REF!</v>
      </c>
      <c r="BR64" t="e">
        <f>AND(#REF!,"AAAAAHmtf0U=")</f>
        <v>#REF!</v>
      </c>
      <c r="BS64" t="e">
        <f>AND(#REF!,"AAAAAHmtf0Y=")</f>
        <v>#REF!</v>
      </c>
      <c r="BT64" t="e">
        <f>AND(#REF!,"AAAAAHmtf0c=")</f>
        <v>#REF!</v>
      </c>
      <c r="BU64" t="e">
        <f>AND(#REF!,"AAAAAHmtf0g=")</f>
        <v>#REF!</v>
      </c>
      <c r="BV64" t="e">
        <f>AND(#REF!,"AAAAAHmtf0k=")</f>
        <v>#REF!</v>
      </c>
      <c r="BW64" t="e">
        <f>AND(#REF!,"AAAAAHmtf0o=")</f>
        <v>#REF!</v>
      </c>
      <c r="BX64" t="e">
        <f>AND(#REF!,"AAAAAHmtf0s=")</f>
        <v>#REF!</v>
      </c>
      <c r="BY64" t="e">
        <f>AND(#REF!,"AAAAAHmtf0w=")</f>
        <v>#REF!</v>
      </c>
      <c r="BZ64" t="e">
        <f>AND(#REF!,"AAAAAHmtf00=")</f>
        <v>#REF!</v>
      </c>
      <c r="CA64" t="e">
        <f>AND(#REF!,"AAAAAHmtf04=")</f>
        <v>#REF!</v>
      </c>
      <c r="CB64" t="e">
        <f>AND(#REF!,"AAAAAHmtf08=")</f>
        <v>#REF!</v>
      </c>
      <c r="CC64" t="e">
        <f>AND(#REF!,"AAAAAHmtf1A=")</f>
        <v>#REF!</v>
      </c>
      <c r="CD64" t="e">
        <f>AND(#REF!,"AAAAAHmtf1E=")</f>
        <v>#REF!</v>
      </c>
      <c r="CE64" t="e">
        <f>AND(#REF!,"AAAAAHmtf1I=")</f>
        <v>#REF!</v>
      </c>
      <c r="CF64" t="e">
        <f>AND(#REF!,"AAAAAHmtf1M=")</f>
        <v>#REF!</v>
      </c>
      <c r="CG64" t="e">
        <f>AND(#REF!,"AAAAAHmtf1Q=")</f>
        <v>#REF!</v>
      </c>
      <c r="CH64" t="e">
        <f>AND(#REF!,"AAAAAHmtf1U=")</f>
        <v>#REF!</v>
      </c>
      <c r="CI64" t="e">
        <f>AND(#REF!,"AAAAAHmtf1Y=")</f>
        <v>#REF!</v>
      </c>
      <c r="CJ64" t="e">
        <f>AND(#REF!,"AAAAAHmtf1c=")</f>
        <v>#REF!</v>
      </c>
      <c r="CK64" t="e">
        <f>AND(#REF!,"AAAAAHmtf1g=")</f>
        <v>#REF!</v>
      </c>
      <c r="CL64" t="e">
        <f>AND(#REF!,"AAAAAHmtf1k=")</f>
        <v>#REF!</v>
      </c>
      <c r="CM64" t="e">
        <f>AND(#REF!,"AAAAAHmtf1o=")</f>
        <v>#REF!</v>
      </c>
      <c r="CN64" t="e">
        <f>AND(#REF!,"AAAAAHmtf1s=")</f>
        <v>#REF!</v>
      </c>
      <c r="CO64" t="e">
        <f>AND(#REF!,"AAAAAHmtf1w=")</f>
        <v>#REF!</v>
      </c>
      <c r="CP64" t="e">
        <f>AND(#REF!,"AAAAAHmtf10=")</f>
        <v>#REF!</v>
      </c>
      <c r="CQ64" t="e">
        <f>AND(#REF!,"AAAAAHmtf14=")</f>
        <v>#REF!</v>
      </c>
      <c r="CR64" t="e">
        <f>AND(#REF!,"AAAAAHmtf18=")</f>
        <v>#REF!</v>
      </c>
      <c r="CS64" t="e">
        <f>AND(#REF!,"AAAAAHmtf2A=")</f>
        <v>#REF!</v>
      </c>
      <c r="CT64" t="e">
        <f>AND(#REF!,"AAAAAHmtf2E=")</f>
        <v>#REF!</v>
      </c>
      <c r="CU64" t="e">
        <f>AND(#REF!,"AAAAAHmtf2I=")</f>
        <v>#REF!</v>
      </c>
      <c r="CV64" t="e">
        <f>AND(#REF!,"AAAAAHmtf2M=")</f>
        <v>#REF!</v>
      </c>
      <c r="CW64" t="e">
        <f>AND(#REF!,"AAAAAHmtf2Q=")</f>
        <v>#REF!</v>
      </c>
      <c r="CX64" t="e">
        <f>AND(#REF!,"AAAAAHmtf2U=")</f>
        <v>#REF!</v>
      </c>
      <c r="CY64" t="e">
        <f>AND(#REF!,"AAAAAHmtf2Y=")</f>
        <v>#REF!</v>
      </c>
      <c r="CZ64" t="e">
        <f>AND(#REF!,"AAAAAHmtf2c=")</f>
        <v>#REF!</v>
      </c>
      <c r="DA64" t="e">
        <f>AND(#REF!,"AAAAAHmtf2g=")</f>
        <v>#REF!</v>
      </c>
      <c r="DB64" t="e">
        <f>AND(#REF!,"AAAAAHmtf2k=")</f>
        <v>#REF!</v>
      </c>
      <c r="DC64" t="e">
        <f>AND(#REF!,"AAAAAHmtf2o=")</f>
        <v>#REF!</v>
      </c>
      <c r="DD64" t="e">
        <f>AND(#REF!,"AAAAAHmtf2s=")</f>
        <v>#REF!</v>
      </c>
      <c r="DE64" t="e">
        <f>IF(#REF!,"AAAAAHmtf2w=",0)</f>
        <v>#REF!</v>
      </c>
      <c r="DF64" t="e">
        <f>AND(#REF!,"AAAAAHmtf20=")</f>
        <v>#REF!</v>
      </c>
      <c r="DG64" t="e">
        <f>AND(#REF!,"AAAAAHmtf24=")</f>
        <v>#REF!</v>
      </c>
      <c r="DH64" t="e">
        <f>AND(#REF!,"AAAAAHmtf28=")</f>
        <v>#REF!</v>
      </c>
      <c r="DI64" t="e">
        <f>AND(#REF!,"AAAAAHmtf3A=")</f>
        <v>#REF!</v>
      </c>
      <c r="DJ64" t="e">
        <f>AND(#REF!,"AAAAAHmtf3E=")</f>
        <v>#REF!</v>
      </c>
      <c r="DK64" t="e">
        <f>AND(#REF!,"AAAAAHmtf3I=")</f>
        <v>#REF!</v>
      </c>
      <c r="DL64" t="e">
        <f>AND(#REF!,"AAAAAHmtf3M=")</f>
        <v>#REF!</v>
      </c>
      <c r="DM64" t="e">
        <f>AND(#REF!,"AAAAAHmtf3Q=")</f>
        <v>#REF!</v>
      </c>
      <c r="DN64" t="e">
        <f>AND(#REF!,"AAAAAHmtf3U=")</f>
        <v>#REF!</v>
      </c>
      <c r="DO64" t="e">
        <f>AND(#REF!,"AAAAAHmtf3Y=")</f>
        <v>#REF!</v>
      </c>
      <c r="DP64" t="e">
        <f>AND(#REF!,"AAAAAHmtf3c=")</f>
        <v>#REF!</v>
      </c>
      <c r="DQ64" t="e">
        <f>AND(#REF!,"AAAAAHmtf3g=")</f>
        <v>#REF!</v>
      </c>
      <c r="DR64" t="e">
        <f>AND(#REF!,"AAAAAHmtf3k=")</f>
        <v>#REF!</v>
      </c>
      <c r="DS64" t="e">
        <f>AND(#REF!,"AAAAAHmtf3o=")</f>
        <v>#REF!</v>
      </c>
      <c r="DT64" t="e">
        <f>AND(#REF!,"AAAAAHmtf3s=")</f>
        <v>#REF!</v>
      </c>
      <c r="DU64" t="e">
        <f>AND(#REF!,"AAAAAHmtf3w=")</f>
        <v>#REF!</v>
      </c>
      <c r="DV64" t="e">
        <f>AND(#REF!,"AAAAAHmtf30=")</f>
        <v>#REF!</v>
      </c>
      <c r="DW64" t="e">
        <f>AND(#REF!,"AAAAAHmtf34=")</f>
        <v>#REF!</v>
      </c>
      <c r="DX64" t="e">
        <f>AND(#REF!,"AAAAAHmtf38=")</f>
        <v>#REF!</v>
      </c>
      <c r="DY64" t="e">
        <f>AND(#REF!,"AAAAAHmtf4A=")</f>
        <v>#REF!</v>
      </c>
      <c r="DZ64" t="e">
        <f>AND(#REF!,"AAAAAHmtf4E=")</f>
        <v>#REF!</v>
      </c>
      <c r="EA64" t="e">
        <f>AND(#REF!,"AAAAAHmtf4I=")</f>
        <v>#REF!</v>
      </c>
      <c r="EB64" t="e">
        <f>AND(#REF!,"AAAAAHmtf4M=")</f>
        <v>#REF!</v>
      </c>
      <c r="EC64" t="e">
        <f>AND(#REF!,"AAAAAHmtf4Q=")</f>
        <v>#REF!</v>
      </c>
      <c r="ED64" t="e">
        <f>AND(#REF!,"AAAAAHmtf4U=")</f>
        <v>#REF!</v>
      </c>
      <c r="EE64" t="e">
        <f>AND(#REF!,"AAAAAHmtf4Y=")</f>
        <v>#REF!</v>
      </c>
      <c r="EF64" t="e">
        <f>AND(#REF!,"AAAAAHmtf4c=")</f>
        <v>#REF!</v>
      </c>
      <c r="EG64" t="e">
        <f>AND(#REF!,"AAAAAHmtf4g=")</f>
        <v>#REF!</v>
      </c>
      <c r="EH64" t="e">
        <f>AND(#REF!,"AAAAAHmtf4k=")</f>
        <v>#REF!</v>
      </c>
      <c r="EI64" t="e">
        <f>AND(#REF!,"AAAAAHmtf4o=")</f>
        <v>#REF!</v>
      </c>
      <c r="EJ64" t="e">
        <f>AND(#REF!,"AAAAAHmtf4s=")</f>
        <v>#REF!</v>
      </c>
      <c r="EK64" t="e">
        <f>AND(#REF!,"AAAAAHmtf4w=")</f>
        <v>#REF!</v>
      </c>
      <c r="EL64" t="e">
        <f>AND(#REF!,"AAAAAHmtf40=")</f>
        <v>#REF!</v>
      </c>
      <c r="EM64" t="e">
        <f>AND(#REF!,"AAAAAHmtf44=")</f>
        <v>#REF!</v>
      </c>
      <c r="EN64" t="e">
        <f>AND(#REF!,"AAAAAHmtf48=")</f>
        <v>#REF!</v>
      </c>
      <c r="EO64" t="e">
        <f>AND(#REF!,"AAAAAHmtf5A=")</f>
        <v>#REF!</v>
      </c>
      <c r="EP64" t="e">
        <f>AND(#REF!,"AAAAAHmtf5E=")</f>
        <v>#REF!</v>
      </c>
      <c r="EQ64" t="e">
        <f>AND(#REF!,"AAAAAHmtf5I=")</f>
        <v>#REF!</v>
      </c>
      <c r="ER64" t="e">
        <f>AND(#REF!,"AAAAAHmtf5M=")</f>
        <v>#REF!</v>
      </c>
      <c r="ES64" t="e">
        <f>AND(#REF!,"AAAAAHmtf5Q=")</f>
        <v>#REF!</v>
      </c>
      <c r="ET64" t="e">
        <f>AND(#REF!,"AAAAAHmtf5U=")</f>
        <v>#REF!</v>
      </c>
      <c r="EU64" t="e">
        <f>AND(#REF!,"AAAAAHmtf5Y=")</f>
        <v>#REF!</v>
      </c>
      <c r="EV64" t="e">
        <f>AND(#REF!,"AAAAAHmtf5c=")</f>
        <v>#REF!</v>
      </c>
      <c r="EW64" t="e">
        <f>IF(#REF!,"AAAAAHmtf5g=",0)</f>
        <v>#REF!</v>
      </c>
      <c r="EX64" t="e">
        <f>AND(#REF!,"AAAAAHmtf5k=")</f>
        <v>#REF!</v>
      </c>
      <c r="EY64" t="e">
        <f>AND(#REF!,"AAAAAHmtf5o=")</f>
        <v>#REF!</v>
      </c>
      <c r="EZ64" t="e">
        <f>AND(#REF!,"AAAAAHmtf5s=")</f>
        <v>#REF!</v>
      </c>
      <c r="FA64" t="e">
        <f>AND(#REF!,"AAAAAHmtf5w=")</f>
        <v>#REF!</v>
      </c>
      <c r="FB64" t="e">
        <f>AND(#REF!,"AAAAAHmtf50=")</f>
        <v>#REF!</v>
      </c>
      <c r="FC64" t="e">
        <f>AND(#REF!,"AAAAAHmtf54=")</f>
        <v>#REF!</v>
      </c>
      <c r="FD64" t="e">
        <f>AND(#REF!,"AAAAAHmtf58=")</f>
        <v>#REF!</v>
      </c>
      <c r="FE64" t="e">
        <f>AND(#REF!,"AAAAAHmtf6A=")</f>
        <v>#REF!</v>
      </c>
      <c r="FF64" t="e">
        <f>AND(#REF!,"AAAAAHmtf6E=")</f>
        <v>#REF!</v>
      </c>
      <c r="FG64" t="e">
        <f>AND(#REF!,"AAAAAHmtf6I=")</f>
        <v>#REF!</v>
      </c>
      <c r="FH64" t="e">
        <f>AND(#REF!,"AAAAAHmtf6M=")</f>
        <v>#REF!</v>
      </c>
      <c r="FI64" t="e">
        <f>AND(#REF!,"AAAAAHmtf6Q=")</f>
        <v>#REF!</v>
      </c>
      <c r="FJ64" t="e">
        <f>AND(#REF!,"AAAAAHmtf6U=")</f>
        <v>#REF!</v>
      </c>
      <c r="FK64" t="e">
        <f>AND(#REF!,"AAAAAHmtf6Y=")</f>
        <v>#REF!</v>
      </c>
      <c r="FL64" t="e">
        <f>AND(#REF!,"AAAAAHmtf6c=")</f>
        <v>#REF!</v>
      </c>
      <c r="FM64" t="e">
        <f>AND(#REF!,"AAAAAHmtf6g=")</f>
        <v>#REF!</v>
      </c>
      <c r="FN64" t="e">
        <f>AND(#REF!,"AAAAAHmtf6k=")</f>
        <v>#REF!</v>
      </c>
      <c r="FO64" t="e">
        <f>AND(#REF!,"AAAAAHmtf6o=")</f>
        <v>#REF!</v>
      </c>
      <c r="FP64" t="e">
        <f>AND(#REF!,"AAAAAHmtf6s=")</f>
        <v>#REF!</v>
      </c>
      <c r="FQ64" t="e">
        <f>AND(#REF!,"AAAAAHmtf6w=")</f>
        <v>#REF!</v>
      </c>
      <c r="FR64" t="e">
        <f>AND(#REF!,"AAAAAHmtf60=")</f>
        <v>#REF!</v>
      </c>
      <c r="FS64" t="e">
        <f>AND(#REF!,"AAAAAHmtf64=")</f>
        <v>#REF!</v>
      </c>
      <c r="FT64" t="e">
        <f>AND(#REF!,"AAAAAHmtf68=")</f>
        <v>#REF!</v>
      </c>
      <c r="FU64" t="e">
        <f>AND(#REF!,"AAAAAHmtf7A=")</f>
        <v>#REF!</v>
      </c>
      <c r="FV64" t="e">
        <f>AND(#REF!,"AAAAAHmtf7E=")</f>
        <v>#REF!</v>
      </c>
      <c r="FW64" t="e">
        <f>AND(#REF!,"AAAAAHmtf7I=")</f>
        <v>#REF!</v>
      </c>
      <c r="FX64" t="e">
        <f>AND(#REF!,"AAAAAHmtf7M=")</f>
        <v>#REF!</v>
      </c>
      <c r="FY64" t="e">
        <f>AND(#REF!,"AAAAAHmtf7Q=")</f>
        <v>#REF!</v>
      </c>
      <c r="FZ64" t="e">
        <f>AND(#REF!,"AAAAAHmtf7U=")</f>
        <v>#REF!</v>
      </c>
      <c r="GA64" t="e">
        <f>AND(#REF!,"AAAAAHmtf7Y=")</f>
        <v>#REF!</v>
      </c>
      <c r="GB64" t="e">
        <f>AND(#REF!,"AAAAAHmtf7c=")</f>
        <v>#REF!</v>
      </c>
      <c r="GC64" t="e">
        <f>AND(#REF!,"AAAAAHmtf7g=")</f>
        <v>#REF!</v>
      </c>
      <c r="GD64" t="e">
        <f>AND(#REF!,"AAAAAHmtf7k=")</f>
        <v>#REF!</v>
      </c>
      <c r="GE64" t="e">
        <f>AND(#REF!,"AAAAAHmtf7o=")</f>
        <v>#REF!</v>
      </c>
      <c r="GF64" t="e">
        <f>AND(#REF!,"AAAAAHmtf7s=")</f>
        <v>#REF!</v>
      </c>
      <c r="GG64" t="e">
        <f>AND(#REF!,"AAAAAHmtf7w=")</f>
        <v>#REF!</v>
      </c>
      <c r="GH64" t="e">
        <f>AND(#REF!,"AAAAAHmtf70=")</f>
        <v>#REF!</v>
      </c>
      <c r="GI64" t="e">
        <f>AND(#REF!,"AAAAAHmtf74=")</f>
        <v>#REF!</v>
      </c>
      <c r="GJ64" t="e">
        <f>AND(#REF!,"AAAAAHmtf78=")</f>
        <v>#REF!</v>
      </c>
      <c r="GK64" t="e">
        <f>AND(#REF!,"AAAAAHmtf8A=")</f>
        <v>#REF!</v>
      </c>
      <c r="GL64" t="e">
        <f>AND(#REF!,"AAAAAHmtf8E=")</f>
        <v>#REF!</v>
      </c>
      <c r="GM64" t="e">
        <f>AND(#REF!,"AAAAAHmtf8I=")</f>
        <v>#REF!</v>
      </c>
      <c r="GN64" t="e">
        <f>AND(#REF!,"AAAAAHmtf8M=")</f>
        <v>#REF!</v>
      </c>
      <c r="GO64" t="e">
        <f>IF(#REF!,"AAAAAHmtf8Q=",0)</f>
        <v>#REF!</v>
      </c>
      <c r="GP64" t="e">
        <f>AND(#REF!,"AAAAAHmtf8U=")</f>
        <v>#REF!</v>
      </c>
      <c r="GQ64" t="e">
        <f>AND(#REF!,"AAAAAHmtf8Y=")</f>
        <v>#REF!</v>
      </c>
      <c r="GR64" t="e">
        <f>AND(#REF!,"AAAAAHmtf8c=")</f>
        <v>#REF!</v>
      </c>
      <c r="GS64" t="e">
        <f>AND(#REF!,"AAAAAHmtf8g=")</f>
        <v>#REF!</v>
      </c>
      <c r="GT64" t="e">
        <f>AND(#REF!,"AAAAAHmtf8k=")</f>
        <v>#REF!</v>
      </c>
      <c r="GU64" t="e">
        <f>AND(#REF!,"AAAAAHmtf8o=")</f>
        <v>#REF!</v>
      </c>
      <c r="GV64" t="e">
        <f>AND(#REF!,"AAAAAHmtf8s=")</f>
        <v>#REF!</v>
      </c>
      <c r="GW64" t="e">
        <f>AND(#REF!,"AAAAAHmtf8w=")</f>
        <v>#REF!</v>
      </c>
      <c r="GX64" t="e">
        <f>AND(#REF!,"AAAAAHmtf80=")</f>
        <v>#REF!</v>
      </c>
      <c r="GY64" t="e">
        <f>AND(#REF!,"AAAAAHmtf84=")</f>
        <v>#REF!</v>
      </c>
      <c r="GZ64" t="e">
        <f>AND(#REF!,"AAAAAHmtf88=")</f>
        <v>#REF!</v>
      </c>
      <c r="HA64" t="e">
        <f>AND(#REF!,"AAAAAHmtf9A=")</f>
        <v>#REF!</v>
      </c>
      <c r="HB64" t="e">
        <f>AND(#REF!,"AAAAAHmtf9E=")</f>
        <v>#REF!</v>
      </c>
      <c r="HC64" t="e">
        <f>AND(#REF!,"AAAAAHmtf9I=")</f>
        <v>#REF!</v>
      </c>
      <c r="HD64" t="e">
        <f>AND(#REF!,"AAAAAHmtf9M=")</f>
        <v>#REF!</v>
      </c>
      <c r="HE64" t="e">
        <f>AND(#REF!,"AAAAAHmtf9Q=")</f>
        <v>#REF!</v>
      </c>
      <c r="HF64" t="e">
        <f>AND(#REF!,"AAAAAHmtf9U=")</f>
        <v>#REF!</v>
      </c>
      <c r="HG64" t="e">
        <f>AND(#REF!,"AAAAAHmtf9Y=")</f>
        <v>#REF!</v>
      </c>
      <c r="HH64" t="e">
        <f>AND(#REF!,"AAAAAHmtf9c=")</f>
        <v>#REF!</v>
      </c>
      <c r="HI64" t="e">
        <f>AND(#REF!,"AAAAAHmtf9g=")</f>
        <v>#REF!</v>
      </c>
      <c r="HJ64" t="e">
        <f>AND(#REF!,"AAAAAHmtf9k=")</f>
        <v>#REF!</v>
      </c>
      <c r="HK64" t="e">
        <f>AND(#REF!,"AAAAAHmtf9o=")</f>
        <v>#REF!</v>
      </c>
      <c r="HL64" t="e">
        <f>AND(#REF!,"AAAAAHmtf9s=")</f>
        <v>#REF!</v>
      </c>
      <c r="HM64" t="e">
        <f>AND(#REF!,"AAAAAHmtf9w=")</f>
        <v>#REF!</v>
      </c>
      <c r="HN64" t="e">
        <f>AND(#REF!,"AAAAAHmtf90=")</f>
        <v>#REF!</v>
      </c>
      <c r="HO64" t="e">
        <f>AND(#REF!,"AAAAAHmtf94=")</f>
        <v>#REF!</v>
      </c>
      <c r="HP64" t="e">
        <f>AND(#REF!,"AAAAAHmtf98=")</f>
        <v>#REF!</v>
      </c>
      <c r="HQ64" t="e">
        <f>AND(#REF!,"AAAAAHmtf+A=")</f>
        <v>#REF!</v>
      </c>
      <c r="HR64" t="e">
        <f>AND(#REF!,"AAAAAHmtf+E=")</f>
        <v>#REF!</v>
      </c>
      <c r="HS64" t="e">
        <f>AND(#REF!,"AAAAAHmtf+I=")</f>
        <v>#REF!</v>
      </c>
      <c r="HT64" t="e">
        <f>AND(#REF!,"AAAAAHmtf+M=")</f>
        <v>#REF!</v>
      </c>
      <c r="HU64" t="e">
        <f>AND(#REF!,"AAAAAHmtf+Q=")</f>
        <v>#REF!</v>
      </c>
      <c r="HV64" t="e">
        <f>AND(#REF!,"AAAAAHmtf+U=")</f>
        <v>#REF!</v>
      </c>
      <c r="HW64" t="e">
        <f>AND(#REF!,"AAAAAHmtf+Y=")</f>
        <v>#REF!</v>
      </c>
      <c r="HX64" t="e">
        <f>AND(#REF!,"AAAAAHmtf+c=")</f>
        <v>#REF!</v>
      </c>
      <c r="HY64" t="e">
        <f>AND(#REF!,"AAAAAHmtf+g=")</f>
        <v>#REF!</v>
      </c>
      <c r="HZ64" t="e">
        <f>AND(#REF!,"AAAAAHmtf+k=")</f>
        <v>#REF!</v>
      </c>
      <c r="IA64" t="e">
        <f>AND(#REF!,"AAAAAHmtf+o=")</f>
        <v>#REF!</v>
      </c>
      <c r="IB64" t="e">
        <f>AND(#REF!,"AAAAAHmtf+s=")</f>
        <v>#REF!</v>
      </c>
      <c r="IC64" t="e">
        <f>AND(#REF!,"AAAAAHmtf+w=")</f>
        <v>#REF!</v>
      </c>
      <c r="ID64" t="e">
        <f>AND(#REF!,"AAAAAHmtf+0=")</f>
        <v>#REF!</v>
      </c>
      <c r="IE64" t="e">
        <f>AND(#REF!,"AAAAAHmtf+4=")</f>
        <v>#REF!</v>
      </c>
      <c r="IF64" t="e">
        <f>AND(#REF!,"AAAAAHmtf+8=")</f>
        <v>#REF!</v>
      </c>
      <c r="IG64" t="e">
        <f>IF(#REF!,"AAAAAHmtf/A=",0)</f>
        <v>#REF!</v>
      </c>
      <c r="IH64" t="e">
        <f>AND(#REF!,"AAAAAHmtf/E=")</f>
        <v>#REF!</v>
      </c>
      <c r="II64" t="e">
        <f>AND(#REF!,"AAAAAHmtf/I=")</f>
        <v>#REF!</v>
      </c>
      <c r="IJ64" t="e">
        <f>AND(#REF!,"AAAAAHmtf/M=")</f>
        <v>#REF!</v>
      </c>
      <c r="IK64" t="e">
        <f>AND(#REF!,"AAAAAHmtf/Q=")</f>
        <v>#REF!</v>
      </c>
      <c r="IL64" t="e">
        <f>AND(#REF!,"AAAAAHmtf/U=")</f>
        <v>#REF!</v>
      </c>
      <c r="IM64" t="e">
        <f>AND(#REF!,"AAAAAHmtf/Y=")</f>
        <v>#REF!</v>
      </c>
      <c r="IN64" t="e">
        <f>AND(#REF!,"AAAAAHmtf/c=")</f>
        <v>#REF!</v>
      </c>
      <c r="IO64" t="e">
        <f>AND(#REF!,"AAAAAHmtf/g=")</f>
        <v>#REF!</v>
      </c>
      <c r="IP64" t="e">
        <f>AND(#REF!,"AAAAAHmtf/k=")</f>
        <v>#REF!</v>
      </c>
      <c r="IQ64" t="e">
        <f>AND(#REF!,"AAAAAHmtf/o=")</f>
        <v>#REF!</v>
      </c>
      <c r="IR64" t="e">
        <f>AND(#REF!,"AAAAAHmtf/s=")</f>
        <v>#REF!</v>
      </c>
      <c r="IS64" t="e">
        <f>AND(#REF!,"AAAAAHmtf/w=")</f>
        <v>#REF!</v>
      </c>
      <c r="IT64" t="e">
        <f>AND(#REF!,"AAAAAHmtf/0=")</f>
        <v>#REF!</v>
      </c>
      <c r="IU64" t="e">
        <f>AND(#REF!,"AAAAAHmtf/4=")</f>
        <v>#REF!</v>
      </c>
      <c r="IV64" t="e">
        <f>AND(#REF!,"AAAAAHmtf/8=")</f>
        <v>#REF!</v>
      </c>
    </row>
    <row r="65" spans="1:256" x14ac:dyDescent="0.25">
      <c r="A65" t="e">
        <f>AND(#REF!,"AAAAADj9swA=")</f>
        <v>#REF!</v>
      </c>
      <c r="B65" t="e">
        <f>AND(#REF!,"AAAAADj9swE=")</f>
        <v>#REF!</v>
      </c>
      <c r="C65" t="e">
        <f>AND(#REF!,"AAAAADj9swI=")</f>
        <v>#REF!</v>
      </c>
      <c r="D65" t="e">
        <f>AND(#REF!,"AAAAADj9swM=")</f>
        <v>#REF!</v>
      </c>
      <c r="E65" t="e">
        <f>AND(#REF!,"AAAAADj9swQ=")</f>
        <v>#REF!</v>
      </c>
      <c r="F65" t="e">
        <f>AND(#REF!,"AAAAADj9swU=")</f>
        <v>#REF!</v>
      </c>
      <c r="G65" t="e">
        <f>AND(#REF!,"AAAAADj9swY=")</f>
        <v>#REF!</v>
      </c>
      <c r="H65" t="e">
        <f>AND(#REF!,"AAAAADj9swc=")</f>
        <v>#REF!</v>
      </c>
      <c r="I65" t="e">
        <f>AND(#REF!,"AAAAADj9swg=")</f>
        <v>#REF!</v>
      </c>
      <c r="J65" t="e">
        <f>AND(#REF!,"AAAAADj9swk=")</f>
        <v>#REF!</v>
      </c>
      <c r="K65" t="e">
        <f>AND(#REF!,"AAAAADj9swo=")</f>
        <v>#REF!</v>
      </c>
      <c r="L65" t="e">
        <f>AND(#REF!,"AAAAADj9sws=")</f>
        <v>#REF!</v>
      </c>
      <c r="M65" t="e">
        <f>AND(#REF!,"AAAAADj9sww=")</f>
        <v>#REF!</v>
      </c>
      <c r="N65" t="e">
        <f>AND(#REF!,"AAAAADj9sw0=")</f>
        <v>#REF!</v>
      </c>
      <c r="O65" t="e">
        <f>AND(#REF!,"AAAAADj9sw4=")</f>
        <v>#REF!</v>
      </c>
      <c r="P65" t="e">
        <f>AND(#REF!,"AAAAADj9sw8=")</f>
        <v>#REF!</v>
      </c>
      <c r="Q65" t="e">
        <f>AND(#REF!,"AAAAADj9sxA=")</f>
        <v>#REF!</v>
      </c>
      <c r="R65" t="e">
        <f>AND(#REF!,"AAAAADj9sxE=")</f>
        <v>#REF!</v>
      </c>
      <c r="S65" t="e">
        <f>AND(#REF!,"AAAAADj9sxI=")</f>
        <v>#REF!</v>
      </c>
      <c r="T65" t="e">
        <f>AND(#REF!,"AAAAADj9sxM=")</f>
        <v>#REF!</v>
      </c>
      <c r="U65" t="e">
        <f>AND(#REF!,"AAAAADj9sxQ=")</f>
        <v>#REF!</v>
      </c>
      <c r="V65" t="e">
        <f>AND(#REF!,"AAAAADj9sxU=")</f>
        <v>#REF!</v>
      </c>
      <c r="W65" t="e">
        <f>AND(#REF!,"AAAAADj9sxY=")</f>
        <v>#REF!</v>
      </c>
      <c r="X65" t="e">
        <f>AND(#REF!,"AAAAADj9sxc=")</f>
        <v>#REF!</v>
      </c>
      <c r="Y65" t="e">
        <f>AND(#REF!,"AAAAADj9sxg=")</f>
        <v>#REF!</v>
      </c>
      <c r="Z65" t="e">
        <f>AND(#REF!,"AAAAADj9sxk=")</f>
        <v>#REF!</v>
      </c>
      <c r="AA65" t="e">
        <f>AND(#REF!,"AAAAADj9sxo=")</f>
        <v>#REF!</v>
      </c>
      <c r="AB65" t="e">
        <f>AND(#REF!,"AAAAADj9sxs=")</f>
        <v>#REF!</v>
      </c>
      <c r="AC65" t="e">
        <f>IF(#REF!,"AAAAADj9sxw=",0)</f>
        <v>#REF!</v>
      </c>
      <c r="AD65" t="e">
        <f>AND(#REF!,"AAAAADj9sx0=")</f>
        <v>#REF!</v>
      </c>
      <c r="AE65" t="e">
        <f>AND(#REF!,"AAAAADj9sx4=")</f>
        <v>#REF!</v>
      </c>
      <c r="AF65" t="e">
        <f>AND(#REF!,"AAAAADj9sx8=")</f>
        <v>#REF!</v>
      </c>
      <c r="AG65" t="e">
        <f>AND(#REF!,"AAAAADj9syA=")</f>
        <v>#REF!</v>
      </c>
      <c r="AH65" t="e">
        <f>AND(#REF!,"AAAAADj9syE=")</f>
        <v>#REF!</v>
      </c>
      <c r="AI65" t="e">
        <f>AND(#REF!,"AAAAADj9syI=")</f>
        <v>#REF!</v>
      </c>
      <c r="AJ65" t="e">
        <f>AND(#REF!,"AAAAADj9syM=")</f>
        <v>#REF!</v>
      </c>
      <c r="AK65" t="e">
        <f>AND(#REF!,"AAAAADj9syQ=")</f>
        <v>#REF!</v>
      </c>
      <c r="AL65" t="e">
        <f>AND(#REF!,"AAAAADj9syU=")</f>
        <v>#REF!</v>
      </c>
      <c r="AM65" t="e">
        <f>AND(#REF!,"AAAAADj9syY=")</f>
        <v>#REF!</v>
      </c>
      <c r="AN65" t="e">
        <f>AND(#REF!,"AAAAADj9syc=")</f>
        <v>#REF!</v>
      </c>
      <c r="AO65" t="e">
        <f>AND(#REF!,"AAAAADj9syg=")</f>
        <v>#REF!</v>
      </c>
      <c r="AP65" t="e">
        <f>AND(#REF!,"AAAAADj9syk=")</f>
        <v>#REF!</v>
      </c>
      <c r="AQ65" t="e">
        <f>AND(#REF!,"AAAAADj9syo=")</f>
        <v>#REF!</v>
      </c>
      <c r="AR65" t="e">
        <f>AND(#REF!,"AAAAADj9sys=")</f>
        <v>#REF!</v>
      </c>
      <c r="AS65" t="e">
        <f>AND(#REF!,"AAAAADj9syw=")</f>
        <v>#REF!</v>
      </c>
      <c r="AT65" t="e">
        <f>AND(#REF!,"AAAAADj9sy0=")</f>
        <v>#REF!</v>
      </c>
      <c r="AU65" t="e">
        <f>AND(#REF!,"AAAAADj9sy4=")</f>
        <v>#REF!</v>
      </c>
      <c r="AV65" t="e">
        <f>AND(#REF!,"AAAAADj9sy8=")</f>
        <v>#REF!</v>
      </c>
      <c r="AW65" t="e">
        <f>AND(#REF!,"AAAAADj9szA=")</f>
        <v>#REF!</v>
      </c>
      <c r="AX65" t="e">
        <f>AND(#REF!,"AAAAADj9szE=")</f>
        <v>#REF!</v>
      </c>
      <c r="AY65" t="e">
        <f>AND(#REF!,"AAAAADj9szI=")</f>
        <v>#REF!</v>
      </c>
      <c r="AZ65" t="e">
        <f>AND(#REF!,"AAAAADj9szM=")</f>
        <v>#REF!</v>
      </c>
      <c r="BA65" t="e">
        <f>AND(#REF!,"AAAAADj9szQ=")</f>
        <v>#REF!</v>
      </c>
      <c r="BB65" t="e">
        <f>AND(#REF!,"AAAAADj9szU=")</f>
        <v>#REF!</v>
      </c>
      <c r="BC65" t="e">
        <f>AND(#REF!,"AAAAADj9szY=")</f>
        <v>#REF!</v>
      </c>
      <c r="BD65" t="e">
        <f>AND(#REF!,"AAAAADj9szc=")</f>
        <v>#REF!</v>
      </c>
      <c r="BE65" t="e">
        <f>AND(#REF!,"AAAAADj9szg=")</f>
        <v>#REF!</v>
      </c>
      <c r="BF65" t="e">
        <f>AND(#REF!,"AAAAADj9szk=")</f>
        <v>#REF!</v>
      </c>
      <c r="BG65" t="e">
        <f>AND(#REF!,"AAAAADj9szo=")</f>
        <v>#REF!</v>
      </c>
      <c r="BH65" t="e">
        <f>AND(#REF!,"AAAAADj9szs=")</f>
        <v>#REF!</v>
      </c>
      <c r="BI65" t="e">
        <f>AND(#REF!,"AAAAADj9szw=")</f>
        <v>#REF!</v>
      </c>
      <c r="BJ65" t="e">
        <f>AND(#REF!,"AAAAADj9sz0=")</f>
        <v>#REF!</v>
      </c>
      <c r="BK65" t="e">
        <f>AND(#REF!,"AAAAADj9sz4=")</f>
        <v>#REF!</v>
      </c>
      <c r="BL65" t="e">
        <f>AND(#REF!,"AAAAADj9sz8=")</f>
        <v>#REF!</v>
      </c>
      <c r="BM65" t="e">
        <f>AND(#REF!,"AAAAADj9s0A=")</f>
        <v>#REF!</v>
      </c>
      <c r="BN65" t="e">
        <f>AND(#REF!,"AAAAADj9s0E=")</f>
        <v>#REF!</v>
      </c>
      <c r="BO65" t="e">
        <f>AND(#REF!,"AAAAADj9s0I=")</f>
        <v>#REF!</v>
      </c>
      <c r="BP65" t="e">
        <f>AND(#REF!,"AAAAADj9s0M=")</f>
        <v>#REF!</v>
      </c>
      <c r="BQ65" t="e">
        <f>AND(#REF!,"AAAAADj9s0Q=")</f>
        <v>#REF!</v>
      </c>
      <c r="BR65" t="e">
        <f>AND(#REF!,"AAAAADj9s0U=")</f>
        <v>#REF!</v>
      </c>
      <c r="BS65" t="e">
        <f>AND(#REF!,"AAAAADj9s0Y=")</f>
        <v>#REF!</v>
      </c>
      <c r="BT65" t="e">
        <f>AND(#REF!,"AAAAADj9s0c=")</f>
        <v>#REF!</v>
      </c>
      <c r="BU65" t="e">
        <f>IF(#REF!,"AAAAADj9s0g=",0)</f>
        <v>#REF!</v>
      </c>
      <c r="BV65" t="e">
        <f>AND(#REF!,"AAAAADj9s0k=")</f>
        <v>#REF!</v>
      </c>
      <c r="BW65" t="e">
        <f>AND(#REF!,"AAAAADj9s0o=")</f>
        <v>#REF!</v>
      </c>
      <c r="BX65" t="e">
        <f>AND(#REF!,"AAAAADj9s0s=")</f>
        <v>#REF!</v>
      </c>
      <c r="BY65" t="e">
        <f>AND(#REF!,"AAAAADj9s0w=")</f>
        <v>#REF!</v>
      </c>
      <c r="BZ65" t="e">
        <f>AND(#REF!,"AAAAADj9s00=")</f>
        <v>#REF!</v>
      </c>
      <c r="CA65" t="e">
        <f>AND(#REF!,"AAAAADj9s04=")</f>
        <v>#REF!</v>
      </c>
      <c r="CB65" t="e">
        <f>AND(#REF!,"AAAAADj9s08=")</f>
        <v>#REF!</v>
      </c>
      <c r="CC65" t="e">
        <f>AND(#REF!,"AAAAADj9s1A=")</f>
        <v>#REF!</v>
      </c>
      <c r="CD65" t="e">
        <f>AND(#REF!,"AAAAADj9s1E=")</f>
        <v>#REF!</v>
      </c>
      <c r="CE65" t="e">
        <f>AND(#REF!,"AAAAADj9s1I=")</f>
        <v>#REF!</v>
      </c>
      <c r="CF65" t="e">
        <f>AND(#REF!,"AAAAADj9s1M=")</f>
        <v>#REF!</v>
      </c>
      <c r="CG65" t="e">
        <f>AND(#REF!,"AAAAADj9s1Q=")</f>
        <v>#REF!</v>
      </c>
      <c r="CH65" t="e">
        <f>AND(#REF!,"AAAAADj9s1U=")</f>
        <v>#REF!</v>
      </c>
      <c r="CI65" t="e">
        <f>AND(#REF!,"AAAAADj9s1Y=")</f>
        <v>#REF!</v>
      </c>
      <c r="CJ65" t="e">
        <f>AND(#REF!,"AAAAADj9s1c=")</f>
        <v>#REF!</v>
      </c>
      <c r="CK65" t="e">
        <f>AND(#REF!,"AAAAADj9s1g=")</f>
        <v>#REF!</v>
      </c>
      <c r="CL65" t="e">
        <f>AND(#REF!,"AAAAADj9s1k=")</f>
        <v>#REF!</v>
      </c>
      <c r="CM65" t="e">
        <f>AND(#REF!,"AAAAADj9s1o=")</f>
        <v>#REF!</v>
      </c>
      <c r="CN65" t="e">
        <f>AND(#REF!,"AAAAADj9s1s=")</f>
        <v>#REF!</v>
      </c>
      <c r="CO65" t="e">
        <f>AND(#REF!,"AAAAADj9s1w=")</f>
        <v>#REF!</v>
      </c>
      <c r="CP65" t="e">
        <f>AND(#REF!,"AAAAADj9s10=")</f>
        <v>#REF!</v>
      </c>
      <c r="CQ65" t="e">
        <f>AND(#REF!,"AAAAADj9s14=")</f>
        <v>#REF!</v>
      </c>
      <c r="CR65" t="e">
        <f>AND(#REF!,"AAAAADj9s18=")</f>
        <v>#REF!</v>
      </c>
      <c r="CS65" t="e">
        <f>AND(#REF!,"AAAAADj9s2A=")</f>
        <v>#REF!</v>
      </c>
      <c r="CT65" t="e">
        <f>AND(#REF!,"AAAAADj9s2E=")</f>
        <v>#REF!</v>
      </c>
      <c r="CU65" t="e">
        <f>AND(#REF!,"AAAAADj9s2I=")</f>
        <v>#REF!</v>
      </c>
      <c r="CV65" t="e">
        <f>AND(#REF!,"AAAAADj9s2M=")</f>
        <v>#REF!</v>
      </c>
      <c r="CW65" t="e">
        <f>AND(#REF!,"AAAAADj9s2Q=")</f>
        <v>#REF!</v>
      </c>
      <c r="CX65" t="e">
        <f>AND(#REF!,"AAAAADj9s2U=")</f>
        <v>#REF!</v>
      </c>
      <c r="CY65" t="e">
        <f>AND(#REF!,"AAAAADj9s2Y=")</f>
        <v>#REF!</v>
      </c>
      <c r="CZ65" t="e">
        <f>AND(#REF!,"AAAAADj9s2c=")</f>
        <v>#REF!</v>
      </c>
      <c r="DA65" t="e">
        <f>AND(#REF!,"AAAAADj9s2g=")</f>
        <v>#REF!</v>
      </c>
      <c r="DB65" t="e">
        <f>AND(#REF!,"AAAAADj9s2k=")</f>
        <v>#REF!</v>
      </c>
      <c r="DC65" t="e">
        <f>AND(#REF!,"AAAAADj9s2o=")</f>
        <v>#REF!</v>
      </c>
      <c r="DD65" t="e">
        <f>AND(#REF!,"AAAAADj9s2s=")</f>
        <v>#REF!</v>
      </c>
      <c r="DE65" t="e">
        <f>AND(#REF!,"AAAAADj9s2w=")</f>
        <v>#REF!</v>
      </c>
      <c r="DF65" t="e">
        <f>AND(#REF!,"AAAAADj9s20=")</f>
        <v>#REF!</v>
      </c>
      <c r="DG65" t="e">
        <f>AND(#REF!,"AAAAADj9s24=")</f>
        <v>#REF!</v>
      </c>
      <c r="DH65" t="e">
        <f>AND(#REF!,"AAAAADj9s28=")</f>
        <v>#REF!</v>
      </c>
      <c r="DI65" t="e">
        <f>AND(#REF!,"AAAAADj9s3A=")</f>
        <v>#REF!</v>
      </c>
      <c r="DJ65" t="e">
        <f>AND(#REF!,"AAAAADj9s3E=")</f>
        <v>#REF!</v>
      </c>
      <c r="DK65" t="e">
        <f>AND(#REF!,"AAAAADj9s3I=")</f>
        <v>#REF!</v>
      </c>
      <c r="DL65" t="e">
        <f>AND(#REF!,"AAAAADj9s3M=")</f>
        <v>#REF!</v>
      </c>
      <c r="DM65" t="e">
        <f>IF(#REF!,"AAAAADj9s3Q=",0)</f>
        <v>#REF!</v>
      </c>
      <c r="DN65" t="e">
        <f>AND(#REF!,"AAAAADj9s3U=")</f>
        <v>#REF!</v>
      </c>
      <c r="DO65" t="e">
        <f>AND(#REF!,"AAAAADj9s3Y=")</f>
        <v>#REF!</v>
      </c>
      <c r="DP65" t="e">
        <f>AND(#REF!,"AAAAADj9s3c=")</f>
        <v>#REF!</v>
      </c>
      <c r="DQ65" t="e">
        <f>AND(#REF!,"AAAAADj9s3g=")</f>
        <v>#REF!</v>
      </c>
      <c r="DR65" t="e">
        <f>AND(#REF!,"AAAAADj9s3k=")</f>
        <v>#REF!</v>
      </c>
      <c r="DS65" t="e">
        <f>AND(#REF!,"AAAAADj9s3o=")</f>
        <v>#REF!</v>
      </c>
      <c r="DT65" t="e">
        <f>AND(#REF!,"AAAAADj9s3s=")</f>
        <v>#REF!</v>
      </c>
      <c r="DU65" t="e">
        <f>AND(#REF!,"AAAAADj9s3w=")</f>
        <v>#REF!</v>
      </c>
      <c r="DV65" t="e">
        <f>AND(#REF!,"AAAAADj9s30=")</f>
        <v>#REF!</v>
      </c>
      <c r="DW65" t="e">
        <f>AND(#REF!,"AAAAADj9s34=")</f>
        <v>#REF!</v>
      </c>
      <c r="DX65" t="e">
        <f>AND(#REF!,"AAAAADj9s38=")</f>
        <v>#REF!</v>
      </c>
      <c r="DY65" t="e">
        <f>AND(#REF!,"AAAAADj9s4A=")</f>
        <v>#REF!</v>
      </c>
      <c r="DZ65" t="e">
        <f>AND(#REF!,"AAAAADj9s4E=")</f>
        <v>#REF!</v>
      </c>
      <c r="EA65" t="e">
        <f>AND(#REF!,"AAAAADj9s4I=")</f>
        <v>#REF!</v>
      </c>
      <c r="EB65" t="e">
        <f>AND(#REF!,"AAAAADj9s4M=")</f>
        <v>#REF!</v>
      </c>
      <c r="EC65" t="e">
        <f>AND(#REF!,"AAAAADj9s4Q=")</f>
        <v>#REF!</v>
      </c>
      <c r="ED65" t="e">
        <f>AND(#REF!,"AAAAADj9s4U=")</f>
        <v>#REF!</v>
      </c>
      <c r="EE65" t="e">
        <f>AND(#REF!,"AAAAADj9s4Y=")</f>
        <v>#REF!</v>
      </c>
      <c r="EF65" t="e">
        <f>AND(#REF!,"AAAAADj9s4c=")</f>
        <v>#REF!</v>
      </c>
      <c r="EG65" t="e">
        <f>AND(#REF!,"AAAAADj9s4g=")</f>
        <v>#REF!</v>
      </c>
      <c r="EH65" t="e">
        <f>AND(#REF!,"AAAAADj9s4k=")</f>
        <v>#REF!</v>
      </c>
      <c r="EI65" t="e">
        <f>AND(#REF!,"AAAAADj9s4o=")</f>
        <v>#REF!</v>
      </c>
      <c r="EJ65" t="e">
        <f>AND(#REF!,"AAAAADj9s4s=")</f>
        <v>#REF!</v>
      </c>
      <c r="EK65" t="e">
        <f>AND(#REF!,"AAAAADj9s4w=")</f>
        <v>#REF!</v>
      </c>
      <c r="EL65" t="e">
        <f>AND(#REF!,"AAAAADj9s40=")</f>
        <v>#REF!</v>
      </c>
      <c r="EM65" t="e">
        <f>AND(#REF!,"AAAAADj9s44=")</f>
        <v>#REF!</v>
      </c>
      <c r="EN65" t="e">
        <f>AND(#REF!,"AAAAADj9s48=")</f>
        <v>#REF!</v>
      </c>
      <c r="EO65" t="e">
        <f>AND(#REF!,"AAAAADj9s5A=")</f>
        <v>#REF!</v>
      </c>
      <c r="EP65" t="e">
        <f>AND(#REF!,"AAAAADj9s5E=")</f>
        <v>#REF!</v>
      </c>
      <c r="EQ65" t="e">
        <f>AND(#REF!,"AAAAADj9s5I=")</f>
        <v>#REF!</v>
      </c>
      <c r="ER65" t="e">
        <f>AND(#REF!,"AAAAADj9s5M=")</f>
        <v>#REF!</v>
      </c>
      <c r="ES65" t="e">
        <f>AND(#REF!,"AAAAADj9s5Q=")</f>
        <v>#REF!</v>
      </c>
      <c r="ET65" t="e">
        <f>AND(#REF!,"AAAAADj9s5U=")</f>
        <v>#REF!</v>
      </c>
      <c r="EU65" t="e">
        <f>AND(#REF!,"AAAAADj9s5Y=")</f>
        <v>#REF!</v>
      </c>
      <c r="EV65" t="e">
        <f>AND(#REF!,"AAAAADj9s5c=")</f>
        <v>#REF!</v>
      </c>
      <c r="EW65" t="e">
        <f>AND(#REF!,"AAAAADj9s5g=")</f>
        <v>#REF!</v>
      </c>
      <c r="EX65" t="e">
        <f>AND(#REF!,"AAAAADj9s5k=")</f>
        <v>#REF!</v>
      </c>
      <c r="EY65" t="e">
        <f>AND(#REF!,"AAAAADj9s5o=")</f>
        <v>#REF!</v>
      </c>
      <c r="EZ65" t="e">
        <f>AND(#REF!,"AAAAADj9s5s=")</f>
        <v>#REF!</v>
      </c>
      <c r="FA65" t="e">
        <f>AND(#REF!,"AAAAADj9s5w=")</f>
        <v>#REF!</v>
      </c>
      <c r="FB65" t="e">
        <f>AND(#REF!,"AAAAADj9s50=")</f>
        <v>#REF!</v>
      </c>
      <c r="FC65" t="e">
        <f>AND(#REF!,"AAAAADj9s54=")</f>
        <v>#REF!</v>
      </c>
      <c r="FD65" t="e">
        <f>AND(#REF!,"AAAAADj9s58=")</f>
        <v>#REF!</v>
      </c>
      <c r="FE65" t="e">
        <f>IF(#REF!,"AAAAADj9s6A=",0)</f>
        <v>#REF!</v>
      </c>
      <c r="FF65" t="e">
        <f>AND(#REF!,"AAAAADj9s6E=")</f>
        <v>#REF!</v>
      </c>
      <c r="FG65" t="e">
        <f>AND(#REF!,"AAAAADj9s6I=")</f>
        <v>#REF!</v>
      </c>
      <c r="FH65" t="e">
        <f>AND(#REF!,"AAAAADj9s6M=")</f>
        <v>#REF!</v>
      </c>
      <c r="FI65" t="e">
        <f>AND(#REF!,"AAAAADj9s6Q=")</f>
        <v>#REF!</v>
      </c>
      <c r="FJ65" t="e">
        <f>AND(#REF!,"AAAAADj9s6U=")</f>
        <v>#REF!</v>
      </c>
      <c r="FK65" t="e">
        <f>AND(#REF!,"AAAAADj9s6Y=")</f>
        <v>#REF!</v>
      </c>
      <c r="FL65" t="e">
        <f>AND(#REF!,"AAAAADj9s6c=")</f>
        <v>#REF!</v>
      </c>
      <c r="FM65" t="e">
        <f>AND(#REF!,"AAAAADj9s6g=")</f>
        <v>#REF!</v>
      </c>
      <c r="FN65" t="e">
        <f>AND(#REF!,"AAAAADj9s6k=")</f>
        <v>#REF!</v>
      </c>
      <c r="FO65" t="e">
        <f>AND(#REF!,"AAAAADj9s6o=")</f>
        <v>#REF!</v>
      </c>
      <c r="FP65" t="e">
        <f>AND(#REF!,"AAAAADj9s6s=")</f>
        <v>#REF!</v>
      </c>
      <c r="FQ65" t="e">
        <f>AND(#REF!,"AAAAADj9s6w=")</f>
        <v>#REF!</v>
      </c>
      <c r="FR65" t="e">
        <f>AND(#REF!,"AAAAADj9s60=")</f>
        <v>#REF!</v>
      </c>
      <c r="FS65" t="e">
        <f>AND(#REF!,"AAAAADj9s64=")</f>
        <v>#REF!</v>
      </c>
      <c r="FT65" t="e">
        <f>AND(#REF!,"AAAAADj9s68=")</f>
        <v>#REF!</v>
      </c>
      <c r="FU65" t="e">
        <f>AND(#REF!,"AAAAADj9s7A=")</f>
        <v>#REF!</v>
      </c>
      <c r="FV65" t="e">
        <f>AND(#REF!,"AAAAADj9s7E=")</f>
        <v>#REF!</v>
      </c>
      <c r="FW65" t="e">
        <f>AND(#REF!,"AAAAADj9s7I=")</f>
        <v>#REF!</v>
      </c>
      <c r="FX65" t="e">
        <f>AND(#REF!,"AAAAADj9s7M=")</f>
        <v>#REF!</v>
      </c>
      <c r="FY65" t="e">
        <f>AND(#REF!,"AAAAADj9s7Q=")</f>
        <v>#REF!</v>
      </c>
      <c r="FZ65" t="e">
        <f>AND(#REF!,"AAAAADj9s7U=")</f>
        <v>#REF!</v>
      </c>
      <c r="GA65" t="e">
        <f>AND(#REF!,"AAAAADj9s7Y=")</f>
        <v>#REF!</v>
      </c>
      <c r="GB65" t="e">
        <f>AND(#REF!,"AAAAADj9s7c=")</f>
        <v>#REF!</v>
      </c>
      <c r="GC65" t="e">
        <f>AND(#REF!,"AAAAADj9s7g=")</f>
        <v>#REF!</v>
      </c>
      <c r="GD65" t="e">
        <f>AND(#REF!,"AAAAADj9s7k=")</f>
        <v>#REF!</v>
      </c>
      <c r="GE65" t="e">
        <f>AND(#REF!,"AAAAADj9s7o=")</f>
        <v>#REF!</v>
      </c>
      <c r="GF65" t="e">
        <f>AND(#REF!,"AAAAADj9s7s=")</f>
        <v>#REF!</v>
      </c>
      <c r="GG65" t="e">
        <f>AND(#REF!,"AAAAADj9s7w=")</f>
        <v>#REF!</v>
      </c>
      <c r="GH65" t="e">
        <f>AND(#REF!,"AAAAADj9s70=")</f>
        <v>#REF!</v>
      </c>
      <c r="GI65" t="e">
        <f>AND(#REF!,"AAAAADj9s74=")</f>
        <v>#REF!</v>
      </c>
      <c r="GJ65" t="e">
        <f>AND(#REF!,"AAAAADj9s78=")</f>
        <v>#REF!</v>
      </c>
      <c r="GK65" t="e">
        <f>AND(#REF!,"AAAAADj9s8A=")</f>
        <v>#REF!</v>
      </c>
      <c r="GL65" t="e">
        <f>AND(#REF!,"AAAAADj9s8E=")</f>
        <v>#REF!</v>
      </c>
      <c r="GM65" t="e">
        <f>AND(#REF!,"AAAAADj9s8I=")</f>
        <v>#REF!</v>
      </c>
      <c r="GN65" t="e">
        <f>AND(#REF!,"AAAAADj9s8M=")</f>
        <v>#REF!</v>
      </c>
      <c r="GO65" t="e">
        <f>AND(#REF!,"AAAAADj9s8Q=")</f>
        <v>#REF!</v>
      </c>
      <c r="GP65" t="e">
        <f>AND(#REF!,"AAAAADj9s8U=")</f>
        <v>#REF!</v>
      </c>
      <c r="GQ65" t="e">
        <f>AND(#REF!,"AAAAADj9s8Y=")</f>
        <v>#REF!</v>
      </c>
      <c r="GR65" t="e">
        <f>AND(#REF!,"AAAAADj9s8c=")</f>
        <v>#REF!</v>
      </c>
      <c r="GS65" t="e">
        <f>AND(#REF!,"AAAAADj9s8g=")</f>
        <v>#REF!</v>
      </c>
      <c r="GT65" t="e">
        <f>AND(#REF!,"AAAAADj9s8k=")</f>
        <v>#REF!</v>
      </c>
      <c r="GU65" t="e">
        <f>AND(#REF!,"AAAAADj9s8o=")</f>
        <v>#REF!</v>
      </c>
      <c r="GV65" t="e">
        <f>AND(#REF!,"AAAAADj9s8s=")</f>
        <v>#REF!</v>
      </c>
      <c r="GW65" t="e">
        <f>IF(#REF!,"AAAAADj9s8w=",0)</f>
        <v>#REF!</v>
      </c>
      <c r="GX65" t="e">
        <f>AND(#REF!,"AAAAADj9s80=")</f>
        <v>#REF!</v>
      </c>
      <c r="GY65" t="e">
        <f>AND(#REF!,"AAAAADj9s84=")</f>
        <v>#REF!</v>
      </c>
      <c r="GZ65" t="e">
        <f>AND(#REF!,"AAAAADj9s88=")</f>
        <v>#REF!</v>
      </c>
      <c r="HA65" t="e">
        <f>AND(#REF!,"AAAAADj9s9A=")</f>
        <v>#REF!</v>
      </c>
      <c r="HB65" t="e">
        <f>AND(#REF!,"AAAAADj9s9E=")</f>
        <v>#REF!</v>
      </c>
      <c r="HC65" t="e">
        <f>AND(#REF!,"AAAAADj9s9I=")</f>
        <v>#REF!</v>
      </c>
      <c r="HD65" t="e">
        <f>AND(#REF!,"AAAAADj9s9M=")</f>
        <v>#REF!</v>
      </c>
      <c r="HE65" t="e">
        <f>AND(#REF!,"AAAAADj9s9Q=")</f>
        <v>#REF!</v>
      </c>
      <c r="HF65" t="e">
        <f>AND(#REF!,"AAAAADj9s9U=")</f>
        <v>#REF!</v>
      </c>
      <c r="HG65" t="e">
        <f>AND(#REF!,"AAAAADj9s9Y=")</f>
        <v>#REF!</v>
      </c>
      <c r="HH65" t="e">
        <f>AND(#REF!,"AAAAADj9s9c=")</f>
        <v>#REF!</v>
      </c>
      <c r="HI65" t="e">
        <f>AND(#REF!,"AAAAADj9s9g=")</f>
        <v>#REF!</v>
      </c>
      <c r="HJ65" t="e">
        <f>AND(#REF!,"AAAAADj9s9k=")</f>
        <v>#REF!</v>
      </c>
      <c r="HK65" t="e">
        <f>AND(#REF!,"AAAAADj9s9o=")</f>
        <v>#REF!</v>
      </c>
      <c r="HL65" t="e">
        <f>AND(#REF!,"AAAAADj9s9s=")</f>
        <v>#REF!</v>
      </c>
      <c r="HM65" t="e">
        <f>AND(#REF!,"AAAAADj9s9w=")</f>
        <v>#REF!</v>
      </c>
      <c r="HN65" t="e">
        <f>AND(#REF!,"AAAAADj9s90=")</f>
        <v>#REF!</v>
      </c>
      <c r="HO65" t="e">
        <f>AND(#REF!,"AAAAADj9s94=")</f>
        <v>#REF!</v>
      </c>
      <c r="HP65" t="e">
        <f>AND(#REF!,"AAAAADj9s98=")</f>
        <v>#REF!</v>
      </c>
      <c r="HQ65" t="e">
        <f>AND(#REF!,"AAAAADj9s+A=")</f>
        <v>#REF!</v>
      </c>
      <c r="HR65" t="e">
        <f>AND(#REF!,"AAAAADj9s+E=")</f>
        <v>#REF!</v>
      </c>
      <c r="HS65" t="e">
        <f>AND(#REF!,"AAAAADj9s+I=")</f>
        <v>#REF!</v>
      </c>
      <c r="HT65" t="e">
        <f>AND(#REF!,"AAAAADj9s+M=")</f>
        <v>#REF!</v>
      </c>
      <c r="HU65" t="e">
        <f>AND(#REF!,"AAAAADj9s+Q=")</f>
        <v>#REF!</v>
      </c>
      <c r="HV65" t="e">
        <f>AND(#REF!,"AAAAADj9s+U=")</f>
        <v>#REF!</v>
      </c>
      <c r="HW65" t="e">
        <f>AND(#REF!,"AAAAADj9s+Y=")</f>
        <v>#REF!</v>
      </c>
      <c r="HX65" t="e">
        <f>AND(#REF!,"AAAAADj9s+c=")</f>
        <v>#REF!</v>
      </c>
      <c r="HY65" t="e">
        <f>AND(#REF!,"AAAAADj9s+g=")</f>
        <v>#REF!</v>
      </c>
      <c r="HZ65" t="e">
        <f>AND(#REF!,"AAAAADj9s+k=")</f>
        <v>#REF!</v>
      </c>
      <c r="IA65" t="e">
        <f>AND(#REF!,"AAAAADj9s+o=")</f>
        <v>#REF!</v>
      </c>
      <c r="IB65" t="e">
        <f>AND(#REF!,"AAAAADj9s+s=")</f>
        <v>#REF!</v>
      </c>
      <c r="IC65" t="e">
        <f>AND(#REF!,"AAAAADj9s+w=")</f>
        <v>#REF!</v>
      </c>
      <c r="ID65" t="e">
        <f>AND(#REF!,"AAAAADj9s+0=")</f>
        <v>#REF!</v>
      </c>
      <c r="IE65" t="e">
        <f>AND(#REF!,"AAAAADj9s+4=")</f>
        <v>#REF!</v>
      </c>
      <c r="IF65" t="e">
        <f>AND(#REF!,"AAAAADj9s+8=")</f>
        <v>#REF!</v>
      </c>
      <c r="IG65" t="e">
        <f>AND(#REF!,"AAAAADj9s/A=")</f>
        <v>#REF!</v>
      </c>
      <c r="IH65" t="e">
        <f>AND(#REF!,"AAAAADj9s/E=")</f>
        <v>#REF!</v>
      </c>
      <c r="II65" t="e">
        <f>AND(#REF!,"AAAAADj9s/I=")</f>
        <v>#REF!</v>
      </c>
      <c r="IJ65" t="e">
        <f>AND(#REF!,"AAAAADj9s/M=")</f>
        <v>#REF!</v>
      </c>
      <c r="IK65" t="e">
        <f>AND(#REF!,"AAAAADj9s/Q=")</f>
        <v>#REF!</v>
      </c>
      <c r="IL65" t="e">
        <f>AND(#REF!,"AAAAADj9s/U=")</f>
        <v>#REF!</v>
      </c>
      <c r="IM65" t="e">
        <f>AND(#REF!,"AAAAADj9s/Y=")</f>
        <v>#REF!</v>
      </c>
      <c r="IN65" t="e">
        <f>AND(#REF!,"AAAAADj9s/c=")</f>
        <v>#REF!</v>
      </c>
      <c r="IO65" t="e">
        <f>IF(#REF!,"AAAAADj9s/g=",0)</f>
        <v>#REF!</v>
      </c>
      <c r="IP65" t="e">
        <f>AND(#REF!,"AAAAADj9s/k=")</f>
        <v>#REF!</v>
      </c>
      <c r="IQ65" t="e">
        <f>AND(#REF!,"AAAAADj9s/o=")</f>
        <v>#REF!</v>
      </c>
      <c r="IR65" t="e">
        <f>AND(#REF!,"AAAAADj9s/s=")</f>
        <v>#REF!</v>
      </c>
      <c r="IS65" t="e">
        <f>AND(#REF!,"AAAAADj9s/w=")</f>
        <v>#REF!</v>
      </c>
      <c r="IT65" t="e">
        <f>AND(#REF!,"AAAAADj9s/0=")</f>
        <v>#REF!</v>
      </c>
      <c r="IU65" t="e">
        <f>AND(#REF!,"AAAAADj9s/4=")</f>
        <v>#REF!</v>
      </c>
      <c r="IV65" t="e">
        <f>AND(#REF!,"AAAAADj9s/8=")</f>
        <v>#REF!</v>
      </c>
    </row>
    <row r="66" spans="1:256" x14ac:dyDescent="0.25">
      <c r="A66" t="e">
        <f>AND(#REF!,"AAAAADv+2wA=")</f>
        <v>#REF!</v>
      </c>
      <c r="B66" t="e">
        <f>AND(#REF!,"AAAAADv+2wE=")</f>
        <v>#REF!</v>
      </c>
      <c r="C66" t="e">
        <f>AND(#REF!,"AAAAADv+2wI=")</f>
        <v>#REF!</v>
      </c>
      <c r="D66" t="e">
        <f>AND(#REF!,"AAAAADv+2wM=")</f>
        <v>#REF!</v>
      </c>
      <c r="E66" t="e">
        <f>AND(#REF!,"AAAAADv+2wQ=")</f>
        <v>#REF!</v>
      </c>
      <c r="F66" t="e">
        <f>AND(#REF!,"AAAAADv+2wU=")</f>
        <v>#REF!</v>
      </c>
      <c r="G66" t="e">
        <f>AND(#REF!,"AAAAADv+2wY=")</f>
        <v>#REF!</v>
      </c>
      <c r="H66" t="e">
        <f>AND(#REF!,"AAAAADv+2wc=")</f>
        <v>#REF!</v>
      </c>
      <c r="I66" t="e">
        <f>AND(#REF!,"AAAAADv+2wg=")</f>
        <v>#REF!</v>
      </c>
      <c r="J66" t="e">
        <f>AND(#REF!,"AAAAADv+2wk=")</f>
        <v>#REF!</v>
      </c>
      <c r="K66" t="e">
        <f>AND(#REF!,"AAAAADv+2wo=")</f>
        <v>#REF!</v>
      </c>
      <c r="L66" t="e">
        <f>AND(#REF!,"AAAAADv+2ws=")</f>
        <v>#REF!</v>
      </c>
      <c r="M66" t="e">
        <f>AND(#REF!,"AAAAADv+2ww=")</f>
        <v>#REF!</v>
      </c>
      <c r="N66" t="e">
        <f>AND(#REF!,"AAAAADv+2w0=")</f>
        <v>#REF!</v>
      </c>
      <c r="O66" t="e">
        <f>AND(#REF!,"AAAAADv+2w4=")</f>
        <v>#REF!</v>
      </c>
      <c r="P66" t="e">
        <f>AND(#REF!,"AAAAADv+2w8=")</f>
        <v>#REF!</v>
      </c>
      <c r="Q66" t="e">
        <f>AND(#REF!,"AAAAADv+2xA=")</f>
        <v>#REF!</v>
      </c>
      <c r="R66" t="e">
        <f>AND(#REF!,"AAAAADv+2xE=")</f>
        <v>#REF!</v>
      </c>
      <c r="S66" t="e">
        <f>AND(#REF!,"AAAAADv+2xI=")</f>
        <v>#REF!</v>
      </c>
      <c r="T66" t="e">
        <f>AND(#REF!,"AAAAADv+2xM=")</f>
        <v>#REF!</v>
      </c>
      <c r="U66" t="e">
        <f>AND(#REF!,"AAAAADv+2xQ=")</f>
        <v>#REF!</v>
      </c>
      <c r="V66" t="e">
        <f>AND(#REF!,"AAAAADv+2xU=")</f>
        <v>#REF!</v>
      </c>
      <c r="W66" t="e">
        <f>AND(#REF!,"AAAAADv+2xY=")</f>
        <v>#REF!</v>
      </c>
      <c r="X66" t="e">
        <f>AND(#REF!,"AAAAADv+2xc=")</f>
        <v>#REF!</v>
      </c>
      <c r="Y66" t="e">
        <f>AND(#REF!,"AAAAADv+2xg=")</f>
        <v>#REF!</v>
      </c>
      <c r="Z66" t="e">
        <f>AND(#REF!,"AAAAADv+2xk=")</f>
        <v>#REF!</v>
      </c>
      <c r="AA66" t="e">
        <f>AND(#REF!,"AAAAADv+2xo=")</f>
        <v>#REF!</v>
      </c>
      <c r="AB66" t="e">
        <f>AND(#REF!,"AAAAADv+2xs=")</f>
        <v>#REF!</v>
      </c>
      <c r="AC66" t="e">
        <f>AND(#REF!,"AAAAADv+2xw=")</f>
        <v>#REF!</v>
      </c>
      <c r="AD66" t="e">
        <f>AND(#REF!,"AAAAADv+2x0=")</f>
        <v>#REF!</v>
      </c>
      <c r="AE66" t="e">
        <f>AND(#REF!,"AAAAADv+2x4=")</f>
        <v>#REF!</v>
      </c>
      <c r="AF66" t="e">
        <f>AND(#REF!,"AAAAADv+2x8=")</f>
        <v>#REF!</v>
      </c>
      <c r="AG66" t="e">
        <f>AND(#REF!,"AAAAADv+2yA=")</f>
        <v>#REF!</v>
      </c>
      <c r="AH66" t="e">
        <f>AND(#REF!,"AAAAADv+2yE=")</f>
        <v>#REF!</v>
      </c>
      <c r="AI66" t="e">
        <f>AND(#REF!,"AAAAADv+2yI=")</f>
        <v>#REF!</v>
      </c>
      <c r="AJ66" t="e">
        <f>AND(#REF!,"AAAAADv+2yM=")</f>
        <v>#REF!</v>
      </c>
      <c r="AK66" t="e">
        <f>IF(#REF!,"AAAAADv+2yQ=",0)</f>
        <v>#REF!</v>
      </c>
      <c r="AL66" t="e">
        <f>AND(#REF!,"AAAAADv+2yU=")</f>
        <v>#REF!</v>
      </c>
      <c r="AM66" t="e">
        <f>AND(#REF!,"AAAAADv+2yY=")</f>
        <v>#REF!</v>
      </c>
      <c r="AN66" t="e">
        <f>AND(#REF!,"AAAAADv+2yc=")</f>
        <v>#REF!</v>
      </c>
      <c r="AO66" t="e">
        <f>AND(#REF!,"AAAAADv+2yg=")</f>
        <v>#REF!</v>
      </c>
      <c r="AP66" t="e">
        <f>AND(#REF!,"AAAAADv+2yk=")</f>
        <v>#REF!</v>
      </c>
      <c r="AQ66" t="e">
        <f>AND(#REF!,"AAAAADv+2yo=")</f>
        <v>#REF!</v>
      </c>
      <c r="AR66" t="e">
        <f>AND(#REF!,"AAAAADv+2ys=")</f>
        <v>#REF!</v>
      </c>
      <c r="AS66" t="e">
        <f>AND(#REF!,"AAAAADv+2yw=")</f>
        <v>#REF!</v>
      </c>
      <c r="AT66" t="e">
        <f>AND(#REF!,"AAAAADv+2y0=")</f>
        <v>#REF!</v>
      </c>
      <c r="AU66" t="e">
        <f>AND(#REF!,"AAAAADv+2y4=")</f>
        <v>#REF!</v>
      </c>
      <c r="AV66" t="e">
        <f>AND(#REF!,"AAAAADv+2y8=")</f>
        <v>#REF!</v>
      </c>
      <c r="AW66" t="e">
        <f>AND(#REF!,"AAAAADv+2zA=")</f>
        <v>#REF!</v>
      </c>
      <c r="AX66" t="e">
        <f>AND(#REF!,"AAAAADv+2zE=")</f>
        <v>#REF!</v>
      </c>
      <c r="AY66" t="e">
        <f>AND(#REF!,"AAAAADv+2zI=")</f>
        <v>#REF!</v>
      </c>
      <c r="AZ66" t="e">
        <f>AND(#REF!,"AAAAADv+2zM=")</f>
        <v>#REF!</v>
      </c>
      <c r="BA66" t="e">
        <f>AND(#REF!,"AAAAADv+2zQ=")</f>
        <v>#REF!</v>
      </c>
      <c r="BB66" t="e">
        <f>AND(#REF!,"AAAAADv+2zU=")</f>
        <v>#REF!</v>
      </c>
      <c r="BC66" t="e">
        <f>AND(#REF!,"AAAAADv+2zY=")</f>
        <v>#REF!</v>
      </c>
      <c r="BD66" t="e">
        <f>AND(#REF!,"AAAAADv+2zc=")</f>
        <v>#REF!</v>
      </c>
      <c r="BE66" t="e">
        <f>AND(#REF!,"AAAAADv+2zg=")</f>
        <v>#REF!</v>
      </c>
      <c r="BF66" t="e">
        <f>AND(#REF!,"AAAAADv+2zk=")</f>
        <v>#REF!</v>
      </c>
      <c r="BG66" t="e">
        <f>AND(#REF!,"AAAAADv+2zo=")</f>
        <v>#REF!</v>
      </c>
      <c r="BH66" t="e">
        <f>AND(#REF!,"AAAAADv+2zs=")</f>
        <v>#REF!</v>
      </c>
      <c r="BI66" t="e">
        <f>AND(#REF!,"AAAAADv+2zw=")</f>
        <v>#REF!</v>
      </c>
      <c r="BJ66" t="e">
        <f>AND(#REF!,"AAAAADv+2z0=")</f>
        <v>#REF!</v>
      </c>
      <c r="BK66" t="e">
        <f>AND(#REF!,"AAAAADv+2z4=")</f>
        <v>#REF!</v>
      </c>
      <c r="BL66" t="e">
        <f>AND(#REF!,"AAAAADv+2z8=")</f>
        <v>#REF!</v>
      </c>
      <c r="BM66" t="e">
        <f>AND(#REF!,"AAAAADv+20A=")</f>
        <v>#REF!</v>
      </c>
      <c r="BN66" t="e">
        <f>AND(#REF!,"AAAAADv+20E=")</f>
        <v>#REF!</v>
      </c>
      <c r="BO66" t="e">
        <f>AND(#REF!,"AAAAADv+20I=")</f>
        <v>#REF!</v>
      </c>
      <c r="BP66" t="e">
        <f>AND(#REF!,"AAAAADv+20M=")</f>
        <v>#REF!</v>
      </c>
      <c r="BQ66" t="e">
        <f>AND(#REF!,"AAAAADv+20Q=")</f>
        <v>#REF!</v>
      </c>
      <c r="BR66" t="e">
        <f>AND(#REF!,"AAAAADv+20U=")</f>
        <v>#REF!</v>
      </c>
      <c r="BS66" t="e">
        <f>AND(#REF!,"AAAAADv+20Y=")</f>
        <v>#REF!</v>
      </c>
      <c r="BT66" t="e">
        <f>AND(#REF!,"AAAAADv+20c=")</f>
        <v>#REF!</v>
      </c>
      <c r="BU66" t="e">
        <f>AND(#REF!,"AAAAADv+20g=")</f>
        <v>#REF!</v>
      </c>
      <c r="BV66" t="e">
        <f>AND(#REF!,"AAAAADv+20k=")</f>
        <v>#REF!</v>
      </c>
      <c r="BW66" t="e">
        <f>AND(#REF!,"AAAAADv+20o=")</f>
        <v>#REF!</v>
      </c>
      <c r="BX66" t="e">
        <f>AND(#REF!,"AAAAADv+20s=")</f>
        <v>#REF!</v>
      </c>
      <c r="BY66" t="e">
        <f>AND(#REF!,"AAAAADv+20w=")</f>
        <v>#REF!</v>
      </c>
      <c r="BZ66" t="e">
        <f>AND(#REF!,"AAAAADv+200=")</f>
        <v>#REF!</v>
      </c>
      <c r="CA66" t="e">
        <f>AND(#REF!,"AAAAADv+204=")</f>
        <v>#REF!</v>
      </c>
      <c r="CB66" t="e">
        <f>AND(#REF!,"AAAAADv+208=")</f>
        <v>#REF!</v>
      </c>
      <c r="CC66" t="e">
        <f>IF(#REF!,"AAAAADv+21A=",0)</f>
        <v>#REF!</v>
      </c>
      <c r="CD66" t="e">
        <f>AND(#REF!,"AAAAADv+21E=")</f>
        <v>#REF!</v>
      </c>
      <c r="CE66" t="e">
        <f>AND(#REF!,"AAAAADv+21I=")</f>
        <v>#REF!</v>
      </c>
      <c r="CF66" t="e">
        <f>AND(#REF!,"AAAAADv+21M=")</f>
        <v>#REF!</v>
      </c>
      <c r="CG66" t="e">
        <f>AND(#REF!,"AAAAADv+21Q=")</f>
        <v>#REF!</v>
      </c>
      <c r="CH66" t="e">
        <f>AND(#REF!,"AAAAADv+21U=")</f>
        <v>#REF!</v>
      </c>
      <c r="CI66" t="e">
        <f>AND(#REF!,"AAAAADv+21Y=")</f>
        <v>#REF!</v>
      </c>
      <c r="CJ66" t="e">
        <f>AND(#REF!,"AAAAADv+21c=")</f>
        <v>#REF!</v>
      </c>
      <c r="CK66" t="e">
        <f>AND(#REF!,"AAAAADv+21g=")</f>
        <v>#REF!</v>
      </c>
      <c r="CL66" t="e">
        <f>AND(#REF!,"AAAAADv+21k=")</f>
        <v>#REF!</v>
      </c>
      <c r="CM66" t="e">
        <f>AND(#REF!,"AAAAADv+21o=")</f>
        <v>#REF!</v>
      </c>
      <c r="CN66" t="e">
        <f>AND(#REF!,"AAAAADv+21s=")</f>
        <v>#REF!</v>
      </c>
      <c r="CO66" t="e">
        <f>AND(#REF!,"AAAAADv+21w=")</f>
        <v>#REF!</v>
      </c>
      <c r="CP66" t="e">
        <f>AND(#REF!,"AAAAADv+210=")</f>
        <v>#REF!</v>
      </c>
      <c r="CQ66" t="e">
        <f>AND(#REF!,"AAAAADv+214=")</f>
        <v>#REF!</v>
      </c>
      <c r="CR66" t="e">
        <f>AND(#REF!,"AAAAADv+218=")</f>
        <v>#REF!</v>
      </c>
      <c r="CS66" t="e">
        <f>AND(#REF!,"AAAAADv+22A=")</f>
        <v>#REF!</v>
      </c>
      <c r="CT66" t="e">
        <f>AND(#REF!,"AAAAADv+22E=")</f>
        <v>#REF!</v>
      </c>
      <c r="CU66" t="e">
        <f>AND(#REF!,"AAAAADv+22I=")</f>
        <v>#REF!</v>
      </c>
      <c r="CV66" t="e">
        <f>AND(#REF!,"AAAAADv+22M=")</f>
        <v>#REF!</v>
      </c>
      <c r="CW66" t="e">
        <f>AND(#REF!,"AAAAADv+22Q=")</f>
        <v>#REF!</v>
      </c>
      <c r="CX66" t="e">
        <f>AND(#REF!,"AAAAADv+22U=")</f>
        <v>#REF!</v>
      </c>
      <c r="CY66" t="e">
        <f>AND(#REF!,"AAAAADv+22Y=")</f>
        <v>#REF!</v>
      </c>
      <c r="CZ66" t="e">
        <f>AND(#REF!,"AAAAADv+22c=")</f>
        <v>#REF!</v>
      </c>
      <c r="DA66" t="e">
        <f>AND(#REF!,"AAAAADv+22g=")</f>
        <v>#REF!</v>
      </c>
      <c r="DB66" t="e">
        <f>AND(#REF!,"AAAAADv+22k=")</f>
        <v>#REF!</v>
      </c>
      <c r="DC66" t="e">
        <f>AND(#REF!,"AAAAADv+22o=")</f>
        <v>#REF!</v>
      </c>
      <c r="DD66" t="e">
        <f>AND(#REF!,"AAAAADv+22s=")</f>
        <v>#REF!</v>
      </c>
      <c r="DE66" t="e">
        <f>AND(#REF!,"AAAAADv+22w=")</f>
        <v>#REF!</v>
      </c>
      <c r="DF66" t="e">
        <f>AND(#REF!,"AAAAADv+220=")</f>
        <v>#REF!</v>
      </c>
      <c r="DG66" t="e">
        <f>AND(#REF!,"AAAAADv+224=")</f>
        <v>#REF!</v>
      </c>
      <c r="DH66" t="e">
        <f>AND(#REF!,"AAAAADv+228=")</f>
        <v>#REF!</v>
      </c>
      <c r="DI66" t="e">
        <f>AND(#REF!,"AAAAADv+23A=")</f>
        <v>#REF!</v>
      </c>
      <c r="DJ66" t="e">
        <f>AND(#REF!,"AAAAADv+23E=")</f>
        <v>#REF!</v>
      </c>
      <c r="DK66" t="e">
        <f>AND(#REF!,"AAAAADv+23I=")</f>
        <v>#REF!</v>
      </c>
      <c r="DL66" t="e">
        <f>AND(#REF!,"AAAAADv+23M=")</f>
        <v>#REF!</v>
      </c>
      <c r="DM66" t="e">
        <f>AND(#REF!,"AAAAADv+23Q=")</f>
        <v>#REF!</v>
      </c>
      <c r="DN66" t="e">
        <f>AND(#REF!,"AAAAADv+23U=")</f>
        <v>#REF!</v>
      </c>
      <c r="DO66" t="e">
        <f>AND(#REF!,"AAAAADv+23Y=")</f>
        <v>#REF!</v>
      </c>
      <c r="DP66" t="e">
        <f>AND(#REF!,"AAAAADv+23c=")</f>
        <v>#REF!</v>
      </c>
      <c r="DQ66" t="e">
        <f>AND(#REF!,"AAAAADv+23g=")</f>
        <v>#REF!</v>
      </c>
      <c r="DR66" t="e">
        <f>AND(#REF!,"AAAAADv+23k=")</f>
        <v>#REF!</v>
      </c>
      <c r="DS66" t="e">
        <f>AND(#REF!,"AAAAADv+23o=")</f>
        <v>#REF!</v>
      </c>
      <c r="DT66" t="e">
        <f>AND(#REF!,"AAAAADv+23s=")</f>
        <v>#REF!</v>
      </c>
      <c r="DU66" t="e">
        <f>IF(#REF!,"AAAAADv+23w=",0)</f>
        <v>#REF!</v>
      </c>
      <c r="DV66" t="e">
        <f>AND(#REF!,"AAAAADv+230=")</f>
        <v>#REF!</v>
      </c>
      <c r="DW66" t="e">
        <f>AND(#REF!,"AAAAADv+234=")</f>
        <v>#REF!</v>
      </c>
      <c r="DX66" t="e">
        <f>AND(#REF!,"AAAAADv+238=")</f>
        <v>#REF!</v>
      </c>
      <c r="DY66" t="e">
        <f>AND(#REF!,"AAAAADv+24A=")</f>
        <v>#REF!</v>
      </c>
      <c r="DZ66" t="e">
        <f>AND(#REF!,"AAAAADv+24E=")</f>
        <v>#REF!</v>
      </c>
      <c r="EA66" t="e">
        <f>AND(#REF!,"AAAAADv+24I=")</f>
        <v>#REF!</v>
      </c>
      <c r="EB66" t="e">
        <f>AND(#REF!,"AAAAADv+24M=")</f>
        <v>#REF!</v>
      </c>
      <c r="EC66" t="e">
        <f>AND(#REF!,"AAAAADv+24Q=")</f>
        <v>#REF!</v>
      </c>
      <c r="ED66" t="e">
        <f>AND(#REF!,"AAAAADv+24U=")</f>
        <v>#REF!</v>
      </c>
      <c r="EE66" t="e">
        <f>AND(#REF!,"AAAAADv+24Y=")</f>
        <v>#REF!</v>
      </c>
      <c r="EF66" t="e">
        <f>AND(#REF!,"AAAAADv+24c=")</f>
        <v>#REF!</v>
      </c>
      <c r="EG66" t="e">
        <f>AND(#REF!,"AAAAADv+24g=")</f>
        <v>#REF!</v>
      </c>
      <c r="EH66" t="e">
        <f>AND(#REF!,"AAAAADv+24k=")</f>
        <v>#REF!</v>
      </c>
      <c r="EI66" t="e">
        <f>AND(#REF!,"AAAAADv+24o=")</f>
        <v>#REF!</v>
      </c>
      <c r="EJ66" t="e">
        <f>AND(#REF!,"AAAAADv+24s=")</f>
        <v>#REF!</v>
      </c>
      <c r="EK66" t="e">
        <f>AND(#REF!,"AAAAADv+24w=")</f>
        <v>#REF!</v>
      </c>
      <c r="EL66" t="e">
        <f>AND(#REF!,"AAAAADv+240=")</f>
        <v>#REF!</v>
      </c>
      <c r="EM66" t="e">
        <f>AND(#REF!,"AAAAADv+244=")</f>
        <v>#REF!</v>
      </c>
      <c r="EN66" t="e">
        <f>AND(#REF!,"AAAAADv+248=")</f>
        <v>#REF!</v>
      </c>
      <c r="EO66" t="e">
        <f>AND(#REF!,"AAAAADv+25A=")</f>
        <v>#REF!</v>
      </c>
      <c r="EP66" t="e">
        <f>AND(#REF!,"AAAAADv+25E=")</f>
        <v>#REF!</v>
      </c>
      <c r="EQ66" t="e">
        <f>AND(#REF!,"AAAAADv+25I=")</f>
        <v>#REF!</v>
      </c>
      <c r="ER66" t="e">
        <f>AND(#REF!,"AAAAADv+25M=")</f>
        <v>#REF!</v>
      </c>
      <c r="ES66" t="e">
        <f>AND(#REF!,"AAAAADv+25Q=")</f>
        <v>#REF!</v>
      </c>
      <c r="ET66" t="e">
        <f>AND(#REF!,"AAAAADv+25U=")</f>
        <v>#REF!</v>
      </c>
      <c r="EU66" t="e">
        <f>AND(#REF!,"AAAAADv+25Y=")</f>
        <v>#REF!</v>
      </c>
      <c r="EV66" t="e">
        <f>AND(#REF!,"AAAAADv+25c=")</f>
        <v>#REF!</v>
      </c>
      <c r="EW66" t="e">
        <f>AND(#REF!,"AAAAADv+25g=")</f>
        <v>#REF!</v>
      </c>
      <c r="EX66" t="e">
        <f>AND(#REF!,"AAAAADv+25k=")</f>
        <v>#REF!</v>
      </c>
      <c r="EY66" t="e">
        <f>AND(#REF!,"AAAAADv+25o=")</f>
        <v>#REF!</v>
      </c>
      <c r="EZ66" t="e">
        <f>AND(#REF!,"AAAAADv+25s=")</f>
        <v>#REF!</v>
      </c>
      <c r="FA66" t="e">
        <f>AND(#REF!,"AAAAADv+25w=")</f>
        <v>#REF!</v>
      </c>
      <c r="FB66" t="e">
        <f>AND(#REF!,"AAAAADv+250=")</f>
        <v>#REF!</v>
      </c>
      <c r="FC66" t="e">
        <f>AND(#REF!,"AAAAADv+254=")</f>
        <v>#REF!</v>
      </c>
      <c r="FD66" t="e">
        <f>AND(#REF!,"AAAAADv+258=")</f>
        <v>#REF!</v>
      </c>
      <c r="FE66" t="e">
        <f>AND(#REF!,"AAAAADv+26A=")</f>
        <v>#REF!</v>
      </c>
      <c r="FF66" t="e">
        <f>AND(#REF!,"AAAAADv+26E=")</f>
        <v>#REF!</v>
      </c>
      <c r="FG66" t="e">
        <f>AND(#REF!,"AAAAADv+26I=")</f>
        <v>#REF!</v>
      </c>
      <c r="FH66" t="e">
        <f>AND(#REF!,"AAAAADv+26M=")</f>
        <v>#REF!</v>
      </c>
      <c r="FI66" t="e">
        <f>AND(#REF!,"AAAAADv+26Q=")</f>
        <v>#REF!</v>
      </c>
      <c r="FJ66" t="e">
        <f>AND(#REF!,"AAAAADv+26U=")</f>
        <v>#REF!</v>
      </c>
      <c r="FK66" t="e">
        <f>AND(#REF!,"AAAAADv+26Y=")</f>
        <v>#REF!</v>
      </c>
      <c r="FL66" t="e">
        <f>AND(#REF!,"AAAAADv+26c=")</f>
        <v>#REF!</v>
      </c>
      <c r="FM66" t="e">
        <f>IF(#REF!,"AAAAADv+26g=",0)</f>
        <v>#REF!</v>
      </c>
      <c r="FN66" t="e">
        <f>AND(#REF!,"AAAAADv+26k=")</f>
        <v>#REF!</v>
      </c>
      <c r="FO66" t="e">
        <f>AND(#REF!,"AAAAADv+26o=")</f>
        <v>#REF!</v>
      </c>
      <c r="FP66" t="e">
        <f>AND(#REF!,"AAAAADv+26s=")</f>
        <v>#REF!</v>
      </c>
      <c r="FQ66" t="e">
        <f>AND(#REF!,"AAAAADv+26w=")</f>
        <v>#REF!</v>
      </c>
      <c r="FR66" t="e">
        <f>AND(#REF!,"AAAAADv+260=")</f>
        <v>#REF!</v>
      </c>
      <c r="FS66" t="e">
        <f>AND(#REF!,"AAAAADv+264=")</f>
        <v>#REF!</v>
      </c>
      <c r="FT66" t="e">
        <f>AND(#REF!,"AAAAADv+268=")</f>
        <v>#REF!</v>
      </c>
      <c r="FU66" t="e">
        <f>AND(#REF!,"AAAAADv+27A=")</f>
        <v>#REF!</v>
      </c>
      <c r="FV66" t="e">
        <f>AND(#REF!,"AAAAADv+27E=")</f>
        <v>#REF!</v>
      </c>
      <c r="FW66" t="e">
        <f>AND(#REF!,"AAAAADv+27I=")</f>
        <v>#REF!</v>
      </c>
      <c r="FX66" t="e">
        <f>AND(#REF!,"AAAAADv+27M=")</f>
        <v>#REF!</v>
      </c>
      <c r="FY66" t="e">
        <f>AND(#REF!,"AAAAADv+27Q=")</f>
        <v>#REF!</v>
      </c>
      <c r="FZ66" t="e">
        <f>AND(#REF!,"AAAAADv+27U=")</f>
        <v>#REF!</v>
      </c>
      <c r="GA66" t="e">
        <f>AND(#REF!,"AAAAADv+27Y=")</f>
        <v>#REF!</v>
      </c>
      <c r="GB66" t="e">
        <f>AND(#REF!,"AAAAADv+27c=")</f>
        <v>#REF!</v>
      </c>
      <c r="GC66" t="e">
        <f>AND(#REF!,"AAAAADv+27g=")</f>
        <v>#REF!</v>
      </c>
      <c r="GD66" t="e">
        <f>AND(#REF!,"AAAAADv+27k=")</f>
        <v>#REF!</v>
      </c>
      <c r="GE66" t="e">
        <f>AND(#REF!,"AAAAADv+27o=")</f>
        <v>#REF!</v>
      </c>
      <c r="GF66" t="e">
        <f>AND(#REF!,"AAAAADv+27s=")</f>
        <v>#REF!</v>
      </c>
      <c r="GG66" t="e">
        <f>AND(#REF!,"AAAAADv+27w=")</f>
        <v>#REF!</v>
      </c>
      <c r="GH66" t="e">
        <f>AND(#REF!,"AAAAADv+270=")</f>
        <v>#REF!</v>
      </c>
      <c r="GI66" t="e">
        <f>AND(#REF!,"AAAAADv+274=")</f>
        <v>#REF!</v>
      </c>
      <c r="GJ66" t="e">
        <f>AND(#REF!,"AAAAADv+278=")</f>
        <v>#REF!</v>
      </c>
      <c r="GK66" t="e">
        <f>AND(#REF!,"AAAAADv+28A=")</f>
        <v>#REF!</v>
      </c>
      <c r="GL66" t="e">
        <f>AND(#REF!,"AAAAADv+28E=")</f>
        <v>#REF!</v>
      </c>
      <c r="GM66" t="e">
        <f>AND(#REF!,"AAAAADv+28I=")</f>
        <v>#REF!</v>
      </c>
      <c r="GN66" t="e">
        <f>AND(#REF!,"AAAAADv+28M=")</f>
        <v>#REF!</v>
      </c>
      <c r="GO66" t="e">
        <f>AND(#REF!,"AAAAADv+28Q=")</f>
        <v>#REF!</v>
      </c>
      <c r="GP66" t="e">
        <f>AND(#REF!,"AAAAADv+28U=")</f>
        <v>#REF!</v>
      </c>
      <c r="GQ66" t="e">
        <f>AND(#REF!,"AAAAADv+28Y=")</f>
        <v>#REF!</v>
      </c>
      <c r="GR66" t="e">
        <f>AND(#REF!,"AAAAADv+28c=")</f>
        <v>#REF!</v>
      </c>
      <c r="GS66" t="e">
        <f>AND(#REF!,"AAAAADv+28g=")</f>
        <v>#REF!</v>
      </c>
      <c r="GT66" t="e">
        <f>AND(#REF!,"AAAAADv+28k=")</f>
        <v>#REF!</v>
      </c>
      <c r="GU66" t="e">
        <f>AND(#REF!,"AAAAADv+28o=")</f>
        <v>#REF!</v>
      </c>
      <c r="GV66" t="e">
        <f>AND(#REF!,"AAAAADv+28s=")</f>
        <v>#REF!</v>
      </c>
      <c r="GW66" t="e">
        <f>AND(#REF!,"AAAAADv+28w=")</f>
        <v>#REF!</v>
      </c>
      <c r="GX66" t="e">
        <f>AND(#REF!,"AAAAADv+280=")</f>
        <v>#REF!</v>
      </c>
      <c r="GY66" t="e">
        <f>AND(#REF!,"AAAAADv+284=")</f>
        <v>#REF!</v>
      </c>
      <c r="GZ66" t="e">
        <f>AND(#REF!,"AAAAADv+288=")</f>
        <v>#REF!</v>
      </c>
      <c r="HA66" t="e">
        <f>AND(#REF!,"AAAAADv+29A=")</f>
        <v>#REF!</v>
      </c>
      <c r="HB66" t="e">
        <f>AND(#REF!,"AAAAADv+29E=")</f>
        <v>#REF!</v>
      </c>
      <c r="HC66" t="e">
        <f>AND(#REF!,"AAAAADv+29I=")</f>
        <v>#REF!</v>
      </c>
      <c r="HD66" t="e">
        <f>AND(#REF!,"AAAAADv+29M=")</f>
        <v>#REF!</v>
      </c>
      <c r="HE66" t="e">
        <f>IF(#REF!,"AAAAADv+29Q=",0)</f>
        <v>#REF!</v>
      </c>
      <c r="HF66" t="e">
        <f>AND(#REF!,"AAAAADv+29U=")</f>
        <v>#REF!</v>
      </c>
      <c r="HG66" t="e">
        <f>AND(#REF!,"AAAAADv+29Y=")</f>
        <v>#REF!</v>
      </c>
      <c r="HH66" t="e">
        <f>AND(#REF!,"AAAAADv+29c=")</f>
        <v>#REF!</v>
      </c>
      <c r="HI66" t="e">
        <f>AND(#REF!,"AAAAADv+29g=")</f>
        <v>#REF!</v>
      </c>
      <c r="HJ66" t="e">
        <f>AND(#REF!,"AAAAADv+29k=")</f>
        <v>#REF!</v>
      </c>
      <c r="HK66" t="e">
        <f>AND(#REF!,"AAAAADv+29o=")</f>
        <v>#REF!</v>
      </c>
      <c r="HL66" t="e">
        <f>AND(#REF!,"AAAAADv+29s=")</f>
        <v>#REF!</v>
      </c>
      <c r="HM66" t="e">
        <f>AND(#REF!,"AAAAADv+29w=")</f>
        <v>#REF!</v>
      </c>
      <c r="HN66" t="e">
        <f>AND(#REF!,"AAAAADv+290=")</f>
        <v>#REF!</v>
      </c>
      <c r="HO66" t="e">
        <f>AND(#REF!,"AAAAADv+294=")</f>
        <v>#REF!</v>
      </c>
      <c r="HP66" t="e">
        <f>AND(#REF!,"AAAAADv+298=")</f>
        <v>#REF!</v>
      </c>
      <c r="HQ66" t="e">
        <f>AND(#REF!,"AAAAADv+2+A=")</f>
        <v>#REF!</v>
      </c>
      <c r="HR66" t="e">
        <f>AND(#REF!,"AAAAADv+2+E=")</f>
        <v>#REF!</v>
      </c>
      <c r="HS66" t="e">
        <f>AND(#REF!,"AAAAADv+2+I=")</f>
        <v>#REF!</v>
      </c>
      <c r="HT66" t="e">
        <f>AND(#REF!,"AAAAADv+2+M=")</f>
        <v>#REF!</v>
      </c>
      <c r="HU66" t="e">
        <f>AND(#REF!,"AAAAADv+2+Q=")</f>
        <v>#REF!</v>
      </c>
      <c r="HV66" t="e">
        <f>AND(#REF!,"AAAAADv+2+U=")</f>
        <v>#REF!</v>
      </c>
      <c r="HW66" t="e">
        <f>AND(#REF!,"AAAAADv+2+Y=")</f>
        <v>#REF!</v>
      </c>
      <c r="HX66" t="e">
        <f>AND(#REF!,"AAAAADv+2+c=")</f>
        <v>#REF!</v>
      </c>
      <c r="HY66" t="e">
        <f>AND(#REF!,"AAAAADv+2+g=")</f>
        <v>#REF!</v>
      </c>
      <c r="HZ66" t="e">
        <f>AND(#REF!,"AAAAADv+2+k=")</f>
        <v>#REF!</v>
      </c>
      <c r="IA66" t="e">
        <f>AND(#REF!,"AAAAADv+2+o=")</f>
        <v>#REF!</v>
      </c>
      <c r="IB66" t="e">
        <f>AND(#REF!,"AAAAADv+2+s=")</f>
        <v>#REF!</v>
      </c>
      <c r="IC66" t="e">
        <f>AND(#REF!,"AAAAADv+2+w=")</f>
        <v>#REF!</v>
      </c>
      <c r="ID66" t="e">
        <f>AND(#REF!,"AAAAADv+2+0=")</f>
        <v>#REF!</v>
      </c>
      <c r="IE66" t="e">
        <f>AND(#REF!,"AAAAADv+2+4=")</f>
        <v>#REF!</v>
      </c>
      <c r="IF66" t="e">
        <f>AND(#REF!,"AAAAADv+2+8=")</f>
        <v>#REF!</v>
      </c>
      <c r="IG66" t="e">
        <f>AND(#REF!,"AAAAADv+2/A=")</f>
        <v>#REF!</v>
      </c>
      <c r="IH66" t="e">
        <f>AND(#REF!,"AAAAADv+2/E=")</f>
        <v>#REF!</v>
      </c>
      <c r="II66" t="e">
        <f>AND(#REF!,"AAAAADv+2/I=")</f>
        <v>#REF!</v>
      </c>
      <c r="IJ66" t="e">
        <f>AND(#REF!,"AAAAADv+2/M=")</f>
        <v>#REF!</v>
      </c>
      <c r="IK66" t="e">
        <f>AND(#REF!,"AAAAADv+2/Q=")</f>
        <v>#REF!</v>
      </c>
      <c r="IL66" t="e">
        <f>AND(#REF!,"AAAAADv+2/U=")</f>
        <v>#REF!</v>
      </c>
      <c r="IM66" t="e">
        <f>AND(#REF!,"AAAAADv+2/Y=")</f>
        <v>#REF!</v>
      </c>
      <c r="IN66" t="e">
        <f>AND(#REF!,"AAAAADv+2/c=")</f>
        <v>#REF!</v>
      </c>
      <c r="IO66" t="e">
        <f>AND(#REF!,"AAAAADv+2/g=")</f>
        <v>#REF!</v>
      </c>
      <c r="IP66" t="e">
        <f>AND(#REF!,"AAAAADv+2/k=")</f>
        <v>#REF!</v>
      </c>
      <c r="IQ66" t="e">
        <f>AND(#REF!,"AAAAADv+2/o=")</f>
        <v>#REF!</v>
      </c>
      <c r="IR66" t="e">
        <f>AND(#REF!,"AAAAADv+2/s=")</f>
        <v>#REF!</v>
      </c>
      <c r="IS66" t="e">
        <f>AND(#REF!,"AAAAADv+2/w=")</f>
        <v>#REF!</v>
      </c>
      <c r="IT66" t="e">
        <f>AND(#REF!,"AAAAADv+2/0=")</f>
        <v>#REF!</v>
      </c>
      <c r="IU66" t="e">
        <f>AND(#REF!,"AAAAADv+2/4=")</f>
        <v>#REF!</v>
      </c>
      <c r="IV66" t="e">
        <f>AND(#REF!,"AAAAADv+2/8=")</f>
        <v>#REF!</v>
      </c>
    </row>
    <row r="67" spans="1:256" x14ac:dyDescent="0.25">
      <c r="A67" t="e">
        <f>IF(#REF!,"AAAAAGvp7QA=",0)</f>
        <v>#REF!</v>
      </c>
      <c r="B67" t="e">
        <f>AND(#REF!,"AAAAAGvp7QE=")</f>
        <v>#REF!</v>
      </c>
      <c r="C67" t="e">
        <f>AND(#REF!,"AAAAAGvp7QI=")</f>
        <v>#REF!</v>
      </c>
      <c r="D67" t="e">
        <f>AND(#REF!,"AAAAAGvp7QM=")</f>
        <v>#REF!</v>
      </c>
      <c r="E67" t="e">
        <f>AND(#REF!,"AAAAAGvp7QQ=")</f>
        <v>#REF!</v>
      </c>
      <c r="F67" t="e">
        <f>AND(#REF!,"AAAAAGvp7QU=")</f>
        <v>#REF!</v>
      </c>
      <c r="G67" t="e">
        <f>AND(#REF!,"AAAAAGvp7QY=")</f>
        <v>#REF!</v>
      </c>
      <c r="H67" t="e">
        <f>AND(#REF!,"AAAAAGvp7Qc=")</f>
        <v>#REF!</v>
      </c>
      <c r="I67" t="e">
        <f>AND(#REF!,"AAAAAGvp7Qg=")</f>
        <v>#REF!</v>
      </c>
      <c r="J67" t="e">
        <f>AND(#REF!,"AAAAAGvp7Qk=")</f>
        <v>#REF!</v>
      </c>
      <c r="K67" t="e">
        <f>AND(#REF!,"AAAAAGvp7Qo=")</f>
        <v>#REF!</v>
      </c>
      <c r="L67" t="e">
        <f>AND(#REF!,"AAAAAGvp7Qs=")</f>
        <v>#REF!</v>
      </c>
      <c r="M67" t="e">
        <f>AND(#REF!,"AAAAAGvp7Qw=")</f>
        <v>#REF!</v>
      </c>
      <c r="N67" t="e">
        <f>AND(#REF!,"AAAAAGvp7Q0=")</f>
        <v>#REF!</v>
      </c>
      <c r="O67" t="e">
        <f>AND(#REF!,"AAAAAGvp7Q4=")</f>
        <v>#REF!</v>
      </c>
      <c r="P67" t="e">
        <f>AND(#REF!,"AAAAAGvp7Q8=")</f>
        <v>#REF!</v>
      </c>
      <c r="Q67" t="e">
        <f>AND(#REF!,"AAAAAGvp7RA=")</f>
        <v>#REF!</v>
      </c>
      <c r="R67" t="e">
        <f>AND(#REF!,"AAAAAGvp7RE=")</f>
        <v>#REF!</v>
      </c>
      <c r="S67" t="e">
        <f>AND(#REF!,"AAAAAGvp7RI=")</f>
        <v>#REF!</v>
      </c>
      <c r="T67" t="e">
        <f>AND(#REF!,"AAAAAGvp7RM=")</f>
        <v>#REF!</v>
      </c>
      <c r="U67" t="e">
        <f>AND(#REF!,"AAAAAGvp7RQ=")</f>
        <v>#REF!</v>
      </c>
      <c r="V67" t="e">
        <f>AND(#REF!,"AAAAAGvp7RU=")</f>
        <v>#REF!</v>
      </c>
      <c r="W67" t="e">
        <f>AND(#REF!,"AAAAAGvp7RY=")</f>
        <v>#REF!</v>
      </c>
      <c r="X67" t="e">
        <f>AND(#REF!,"AAAAAGvp7Rc=")</f>
        <v>#REF!</v>
      </c>
      <c r="Y67" t="e">
        <f>AND(#REF!,"AAAAAGvp7Rg=")</f>
        <v>#REF!</v>
      </c>
      <c r="Z67" t="e">
        <f>AND(#REF!,"AAAAAGvp7Rk=")</f>
        <v>#REF!</v>
      </c>
      <c r="AA67" t="e">
        <f>AND(#REF!,"AAAAAGvp7Ro=")</f>
        <v>#REF!</v>
      </c>
      <c r="AB67" t="e">
        <f>AND(#REF!,"AAAAAGvp7Rs=")</f>
        <v>#REF!</v>
      </c>
      <c r="AC67" t="e">
        <f>AND(#REF!,"AAAAAGvp7Rw=")</f>
        <v>#REF!</v>
      </c>
      <c r="AD67" t="e">
        <f>AND(#REF!,"AAAAAGvp7R0=")</f>
        <v>#REF!</v>
      </c>
      <c r="AE67" t="e">
        <f>AND(#REF!,"AAAAAGvp7R4=")</f>
        <v>#REF!</v>
      </c>
      <c r="AF67" t="e">
        <f>AND(#REF!,"AAAAAGvp7R8=")</f>
        <v>#REF!</v>
      </c>
      <c r="AG67" t="e">
        <f>AND(#REF!,"AAAAAGvp7SA=")</f>
        <v>#REF!</v>
      </c>
      <c r="AH67" t="e">
        <f>AND(#REF!,"AAAAAGvp7SE=")</f>
        <v>#REF!</v>
      </c>
      <c r="AI67" t="e">
        <f>AND(#REF!,"AAAAAGvp7SI=")</f>
        <v>#REF!</v>
      </c>
      <c r="AJ67" t="e">
        <f>AND(#REF!,"AAAAAGvp7SM=")</f>
        <v>#REF!</v>
      </c>
      <c r="AK67" t="e">
        <f>AND(#REF!,"AAAAAGvp7SQ=")</f>
        <v>#REF!</v>
      </c>
      <c r="AL67" t="e">
        <f>AND(#REF!,"AAAAAGvp7SU=")</f>
        <v>#REF!</v>
      </c>
      <c r="AM67" t="e">
        <f>AND(#REF!,"AAAAAGvp7SY=")</f>
        <v>#REF!</v>
      </c>
      <c r="AN67" t="e">
        <f>AND(#REF!,"AAAAAGvp7Sc=")</f>
        <v>#REF!</v>
      </c>
      <c r="AO67" t="e">
        <f>AND(#REF!,"AAAAAGvp7Sg=")</f>
        <v>#REF!</v>
      </c>
      <c r="AP67" t="e">
        <f>AND(#REF!,"AAAAAGvp7Sk=")</f>
        <v>#REF!</v>
      </c>
      <c r="AQ67" t="e">
        <f>AND(#REF!,"AAAAAGvp7So=")</f>
        <v>#REF!</v>
      </c>
      <c r="AR67" t="e">
        <f>AND(#REF!,"AAAAAGvp7Ss=")</f>
        <v>#REF!</v>
      </c>
      <c r="AS67" t="e">
        <f>IF(#REF!,"AAAAAGvp7Sw=",0)</f>
        <v>#REF!</v>
      </c>
      <c r="AT67" t="e">
        <f>AND(#REF!,"AAAAAGvp7S0=")</f>
        <v>#REF!</v>
      </c>
      <c r="AU67" t="e">
        <f>AND(#REF!,"AAAAAGvp7S4=")</f>
        <v>#REF!</v>
      </c>
      <c r="AV67" t="e">
        <f>AND(#REF!,"AAAAAGvp7S8=")</f>
        <v>#REF!</v>
      </c>
      <c r="AW67" t="e">
        <f>AND(#REF!,"AAAAAGvp7TA=")</f>
        <v>#REF!</v>
      </c>
      <c r="AX67" t="e">
        <f>AND(#REF!,"AAAAAGvp7TE=")</f>
        <v>#REF!</v>
      </c>
      <c r="AY67" t="e">
        <f>AND(#REF!,"AAAAAGvp7TI=")</f>
        <v>#REF!</v>
      </c>
      <c r="AZ67" t="e">
        <f>AND(#REF!,"AAAAAGvp7TM=")</f>
        <v>#REF!</v>
      </c>
      <c r="BA67" t="e">
        <f>AND(#REF!,"AAAAAGvp7TQ=")</f>
        <v>#REF!</v>
      </c>
      <c r="BB67" t="e">
        <f>AND(#REF!,"AAAAAGvp7TU=")</f>
        <v>#REF!</v>
      </c>
      <c r="BC67" t="e">
        <f>AND(#REF!,"AAAAAGvp7TY=")</f>
        <v>#REF!</v>
      </c>
      <c r="BD67" t="e">
        <f>AND(#REF!,"AAAAAGvp7Tc=")</f>
        <v>#REF!</v>
      </c>
      <c r="BE67" t="e">
        <f>AND(#REF!,"AAAAAGvp7Tg=")</f>
        <v>#REF!</v>
      </c>
      <c r="BF67" t="e">
        <f>AND(#REF!,"AAAAAGvp7Tk=")</f>
        <v>#REF!</v>
      </c>
      <c r="BG67" t="e">
        <f>AND(#REF!,"AAAAAGvp7To=")</f>
        <v>#REF!</v>
      </c>
      <c r="BH67" t="e">
        <f>IF(#REF!,"AAAAAGvp7Ts=",0)</f>
        <v>#REF!</v>
      </c>
      <c r="BI67" t="e">
        <f>AND(#REF!,"AAAAAGvp7Tw=")</f>
        <v>#REF!</v>
      </c>
      <c r="BJ67" t="e">
        <f>AND(#REF!,"AAAAAGvp7T0=")</f>
        <v>#REF!</v>
      </c>
      <c r="BK67" t="e">
        <f>AND(#REF!,"AAAAAGvp7T4=")</f>
        <v>#REF!</v>
      </c>
      <c r="BL67" t="e">
        <f>AND(#REF!,"AAAAAGvp7T8=")</f>
        <v>#REF!</v>
      </c>
      <c r="BM67" t="e">
        <f>AND(#REF!,"AAAAAGvp7UA=")</f>
        <v>#REF!</v>
      </c>
      <c r="BN67" t="e">
        <f>AND(#REF!,"AAAAAGvp7UE=")</f>
        <v>#REF!</v>
      </c>
      <c r="BO67" t="e">
        <f>AND(#REF!,"AAAAAGvp7UI=")</f>
        <v>#REF!</v>
      </c>
      <c r="BP67" t="e">
        <f>AND(#REF!,"AAAAAGvp7UM=")</f>
        <v>#REF!</v>
      </c>
      <c r="BQ67" t="e">
        <f>AND(#REF!,"AAAAAGvp7UQ=")</f>
        <v>#REF!</v>
      </c>
      <c r="BR67" t="e">
        <f>AND(#REF!,"AAAAAGvp7UU=")</f>
        <v>#REF!</v>
      </c>
      <c r="BS67" t="e">
        <f>AND(#REF!,"AAAAAGvp7UY=")</f>
        <v>#REF!</v>
      </c>
      <c r="BT67" t="e">
        <f>AND(#REF!,"AAAAAGvp7Uc=")</f>
        <v>#REF!</v>
      </c>
      <c r="BU67" t="e">
        <f>AND(#REF!,"AAAAAGvp7Ug=")</f>
        <v>#REF!</v>
      </c>
      <c r="BV67" t="e">
        <f>AND(#REF!,"AAAAAGvp7Uk=")</f>
        <v>#REF!</v>
      </c>
      <c r="BW67" t="e">
        <f>IF(#REF!,"AAAAAGvp7Uo=",0)</f>
        <v>#REF!</v>
      </c>
      <c r="BX67" t="e">
        <f>AND(#REF!,"AAAAAGvp7Us=")</f>
        <v>#REF!</v>
      </c>
      <c r="BY67" t="e">
        <f>AND(#REF!,"AAAAAGvp7Uw=")</f>
        <v>#REF!</v>
      </c>
      <c r="BZ67" t="e">
        <f>AND(#REF!,"AAAAAGvp7U0=")</f>
        <v>#REF!</v>
      </c>
      <c r="CA67" t="e">
        <f>AND(#REF!,"AAAAAGvp7U4=")</f>
        <v>#REF!</v>
      </c>
      <c r="CB67" t="e">
        <f>AND(#REF!,"AAAAAGvp7U8=")</f>
        <v>#REF!</v>
      </c>
      <c r="CC67" t="e">
        <f>AND(#REF!,"AAAAAGvp7VA=")</f>
        <v>#REF!</v>
      </c>
      <c r="CD67" t="e">
        <f>AND(#REF!,"AAAAAGvp7VE=")</f>
        <v>#REF!</v>
      </c>
      <c r="CE67" t="e">
        <f>AND(#REF!,"AAAAAGvp7VI=")</f>
        <v>#REF!</v>
      </c>
      <c r="CF67" t="e">
        <f>AND(#REF!,"AAAAAGvp7VM=")</f>
        <v>#REF!</v>
      </c>
      <c r="CG67" t="e">
        <f>AND(#REF!,"AAAAAGvp7VQ=")</f>
        <v>#REF!</v>
      </c>
      <c r="CH67" t="e">
        <f>AND(#REF!,"AAAAAGvp7VU=")</f>
        <v>#REF!</v>
      </c>
      <c r="CI67" t="e">
        <f>AND(#REF!,"AAAAAGvp7VY=")</f>
        <v>#REF!</v>
      </c>
      <c r="CJ67" t="e">
        <f>AND(#REF!,"AAAAAGvp7Vc=")</f>
        <v>#REF!</v>
      </c>
      <c r="CK67" t="e">
        <f>AND(#REF!,"AAAAAGvp7Vg=")</f>
        <v>#REF!</v>
      </c>
      <c r="CL67" t="e">
        <f>IF(#REF!,"AAAAAGvp7Vk=",0)</f>
        <v>#REF!</v>
      </c>
      <c r="CM67" t="e">
        <f>AND(#REF!,"AAAAAGvp7Vo=")</f>
        <v>#REF!</v>
      </c>
      <c r="CN67" t="e">
        <f>AND(#REF!,"AAAAAGvp7Vs=")</f>
        <v>#REF!</v>
      </c>
      <c r="CO67" t="e">
        <f>AND(#REF!,"AAAAAGvp7Vw=")</f>
        <v>#REF!</v>
      </c>
      <c r="CP67" t="e">
        <f>AND(#REF!,"AAAAAGvp7V0=")</f>
        <v>#REF!</v>
      </c>
      <c r="CQ67" t="e">
        <f>AND(#REF!,"AAAAAGvp7V4=")</f>
        <v>#REF!</v>
      </c>
      <c r="CR67" t="e">
        <f>AND(#REF!,"AAAAAGvp7V8=")</f>
        <v>#REF!</v>
      </c>
      <c r="CS67" t="e">
        <f>AND(#REF!,"AAAAAGvp7WA=")</f>
        <v>#REF!</v>
      </c>
      <c r="CT67" t="e">
        <f>AND(#REF!,"AAAAAGvp7WE=")</f>
        <v>#REF!</v>
      </c>
      <c r="CU67" t="e">
        <f>AND(#REF!,"AAAAAGvp7WI=")</f>
        <v>#REF!</v>
      </c>
      <c r="CV67" t="e">
        <f>AND(#REF!,"AAAAAGvp7WM=")</f>
        <v>#REF!</v>
      </c>
      <c r="CW67" t="e">
        <f>AND(#REF!,"AAAAAGvp7WQ=")</f>
        <v>#REF!</v>
      </c>
      <c r="CX67" t="e">
        <f>AND(#REF!,"AAAAAGvp7WU=")</f>
        <v>#REF!</v>
      </c>
      <c r="CY67" t="e">
        <f>AND(#REF!,"AAAAAGvp7WY=")</f>
        <v>#REF!</v>
      </c>
      <c r="CZ67" t="e">
        <f>AND(#REF!,"AAAAAGvp7Wc=")</f>
        <v>#REF!</v>
      </c>
      <c r="DA67" t="e">
        <f>IF(#REF!,"AAAAAGvp7Wg=",0)</f>
        <v>#REF!</v>
      </c>
      <c r="DB67" t="e">
        <f>AND(#REF!,"AAAAAGvp7Wk=")</f>
        <v>#REF!</v>
      </c>
      <c r="DC67" t="e">
        <f>AND(#REF!,"AAAAAGvp7Wo=")</f>
        <v>#REF!</v>
      </c>
      <c r="DD67" t="e">
        <f>AND(#REF!,"AAAAAGvp7Ws=")</f>
        <v>#REF!</v>
      </c>
      <c r="DE67" t="e">
        <f>AND(#REF!,"AAAAAGvp7Ww=")</f>
        <v>#REF!</v>
      </c>
      <c r="DF67" t="e">
        <f>AND(#REF!,"AAAAAGvp7W0=")</f>
        <v>#REF!</v>
      </c>
      <c r="DG67" t="e">
        <f>AND(#REF!,"AAAAAGvp7W4=")</f>
        <v>#REF!</v>
      </c>
      <c r="DH67" t="e">
        <f>AND(#REF!,"AAAAAGvp7W8=")</f>
        <v>#REF!</v>
      </c>
      <c r="DI67" t="e">
        <f>AND(#REF!,"AAAAAGvp7XA=")</f>
        <v>#REF!</v>
      </c>
      <c r="DJ67" t="e">
        <f>AND(#REF!,"AAAAAGvp7XE=")</f>
        <v>#REF!</v>
      </c>
      <c r="DK67" t="e">
        <f>AND(#REF!,"AAAAAGvp7XI=")</f>
        <v>#REF!</v>
      </c>
      <c r="DL67" t="e">
        <f>AND(#REF!,"AAAAAGvp7XM=")</f>
        <v>#REF!</v>
      </c>
      <c r="DM67" t="e">
        <f>AND(#REF!,"AAAAAGvp7XQ=")</f>
        <v>#REF!</v>
      </c>
      <c r="DN67" t="e">
        <f>AND(#REF!,"AAAAAGvp7XU=")</f>
        <v>#REF!</v>
      </c>
      <c r="DO67" t="e">
        <f>AND(#REF!,"AAAAAGvp7XY=")</f>
        <v>#REF!</v>
      </c>
      <c r="DP67" t="e">
        <f>IF(#REF!,"AAAAAGvp7Xc=",0)</f>
        <v>#REF!</v>
      </c>
      <c r="DQ67" t="e">
        <f>AND(#REF!,"AAAAAGvp7Xg=")</f>
        <v>#REF!</v>
      </c>
      <c r="DR67" t="e">
        <f>AND(#REF!,"AAAAAGvp7Xk=")</f>
        <v>#REF!</v>
      </c>
      <c r="DS67" t="e">
        <f>AND(#REF!,"AAAAAGvp7Xo=")</f>
        <v>#REF!</v>
      </c>
      <c r="DT67" t="e">
        <f>AND(#REF!,"AAAAAGvp7Xs=")</f>
        <v>#REF!</v>
      </c>
      <c r="DU67" t="e">
        <f>AND(#REF!,"AAAAAGvp7Xw=")</f>
        <v>#REF!</v>
      </c>
      <c r="DV67" t="e">
        <f>AND(#REF!,"AAAAAGvp7X0=")</f>
        <v>#REF!</v>
      </c>
      <c r="DW67" t="e">
        <f>AND(#REF!,"AAAAAGvp7X4=")</f>
        <v>#REF!</v>
      </c>
      <c r="DX67" t="e">
        <f>AND(#REF!,"AAAAAGvp7X8=")</f>
        <v>#REF!</v>
      </c>
      <c r="DY67" t="e">
        <f>AND(#REF!,"AAAAAGvp7YA=")</f>
        <v>#REF!</v>
      </c>
      <c r="DZ67" t="e">
        <f>AND(#REF!,"AAAAAGvp7YE=")</f>
        <v>#REF!</v>
      </c>
      <c r="EA67" t="e">
        <f>AND(#REF!,"AAAAAGvp7YI=")</f>
        <v>#REF!</v>
      </c>
      <c r="EB67" t="e">
        <f>AND(#REF!,"AAAAAGvp7YM=")</f>
        <v>#REF!</v>
      </c>
      <c r="EC67" t="e">
        <f>AND(#REF!,"AAAAAGvp7YQ=")</f>
        <v>#REF!</v>
      </c>
      <c r="ED67" t="e">
        <f>AND(#REF!,"AAAAAGvp7YU=")</f>
        <v>#REF!</v>
      </c>
      <c r="EE67" t="e">
        <f>IF(#REF!,"AAAAAGvp7YY=",0)</f>
        <v>#REF!</v>
      </c>
      <c r="EF67" t="e">
        <f>AND(#REF!,"AAAAAGvp7Yc=")</f>
        <v>#REF!</v>
      </c>
      <c r="EG67" t="e">
        <f>AND(#REF!,"AAAAAGvp7Yg=")</f>
        <v>#REF!</v>
      </c>
      <c r="EH67" t="e">
        <f>AND(#REF!,"AAAAAGvp7Yk=")</f>
        <v>#REF!</v>
      </c>
      <c r="EI67" t="e">
        <f>AND(#REF!,"AAAAAGvp7Yo=")</f>
        <v>#REF!</v>
      </c>
      <c r="EJ67" t="e">
        <f>AND(#REF!,"AAAAAGvp7Ys=")</f>
        <v>#REF!</v>
      </c>
      <c r="EK67" t="e">
        <f>AND(#REF!,"AAAAAGvp7Yw=")</f>
        <v>#REF!</v>
      </c>
      <c r="EL67" t="e">
        <f>AND(#REF!,"AAAAAGvp7Y0=")</f>
        <v>#REF!</v>
      </c>
      <c r="EM67" t="e">
        <f>AND(#REF!,"AAAAAGvp7Y4=")</f>
        <v>#REF!</v>
      </c>
      <c r="EN67" t="e">
        <f>AND(#REF!,"AAAAAGvp7Y8=")</f>
        <v>#REF!</v>
      </c>
      <c r="EO67" t="e">
        <f>AND(#REF!,"AAAAAGvp7ZA=")</f>
        <v>#REF!</v>
      </c>
      <c r="EP67" t="e">
        <f>AND(#REF!,"AAAAAGvp7ZE=")</f>
        <v>#REF!</v>
      </c>
      <c r="EQ67" t="e">
        <f>AND(#REF!,"AAAAAGvp7ZI=")</f>
        <v>#REF!</v>
      </c>
      <c r="ER67" t="e">
        <f>AND(#REF!,"AAAAAGvp7ZM=")</f>
        <v>#REF!</v>
      </c>
      <c r="ES67" t="e">
        <f>AND(#REF!,"AAAAAGvp7ZQ=")</f>
        <v>#REF!</v>
      </c>
      <c r="ET67" t="e">
        <f>IF(#REF!,"AAAAAGvp7ZU=",0)</f>
        <v>#REF!</v>
      </c>
      <c r="EU67" t="e">
        <f>AND(#REF!,"AAAAAGvp7ZY=")</f>
        <v>#REF!</v>
      </c>
      <c r="EV67" t="e">
        <f>AND(#REF!,"AAAAAGvp7Zc=")</f>
        <v>#REF!</v>
      </c>
      <c r="EW67" t="e">
        <f>AND(#REF!,"AAAAAGvp7Zg=")</f>
        <v>#REF!</v>
      </c>
      <c r="EX67" t="e">
        <f>AND(#REF!,"AAAAAGvp7Zk=")</f>
        <v>#REF!</v>
      </c>
      <c r="EY67" t="e">
        <f>AND(#REF!,"AAAAAGvp7Zo=")</f>
        <v>#REF!</v>
      </c>
      <c r="EZ67" t="e">
        <f>AND(#REF!,"AAAAAGvp7Zs=")</f>
        <v>#REF!</v>
      </c>
      <c r="FA67" t="e">
        <f>AND(#REF!,"AAAAAGvp7Zw=")</f>
        <v>#REF!</v>
      </c>
      <c r="FB67" t="e">
        <f>AND(#REF!,"AAAAAGvp7Z0=")</f>
        <v>#REF!</v>
      </c>
      <c r="FC67" t="e">
        <f>AND(#REF!,"AAAAAGvp7Z4=")</f>
        <v>#REF!</v>
      </c>
      <c r="FD67" t="e">
        <f>AND(#REF!,"AAAAAGvp7Z8=")</f>
        <v>#REF!</v>
      </c>
      <c r="FE67" t="e">
        <f>AND(#REF!,"AAAAAGvp7aA=")</f>
        <v>#REF!</v>
      </c>
      <c r="FF67" t="e">
        <f>AND(#REF!,"AAAAAGvp7aE=")</f>
        <v>#REF!</v>
      </c>
      <c r="FG67" t="e">
        <f>AND(#REF!,"AAAAAGvp7aI=")</f>
        <v>#REF!</v>
      </c>
      <c r="FH67" t="e">
        <f>AND(#REF!,"AAAAAGvp7aM=")</f>
        <v>#REF!</v>
      </c>
      <c r="FI67" t="e">
        <f>IF(#REF!,"AAAAAGvp7aQ=",0)</f>
        <v>#REF!</v>
      </c>
      <c r="FJ67" t="e">
        <f>AND(#REF!,"AAAAAGvp7aU=")</f>
        <v>#REF!</v>
      </c>
      <c r="FK67" t="e">
        <f>AND(#REF!,"AAAAAGvp7aY=")</f>
        <v>#REF!</v>
      </c>
      <c r="FL67" t="e">
        <f>AND(#REF!,"AAAAAGvp7ac=")</f>
        <v>#REF!</v>
      </c>
      <c r="FM67" t="e">
        <f>AND(#REF!,"AAAAAGvp7ag=")</f>
        <v>#REF!</v>
      </c>
      <c r="FN67" t="e">
        <f>AND(#REF!,"AAAAAGvp7ak=")</f>
        <v>#REF!</v>
      </c>
      <c r="FO67" t="e">
        <f>AND(#REF!,"AAAAAGvp7ao=")</f>
        <v>#REF!</v>
      </c>
      <c r="FP67" t="e">
        <f>AND(#REF!,"AAAAAGvp7as=")</f>
        <v>#REF!</v>
      </c>
      <c r="FQ67" t="e">
        <f>AND(#REF!,"AAAAAGvp7aw=")</f>
        <v>#REF!</v>
      </c>
      <c r="FR67" t="e">
        <f>AND(#REF!,"AAAAAGvp7a0=")</f>
        <v>#REF!</v>
      </c>
      <c r="FS67" t="e">
        <f>AND(#REF!,"AAAAAGvp7a4=")</f>
        <v>#REF!</v>
      </c>
      <c r="FT67" t="e">
        <f>AND(#REF!,"AAAAAGvp7a8=")</f>
        <v>#REF!</v>
      </c>
      <c r="FU67" t="e">
        <f>AND(#REF!,"AAAAAGvp7bA=")</f>
        <v>#REF!</v>
      </c>
      <c r="FV67" t="e">
        <f>AND(#REF!,"AAAAAGvp7bE=")</f>
        <v>#REF!</v>
      </c>
      <c r="FW67" t="e">
        <f>AND(#REF!,"AAAAAGvp7bI=")</f>
        <v>#REF!</v>
      </c>
      <c r="FX67" t="e">
        <f>IF(#REF!,"AAAAAGvp7bM=",0)</f>
        <v>#REF!</v>
      </c>
      <c r="FY67" t="e">
        <f>AND(#REF!,"AAAAAGvp7bQ=")</f>
        <v>#REF!</v>
      </c>
      <c r="FZ67" t="e">
        <f>AND(#REF!,"AAAAAGvp7bU=")</f>
        <v>#REF!</v>
      </c>
      <c r="GA67" t="e">
        <f>AND(#REF!,"AAAAAGvp7bY=")</f>
        <v>#REF!</v>
      </c>
      <c r="GB67" t="e">
        <f>AND(#REF!,"AAAAAGvp7bc=")</f>
        <v>#REF!</v>
      </c>
      <c r="GC67" t="e">
        <f>AND(#REF!,"AAAAAGvp7bg=")</f>
        <v>#REF!</v>
      </c>
      <c r="GD67" t="e">
        <f>AND(#REF!,"AAAAAGvp7bk=")</f>
        <v>#REF!</v>
      </c>
      <c r="GE67" t="e">
        <f>AND(#REF!,"AAAAAGvp7bo=")</f>
        <v>#REF!</v>
      </c>
      <c r="GF67" t="e">
        <f>AND(#REF!,"AAAAAGvp7bs=")</f>
        <v>#REF!</v>
      </c>
      <c r="GG67" t="e">
        <f>AND(#REF!,"AAAAAGvp7bw=")</f>
        <v>#REF!</v>
      </c>
      <c r="GH67" t="e">
        <f>AND(#REF!,"AAAAAGvp7b0=")</f>
        <v>#REF!</v>
      </c>
      <c r="GI67" t="e">
        <f>AND(#REF!,"AAAAAGvp7b4=")</f>
        <v>#REF!</v>
      </c>
      <c r="GJ67" t="e">
        <f>AND(#REF!,"AAAAAGvp7b8=")</f>
        <v>#REF!</v>
      </c>
      <c r="GK67" t="e">
        <f>AND(#REF!,"AAAAAGvp7cA=")</f>
        <v>#REF!</v>
      </c>
      <c r="GL67" t="e">
        <f>AND(#REF!,"AAAAAGvp7cE=")</f>
        <v>#REF!</v>
      </c>
      <c r="GM67" t="e">
        <f>IF(#REF!,"AAAAAGvp7cI=",0)</f>
        <v>#REF!</v>
      </c>
      <c r="GN67" t="e">
        <f>AND(#REF!,"AAAAAGvp7cM=")</f>
        <v>#REF!</v>
      </c>
      <c r="GO67" t="e">
        <f>AND(#REF!,"AAAAAGvp7cQ=")</f>
        <v>#REF!</v>
      </c>
      <c r="GP67" t="e">
        <f>AND(#REF!,"AAAAAGvp7cU=")</f>
        <v>#REF!</v>
      </c>
      <c r="GQ67" t="e">
        <f>AND(#REF!,"AAAAAGvp7cY=")</f>
        <v>#REF!</v>
      </c>
      <c r="GR67" t="e">
        <f>AND(#REF!,"AAAAAGvp7cc=")</f>
        <v>#REF!</v>
      </c>
      <c r="GS67" t="e">
        <f>AND(#REF!,"AAAAAGvp7cg=")</f>
        <v>#REF!</v>
      </c>
      <c r="GT67" t="e">
        <f>AND(#REF!,"AAAAAGvp7ck=")</f>
        <v>#REF!</v>
      </c>
      <c r="GU67" t="e">
        <f>AND(#REF!,"AAAAAGvp7co=")</f>
        <v>#REF!</v>
      </c>
      <c r="GV67" t="e">
        <f>AND(#REF!,"AAAAAGvp7cs=")</f>
        <v>#REF!</v>
      </c>
      <c r="GW67" t="e">
        <f>AND(#REF!,"AAAAAGvp7cw=")</f>
        <v>#REF!</v>
      </c>
      <c r="GX67" t="e">
        <f>AND(#REF!,"AAAAAGvp7c0=")</f>
        <v>#REF!</v>
      </c>
      <c r="GY67" t="e">
        <f>AND(#REF!,"AAAAAGvp7c4=")</f>
        <v>#REF!</v>
      </c>
      <c r="GZ67" t="e">
        <f>AND(#REF!,"AAAAAGvp7c8=")</f>
        <v>#REF!</v>
      </c>
      <c r="HA67" t="e">
        <f>AND(#REF!,"AAAAAGvp7dA=")</f>
        <v>#REF!</v>
      </c>
      <c r="HB67" t="e">
        <f>IF(#REF!,"AAAAAGvp7dE=",0)</f>
        <v>#REF!</v>
      </c>
      <c r="HC67" t="e">
        <f>AND(#REF!,"AAAAAGvp7dI=")</f>
        <v>#REF!</v>
      </c>
      <c r="HD67" t="e">
        <f>AND(#REF!,"AAAAAGvp7dM=")</f>
        <v>#REF!</v>
      </c>
      <c r="HE67" t="e">
        <f>AND(#REF!,"AAAAAGvp7dQ=")</f>
        <v>#REF!</v>
      </c>
      <c r="HF67" t="e">
        <f>AND(#REF!,"AAAAAGvp7dU=")</f>
        <v>#REF!</v>
      </c>
      <c r="HG67" t="e">
        <f>AND(#REF!,"AAAAAGvp7dY=")</f>
        <v>#REF!</v>
      </c>
      <c r="HH67" t="e">
        <f>AND(#REF!,"AAAAAGvp7dc=")</f>
        <v>#REF!</v>
      </c>
      <c r="HI67" t="e">
        <f>AND(#REF!,"AAAAAGvp7dg=")</f>
        <v>#REF!</v>
      </c>
      <c r="HJ67" t="e">
        <f>AND(#REF!,"AAAAAGvp7dk=")</f>
        <v>#REF!</v>
      </c>
      <c r="HK67" t="e">
        <f>AND(#REF!,"AAAAAGvp7do=")</f>
        <v>#REF!</v>
      </c>
      <c r="HL67" t="e">
        <f>AND(#REF!,"AAAAAGvp7ds=")</f>
        <v>#REF!</v>
      </c>
      <c r="HM67" t="e">
        <f>AND(#REF!,"AAAAAGvp7dw=")</f>
        <v>#REF!</v>
      </c>
      <c r="HN67" t="e">
        <f>AND(#REF!,"AAAAAGvp7d0=")</f>
        <v>#REF!</v>
      </c>
      <c r="HO67" t="e">
        <f>AND(#REF!,"AAAAAGvp7d4=")</f>
        <v>#REF!</v>
      </c>
      <c r="HP67" t="e">
        <f>AND(#REF!,"AAAAAGvp7d8=")</f>
        <v>#REF!</v>
      </c>
      <c r="HQ67" t="e">
        <f>IF(#REF!,"AAAAAGvp7eA=",0)</f>
        <v>#REF!</v>
      </c>
      <c r="HR67" t="e">
        <f>AND(#REF!,"AAAAAGvp7eE=")</f>
        <v>#REF!</v>
      </c>
      <c r="HS67" t="e">
        <f>AND(#REF!,"AAAAAGvp7eI=")</f>
        <v>#REF!</v>
      </c>
      <c r="HT67" t="e">
        <f>AND(#REF!,"AAAAAGvp7eM=")</f>
        <v>#REF!</v>
      </c>
      <c r="HU67" t="e">
        <f>AND(#REF!,"AAAAAGvp7eQ=")</f>
        <v>#REF!</v>
      </c>
      <c r="HV67" t="e">
        <f>AND(#REF!,"AAAAAGvp7eU=")</f>
        <v>#REF!</v>
      </c>
      <c r="HW67" t="e">
        <f>AND(#REF!,"AAAAAGvp7eY=")</f>
        <v>#REF!</v>
      </c>
      <c r="HX67" t="e">
        <f>AND(#REF!,"AAAAAGvp7ec=")</f>
        <v>#REF!</v>
      </c>
      <c r="HY67" t="e">
        <f>AND(#REF!,"AAAAAGvp7eg=")</f>
        <v>#REF!</v>
      </c>
      <c r="HZ67" t="e">
        <f>AND(#REF!,"AAAAAGvp7ek=")</f>
        <v>#REF!</v>
      </c>
      <c r="IA67" t="e">
        <f>AND(#REF!,"AAAAAGvp7eo=")</f>
        <v>#REF!</v>
      </c>
      <c r="IB67" t="e">
        <f>AND(#REF!,"AAAAAGvp7es=")</f>
        <v>#REF!</v>
      </c>
      <c r="IC67" t="e">
        <f>AND(#REF!,"AAAAAGvp7ew=")</f>
        <v>#REF!</v>
      </c>
      <c r="ID67" t="e">
        <f>AND(#REF!,"AAAAAGvp7e0=")</f>
        <v>#REF!</v>
      </c>
      <c r="IE67" t="e">
        <f>AND(#REF!,"AAAAAGvp7e4=")</f>
        <v>#REF!</v>
      </c>
      <c r="IF67" t="e">
        <f>IF(#REF!,"AAAAAGvp7e8=",0)</f>
        <v>#REF!</v>
      </c>
      <c r="IG67" t="e">
        <f>AND(#REF!,"AAAAAGvp7fA=")</f>
        <v>#REF!</v>
      </c>
      <c r="IH67" t="e">
        <f>AND(#REF!,"AAAAAGvp7fE=")</f>
        <v>#REF!</v>
      </c>
      <c r="II67" t="e">
        <f>AND(#REF!,"AAAAAGvp7fI=")</f>
        <v>#REF!</v>
      </c>
      <c r="IJ67" t="e">
        <f>AND(#REF!,"AAAAAGvp7fM=")</f>
        <v>#REF!</v>
      </c>
      <c r="IK67" t="e">
        <f>AND(#REF!,"AAAAAGvp7fQ=")</f>
        <v>#REF!</v>
      </c>
      <c r="IL67" t="e">
        <f>AND(#REF!,"AAAAAGvp7fU=")</f>
        <v>#REF!</v>
      </c>
      <c r="IM67" t="e">
        <f>AND(#REF!,"AAAAAGvp7fY=")</f>
        <v>#REF!</v>
      </c>
      <c r="IN67" t="e">
        <f>AND(#REF!,"AAAAAGvp7fc=")</f>
        <v>#REF!</v>
      </c>
      <c r="IO67" t="e">
        <f>AND(#REF!,"AAAAAGvp7fg=")</f>
        <v>#REF!</v>
      </c>
      <c r="IP67" t="e">
        <f>AND(#REF!,"AAAAAGvp7fk=")</f>
        <v>#REF!</v>
      </c>
      <c r="IQ67" t="e">
        <f>AND(#REF!,"AAAAAGvp7fo=")</f>
        <v>#REF!</v>
      </c>
      <c r="IR67" t="e">
        <f>AND(#REF!,"AAAAAGvp7fs=")</f>
        <v>#REF!</v>
      </c>
      <c r="IS67" t="e">
        <f>AND(#REF!,"AAAAAGvp7fw=")</f>
        <v>#REF!</v>
      </c>
      <c r="IT67" t="e">
        <f>AND(#REF!,"AAAAAGvp7f0=")</f>
        <v>#REF!</v>
      </c>
      <c r="IU67" t="e">
        <f>IF(#REF!,"AAAAAGvp7f4=",0)</f>
        <v>#REF!</v>
      </c>
      <c r="IV67" t="e">
        <f>AND(#REF!,"AAAAAGvp7f8=")</f>
        <v>#REF!</v>
      </c>
    </row>
    <row r="68" spans="1:256" x14ac:dyDescent="0.25">
      <c r="A68" t="e">
        <f>AND(#REF!,"AAAAAHjf/wA=")</f>
        <v>#REF!</v>
      </c>
      <c r="B68" t="e">
        <f>AND(#REF!,"AAAAAHjf/wE=")</f>
        <v>#REF!</v>
      </c>
      <c r="C68" t="e">
        <f>AND(#REF!,"AAAAAHjf/wI=")</f>
        <v>#REF!</v>
      </c>
      <c r="D68" t="e">
        <f>AND(#REF!,"AAAAAHjf/wM=")</f>
        <v>#REF!</v>
      </c>
      <c r="E68" t="e">
        <f>AND(#REF!,"AAAAAHjf/wQ=")</f>
        <v>#REF!</v>
      </c>
      <c r="F68" t="e">
        <f>AND(#REF!,"AAAAAHjf/wU=")</f>
        <v>#REF!</v>
      </c>
      <c r="G68" t="e">
        <f>AND(#REF!,"AAAAAHjf/wY=")</f>
        <v>#REF!</v>
      </c>
      <c r="H68" t="e">
        <f>AND(#REF!,"AAAAAHjf/wc=")</f>
        <v>#REF!</v>
      </c>
      <c r="I68" t="e">
        <f>AND(#REF!,"AAAAAHjf/wg=")</f>
        <v>#REF!</v>
      </c>
      <c r="J68" t="e">
        <f>AND(#REF!,"AAAAAHjf/wk=")</f>
        <v>#REF!</v>
      </c>
      <c r="K68" t="e">
        <f>AND(#REF!,"AAAAAHjf/wo=")</f>
        <v>#REF!</v>
      </c>
      <c r="L68" t="e">
        <f>AND(#REF!,"AAAAAHjf/ws=")</f>
        <v>#REF!</v>
      </c>
      <c r="M68" t="e">
        <f>AND(#REF!,"AAAAAHjf/ww=")</f>
        <v>#REF!</v>
      </c>
      <c r="N68" t="e">
        <f>IF(#REF!,"AAAAAHjf/w0=",0)</f>
        <v>#REF!</v>
      </c>
      <c r="O68" t="e">
        <f>AND(#REF!,"AAAAAHjf/w4=")</f>
        <v>#REF!</v>
      </c>
      <c r="P68" t="e">
        <f>AND(#REF!,"AAAAAHjf/w8=")</f>
        <v>#REF!</v>
      </c>
      <c r="Q68" t="e">
        <f>AND(#REF!,"AAAAAHjf/xA=")</f>
        <v>#REF!</v>
      </c>
      <c r="R68" t="e">
        <f>AND(#REF!,"AAAAAHjf/xE=")</f>
        <v>#REF!</v>
      </c>
      <c r="S68" t="e">
        <f>AND(#REF!,"AAAAAHjf/xI=")</f>
        <v>#REF!</v>
      </c>
      <c r="T68" t="e">
        <f>AND(#REF!,"AAAAAHjf/xM=")</f>
        <v>#REF!</v>
      </c>
      <c r="U68" t="e">
        <f>AND(#REF!,"AAAAAHjf/xQ=")</f>
        <v>#REF!</v>
      </c>
      <c r="V68" t="e">
        <f>AND(#REF!,"AAAAAHjf/xU=")</f>
        <v>#REF!</v>
      </c>
      <c r="W68" t="e">
        <f>AND(#REF!,"AAAAAHjf/xY=")</f>
        <v>#REF!</v>
      </c>
      <c r="X68" t="e">
        <f>AND(#REF!,"AAAAAHjf/xc=")</f>
        <v>#REF!</v>
      </c>
      <c r="Y68" t="e">
        <f>AND(#REF!,"AAAAAHjf/xg=")</f>
        <v>#REF!</v>
      </c>
      <c r="Z68" t="e">
        <f>AND(#REF!,"AAAAAHjf/xk=")</f>
        <v>#REF!</v>
      </c>
      <c r="AA68" t="e">
        <f>AND(#REF!,"AAAAAHjf/xo=")</f>
        <v>#REF!</v>
      </c>
      <c r="AB68" t="e">
        <f>AND(#REF!,"AAAAAHjf/xs=")</f>
        <v>#REF!</v>
      </c>
      <c r="AC68" t="e">
        <f>IF(#REF!,"AAAAAHjf/xw=",0)</f>
        <v>#REF!</v>
      </c>
      <c r="AD68" t="e">
        <f>AND(#REF!,"AAAAAHjf/x0=")</f>
        <v>#REF!</v>
      </c>
      <c r="AE68" t="e">
        <f>AND(#REF!,"AAAAAHjf/x4=")</f>
        <v>#REF!</v>
      </c>
      <c r="AF68" t="e">
        <f>AND(#REF!,"AAAAAHjf/x8=")</f>
        <v>#REF!</v>
      </c>
      <c r="AG68" t="e">
        <f>AND(#REF!,"AAAAAHjf/yA=")</f>
        <v>#REF!</v>
      </c>
      <c r="AH68" t="e">
        <f>AND(#REF!,"AAAAAHjf/yE=")</f>
        <v>#REF!</v>
      </c>
      <c r="AI68" t="e">
        <f>AND(#REF!,"AAAAAHjf/yI=")</f>
        <v>#REF!</v>
      </c>
      <c r="AJ68" t="e">
        <f>AND(#REF!,"AAAAAHjf/yM=")</f>
        <v>#REF!</v>
      </c>
      <c r="AK68" t="e">
        <f>AND(#REF!,"AAAAAHjf/yQ=")</f>
        <v>#REF!</v>
      </c>
      <c r="AL68" t="e">
        <f>AND(#REF!,"AAAAAHjf/yU=")</f>
        <v>#REF!</v>
      </c>
      <c r="AM68" t="e">
        <f>AND(#REF!,"AAAAAHjf/yY=")</f>
        <v>#REF!</v>
      </c>
      <c r="AN68" t="e">
        <f>AND(#REF!,"AAAAAHjf/yc=")</f>
        <v>#REF!</v>
      </c>
      <c r="AO68" t="e">
        <f>AND(#REF!,"AAAAAHjf/yg=")</f>
        <v>#REF!</v>
      </c>
      <c r="AP68" t="e">
        <f>AND(#REF!,"AAAAAHjf/yk=")</f>
        <v>#REF!</v>
      </c>
      <c r="AQ68" t="e">
        <f>AND(#REF!,"AAAAAHjf/yo=")</f>
        <v>#REF!</v>
      </c>
      <c r="AR68" t="e">
        <f>IF(#REF!,"AAAAAHjf/ys=",0)</f>
        <v>#REF!</v>
      </c>
      <c r="AS68" t="e">
        <f>AND(#REF!,"AAAAAHjf/yw=")</f>
        <v>#REF!</v>
      </c>
      <c r="AT68" t="e">
        <f>AND(#REF!,"AAAAAHjf/y0=")</f>
        <v>#REF!</v>
      </c>
      <c r="AU68" t="e">
        <f>AND(#REF!,"AAAAAHjf/y4=")</f>
        <v>#REF!</v>
      </c>
      <c r="AV68" t="e">
        <f>AND(#REF!,"AAAAAHjf/y8=")</f>
        <v>#REF!</v>
      </c>
      <c r="AW68" t="e">
        <f>AND(#REF!,"AAAAAHjf/zA=")</f>
        <v>#REF!</v>
      </c>
      <c r="AX68" t="e">
        <f>AND(#REF!,"AAAAAHjf/zE=")</f>
        <v>#REF!</v>
      </c>
      <c r="AY68" t="e">
        <f>AND(#REF!,"AAAAAHjf/zI=")</f>
        <v>#REF!</v>
      </c>
      <c r="AZ68" t="e">
        <f>AND(#REF!,"AAAAAHjf/zM=")</f>
        <v>#REF!</v>
      </c>
      <c r="BA68" t="e">
        <f>AND(#REF!,"AAAAAHjf/zQ=")</f>
        <v>#REF!</v>
      </c>
      <c r="BB68" t="e">
        <f>AND(#REF!,"AAAAAHjf/zU=")</f>
        <v>#REF!</v>
      </c>
      <c r="BC68" t="e">
        <f>AND(#REF!,"AAAAAHjf/zY=")</f>
        <v>#REF!</v>
      </c>
      <c r="BD68" t="e">
        <f>AND(#REF!,"AAAAAHjf/zc=")</f>
        <v>#REF!</v>
      </c>
      <c r="BE68" t="e">
        <f>AND(#REF!,"AAAAAHjf/zg=")</f>
        <v>#REF!</v>
      </c>
      <c r="BF68" t="e">
        <f>AND(#REF!,"AAAAAHjf/zk=")</f>
        <v>#REF!</v>
      </c>
      <c r="BG68" t="e">
        <f>IF(#REF!,"AAAAAHjf/zo=",0)</f>
        <v>#REF!</v>
      </c>
      <c r="BH68" t="e">
        <f>AND(#REF!,"AAAAAHjf/zs=")</f>
        <v>#REF!</v>
      </c>
      <c r="BI68" t="e">
        <f>AND(#REF!,"AAAAAHjf/zw=")</f>
        <v>#REF!</v>
      </c>
      <c r="BJ68" t="e">
        <f>AND(#REF!,"AAAAAHjf/z0=")</f>
        <v>#REF!</v>
      </c>
      <c r="BK68" t="e">
        <f>AND(#REF!,"AAAAAHjf/z4=")</f>
        <v>#REF!</v>
      </c>
      <c r="BL68" t="e">
        <f>AND(#REF!,"AAAAAHjf/z8=")</f>
        <v>#REF!</v>
      </c>
      <c r="BM68" t="e">
        <f>AND(#REF!,"AAAAAHjf/0A=")</f>
        <v>#REF!</v>
      </c>
      <c r="BN68" t="e">
        <f>AND(#REF!,"AAAAAHjf/0E=")</f>
        <v>#REF!</v>
      </c>
      <c r="BO68" t="e">
        <f>AND(#REF!,"AAAAAHjf/0I=")</f>
        <v>#REF!</v>
      </c>
      <c r="BP68" t="e">
        <f>AND(#REF!,"AAAAAHjf/0M=")</f>
        <v>#REF!</v>
      </c>
      <c r="BQ68" t="e">
        <f>AND(#REF!,"AAAAAHjf/0Q=")</f>
        <v>#REF!</v>
      </c>
      <c r="BR68" t="e">
        <f>AND(#REF!,"AAAAAHjf/0U=")</f>
        <v>#REF!</v>
      </c>
      <c r="BS68" t="e">
        <f>AND(#REF!,"AAAAAHjf/0Y=")</f>
        <v>#REF!</v>
      </c>
      <c r="BT68" t="e">
        <f>AND(#REF!,"AAAAAHjf/0c=")</f>
        <v>#REF!</v>
      </c>
      <c r="BU68" t="e">
        <f>AND(#REF!,"AAAAAHjf/0g=")</f>
        <v>#REF!</v>
      </c>
      <c r="BV68" t="e">
        <f>IF(#REF!,"AAAAAHjf/0k=",0)</f>
        <v>#REF!</v>
      </c>
      <c r="BW68" t="e">
        <f>AND(#REF!,"AAAAAHjf/0o=")</f>
        <v>#REF!</v>
      </c>
      <c r="BX68" t="e">
        <f>AND(#REF!,"AAAAAHjf/0s=")</f>
        <v>#REF!</v>
      </c>
      <c r="BY68" t="e">
        <f>AND(#REF!,"AAAAAHjf/0w=")</f>
        <v>#REF!</v>
      </c>
      <c r="BZ68" t="e">
        <f>AND(#REF!,"AAAAAHjf/00=")</f>
        <v>#REF!</v>
      </c>
      <c r="CA68" t="e">
        <f>AND(#REF!,"AAAAAHjf/04=")</f>
        <v>#REF!</v>
      </c>
      <c r="CB68" t="e">
        <f>AND(#REF!,"AAAAAHjf/08=")</f>
        <v>#REF!</v>
      </c>
      <c r="CC68" t="e">
        <f>AND(#REF!,"AAAAAHjf/1A=")</f>
        <v>#REF!</v>
      </c>
      <c r="CD68" t="e">
        <f>AND(#REF!,"AAAAAHjf/1E=")</f>
        <v>#REF!</v>
      </c>
      <c r="CE68" t="e">
        <f>AND(#REF!,"AAAAAHjf/1I=")</f>
        <v>#REF!</v>
      </c>
      <c r="CF68" t="e">
        <f>AND(#REF!,"AAAAAHjf/1M=")</f>
        <v>#REF!</v>
      </c>
      <c r="CG68" t="e">
        <f>AND(#REF!,"AAAAAHjf/1Q=")</f>
        <v>#REF!</v>
      </c>
      <c r="CH68" t="e">
        <f>AND(#REF!,"AAAAAHjf/1U=")</f>
        <v>#REF!</v>
      </c>
      <c r="CI68" t="e">
        <f>AND(#REF!,"AAAAAHjf/1Y=")</f>
        <v>#REF!</v>
      </c>
      <c r="CJ68" t="e">
        <f>AND(#REF!,"AAAAAHjf/1c=")</f>
        <v>#REF!</v>
      </c>
      <c r="CK68" t="e">
        <f>IF(#REF!,"AAAAAHjf/1g=",0)</f>
        <v>#REF!</v>
      </c>
      <c r="CL68" t="e">
        <f>AND(#REF!,"AAAAAHjf/1k=")</f>
        <v>#REF!</v>
      </c>
      <c r="CM68" t="e">
        <f>AND(#REF!,"AAAAAHjf/1o=")</f>
        <v>#REF!</v>
      </c>
      <c r="CN68" t="e">
        <f>AND(#REF!,"AAAAAHjf/1s=")</f>
        <v>#REF!</v>
      </c>
      <c r="CO68" t="e">
        <f>AND(#REF!,"AAAAAHjf/1w=")</f>
        <v>#REF!</v>
      </c>
      <c r="CP68" t="e">
        <f>AND(#REF!,"AAAAAHjf/10=")</f>
        <v>#REF!</v>
      </c>
      <c r="CQ68" t="e">
        <f>AND(#REF!,"AAAAAHjf/14=")</f>
        <v>#REF!</v>
      </c>
      <c r="CR68" t="e">
        <f>AND(#REF!,"AAAAAHjf/18=")</f>
        <v>#REF!</v>
      </c>
      <c r="CS68" t="e">
        <f>AND(#REF!,"AAAAAHjf/2A=")</f>
        <v>#REF!</v>
      </c>
      <c r="CT68" t="e">
        <f>AND(#REF!,"AAAAAHjf/2E=")</f>
        <v>#REF!</v>
      </c>
      <c r="CU68" t="e">
        <f>AND(#REF!,"AAAAAHjf/2I=")</f>
        <v>#REF!</v>
      </c>
      <c r="CV68" t="e">
        <f>AND(#REF!,"AAAAAHjf/2M=")</f>
        <v>#REF!</v>
      </c>
      <c r="CW68" t="e">
        <f>AND(#REF!,"AAAAAHjf/2Q=")</f>
        <v>#REF!</v>
      </c>
      <c r="CX68" t="e">
        <f>AND(#REF!,"AAAAAHjf/2U=")</f>
        <v>#REF!</v>
      </c>
      <c r="CY68" t="e">
        <f>AND(#REF!,"AAAAAHjf/2Y=")</f>
        <v>#REF!</v>
      </c>
      <c r="CZ68" t="e">
        <f>IF(#REF!,"AAAAAHjf/2c=",0)</f>
        <v>#REF!</v>
      </c>
      <c r="DA68" t="e">
        <f>AND(#REF!,"AAAAAHjf/2g=")</f>
        <v>#REF!</v>
      </c>
      <c r="DB68" t="e">
        <f>AND(#REF!,"AAAAAHjf/2k=")</f>
        <v>#REF!</v>
      </c>
      <c r="DC68" t="e">
        <f>AND(#REF!,"AAAAAHjf/2o=")</f>
        <v>#REF!</v>
      </c>
      <c r="DD68" t="e">
        <f>AND(#REF!,"AAAAAHjf/2s=")</f>
        <v>#REF!</v>
      </c>
      <c r="DE68" t="e">
        <f>AND(#REF!,"AAAAAHjf/2w=")</f>
        <v>#REF!</v>
      </c>
      <c r="DF68" t="e">
        <f>AND(#REF!,"AAAAAHjf/20=")</f>
        <v>#REF!</v>
      </c>
      <c r="DG68" t="e">
        <f>AND(#REF!,"AAAAAHjf/24=")</f>
        <v>#REF!</v>
      </c>
      <c r="DH68" t="e">
        <f>AND(#REF!,"AAAAAHjf/28=")</f>
        <v>#REF!</v>
      </c>
      <c r="DI68" t="e">
        <f>AND(#REF!,"AAAAAHjf/3A=")</f>
        <v>#REF!</v>
      </c>
      <c r="DJ68" t="e">
        <f>AND(#REF!,"AAAAAHjf/3E=")</f>
        <v>#REF!</v>
      </c>
      <c r="DK68" t="e">
        <f>AND(#REF!,"AAAAAHjf/3I=")</f>
        <v>#REF!</v>
      </c>
      <c r="DL68" t="e">
        <f>AND(#REF!,"AAAAAHjf/3M=")</f>
        <v>#REF!</v>
      </c>
      <c r="DM68" t="e">
        <f>AND(#REF!,"AAAAAHjf/3Q=")</f>
        <v>#REF!</v>
      </c>
      <c r="DN68" t="e">
        <f>AND(#REF!,"AAAAAHjf/3U=")</f>
        <v>#REF!</v>
      </c>
      <c r="DO68" t="e">
        <f>IF(#REF!,"AAAAAHjf/3Y=",0)</f>
        <v>#REF!</v>
      </c>
      <c r="DP68" t="e">
        <f>AND(#REF!,"AAAAAHjf/3c=")</f>
        <v>#REF!</v>
      </c>
      <c r="DQ68" t="e">
        <f>AND(#REF!,"AAAAAHjf/3g=")</f>
        <v>#REF!</v>
      </c>
      <c r="DR68" t="e">
        <f>AND(#REF!,"AAAAAHjf/3k=")</f>
        <v>#REF!</v>
      </c>
      <c r="DS68" t="e">
        <f>AND(#REF!,"AAAAAHjf/3o=")</f>
        <v>#REF!</v>
      </c>
      <c r="DT68" t="e">
        <f>AND(#REF!,"AAAAAHjf/3s=")</f>
        <v>#REF!</v>
      </c>
      <c r="DU68" t="e">
        <f>AND(#REF!,"AAAAAHjf/3w=")</f>
        <v>#REF!</v>
      </c>
      <c r="DV68" t="e">
        <f>AND(#REF!,"AAAAAHjf/30=")</f>
        <v>#REF!</v>
      </c>
      <c r="DW68" t="e">
        <f>AND(#REF!,"AAAAAHjf/34=")</f>
        <v>#REF!</v>
      </c>
      <c r="DX68" t="e">
        <f>AND(#REF!,"AAAAAHjf/38=")</f>
        <v>#REF!</v>
      </c>
      <c r="DY68" t="e">
        <f>AND(#REF!,"AAAAAHjf/4A=")</f>
        <v>#REF!</v>
      </c>
      <c r="DZ68" t="e">
        <f>AND(#REF!,"AAAAAHjf/4E=")</f>
        <v>#REF!</v>
      </c>
      <c r="EA68" t="e">
        <f>AND(#REF!,"AAAAAHjf/4I=")</f>
        <v>#REF!</v>
      </c>
      <c r="EB68" t="e">
        <f>AND(#REF!,"AAAAAHjf/4M=")</f>
        <v>#REF!</v>
      </c>
      <c r="EC68" t="e">
        <f>AND(#REF!,"AAAAAHjf/4Q=")</f>
        <v>#REF!</v>
      </c>
      <c r="ED68" t="e">
        <f>IF(#REF!,"AAAAAHjf/4U=",0)</f>
        <v>#REF!</v>
      </c>
      <c r="EE68" t="e">
        <f>AND(#REF!,"AAAAAHjf/4Y=")</f>
        <v>#REF!</v>
      </c>
      <c r="EF68" t="e">
        <f>AND(#REF!,"AAAAAHjf/4c=")</f>
        <v>#REF!</v>
      </c>
      <c r="EG68" t="e">
        <f>AND(#REF!,"AAAAAHjf/4g=")</f>
        <v>#REF!</v>
      </c>
      <c r="EH68" t="e">
        <f>AND(#REF!,"AAAAAHjf/4k=")</f>
        <v>#REF!</v>
      </c>
      <c r="EI68" t="e">
        <f>AND(#REF!,"AAAAAHjf/4o=")</f>
        <v>#REF!</v>
      </c>
      <c r="EJ68" t="e">
        <f>AND(#REF!,"AAAAAHjf/4s=")</f>
        <v>#REF!</v>
      </c>
      <c r="EK68" t="e">
        <f>AND(#REF!,"AAAAAHjf/4w=")</f>
        <v>#REF!</v>
      </c>
      <c r="EL68" t="e">
        <f>AND(#REF!,"AAAAAHjf/40=")</f>
        <v>#REF!</v>
      </c>
      <c r="EM68" t="e">
        <f>AND(#REF!,"AAAAAHjf/44=")</f>
        <v>#REF!</v>
      </c>
      <c r="EN68" t="e">
        <f>AND(#REF!,"AAAAAHjf/48=")</f>
        <v>#REF!</v>
      </c>
      <c r="EO68" t="e">
        <f>AND(#REF!,"AAAAAHjf/5A=")</f>
        <v>#REF!</v>
      </c>
      <c r="EP68" t="e">
        <f>AND(#REF!,"AAAAAHjf/5E=")</f>
        <v>#REF!</v>
      </c>
      <c r="EQ68" t="e">
        <f>AND(#REF!,"AAAAAHjf/5I=")</f>
        <v>#REF!</v>
      </c>
      <c r="ER68" t="e">
        <f>AND(#REF!,"AAAAAHjf/5M=")</f>
        <v>#REF!</v>
      </c>
      <c r="ES68" t="e">
        <f>IF(#REF!,"AAAAAHjf/5Q=",0)</f>
        <v>#REF!</v>
      </c>
      <c r="ET68" t="e">
        <f>AND(#REF!,"AAAAAHjf/5U=")</f>
        <v>#REF!</v>
      </c>
      <c r="EU68" t="e">
        <f>AND(#REF!,"AAAAAHjf/5Y=")</f>
        <v>#REF!</v>
      </c>
      <c r="EV68" t="e">
        <f>AND(#REF!,"AAAAAHjf/5c=")</f>
        <v>#REF!</v>
      </c>
      <c r="EW68" t="e">
        <f>AND(#REF!,"AAAAAHjf/5g=")</f>
        <v>#REF!</v>
      </c>
      <c r="EX68" t="e">
        <f>AND(#REF!,"AAAAAHjf/5k=")</f>
        <v>#REF!</v>
      </c>
      <c r="EY68" t="e">
        <f>AND(#REF!,"AAAAAHjf/5o=")</f>
        <v>#REF!</v>
      </c>
      <c r="EZ68" t="e">
        <f>AND(#REF!,"AAAAAHjf/5s=")</f>
        <v>#REF!</v>
      </c>
      <c r="FA68" t="e">
        <f>AND(#REF!,"AAAAAHjf/5w=")</f>
        <v>#REF!</v>
      </c>
      <c r="FB68" t="e">
        <f>AND(#REF!,"AAAAAHjf/50=")</f>
        <v>#REF!</v>
      </c>
      <c r="FC68" t="e">
        <f>AND(#REF!,"AAAAAHjf/54=")</f>
        <v>#REF!</v>
      </c>
      <c r="FD68" t="e">
        <f>AND(#REF!,"AAAAAHjf/58=")</f>
        <v>#REF!</v>
      </c>
      <c r="FE68" t="e">
        <f>AND(#REF!,"AAAAAHjf/6A=")</f>
        <v>#REF!</v>
      </c>
      <c r="FF68" t="e">
        <f>AND(#REF!,"AAAAAHjf/6E=")</f>
        <v>#REF!</v>
      </c>
      <c r="FG68" t="e">
        <f>AND(#REF!,"AAAAAHjf/6I=")</f>
        <v>#REF!</v>
      </c>
      <c r="FH68" t="e">
        <f>IF(#REF!,"AAAAAHjf/6M=",0)</f>
        <v>#REF!</v>
      </c>
      <c r="FI68" t="e">
        <f>AND(#REF!,"AAAAAHjf/6Q=")</f>
        <v>#REF!</v>
      </c>
      <c r="FJ68" t="e">
        <f>AND(#REF!,"AAAAAHjf/6U=")</f>
        <v>#REF!</v>
      </c>
      <c r="FK68" t="e">
        <f>AND(#REF!,"AAAAAHjf/6Y=")</f>
        <v>#REF!</v>
      </c>
      <c r="FL68" t="e">
        <f>AND(#REF!,"AAAAAHjf/6c=")</f>
        <v>#REF!</v>
      </c>
      <c r="FM68" t="e">
        <f>AND(#REF!,"AAAAAHjf/6g=")</f>
        <v>#REF!</v>
      </c>
      <c r="FN68" t="e">
        <f>AND(#REF!,"AAAAAHjf/6k=")</f>
        <v>#REF!</v>
      </c>
      <c r="FO68" t="e">
        <f>AND(#REF!,"AAAAAHjf/6o=")</f>
        <v>#REF!</v>
      </c>
      <c r="FP68" t="e">
        <f>AND(#REF!,"AAAAAHjf/6s=")</f>
        <v>#REF!</v>
      </c>
      <c r="FQ68" t="e">
        <f>AND(#REF!,"AAAAAHjf/6w=")</f>
        <v>#REF!</v>
      </c>
      <c r="FR68" t="e">
        <f>AND(#REF!,"AAAAAHjf/60=")</f>
        <v>#REF!</v>
      </c>
      <c r="FS68" t="e">
        <f>AND(#REF!,"AAAAAHjf/64=")</f>
        <v>#REF!</v>
      </c>
      <c r="FT68" t="e">
        <f>AND(#REF!,"AAAAAHjf/68=")</f>
        <v>#REF!</v>
      </c>
      <c r="FU68" t="e">
        <f>AND(#REF!,"AAAAAHjf/7A=")</f>
        <v>#REF!</v>
      </c>
      <c r="FV68" t="e">
        <f>AND(#REF!,"AAAAAHjf/7E=")</f>
        <v>#REF!</v>
      </c>
      <c r="FW68" t="e">
        <f>IF(#REF!,"AAAAAHjf/7I=",0)</f>
        <v>#REF!</v>
      </c>
      <c r="FX68" t="e">
        <f>AND(#REF!,"AAAAAHjf/7M=")</f>
        <v>#REF!</v>
      </c>
      <c r="FY68" t="e">
        <f>AND(#REF!,"AAAAAHjf/7Q=")</f>
        <v>#REF!</v>
      </c>
      <c r="FZ68" t="e">
        <f>AND(#REF!,"AAAAAHjf/7U=")</f>
        <v>#REF!</v>
      </c>
      <c r="GA68" t="e">
        <f>AND(#REF!,"AAAAAHjf/7Y=")</f>
        <v>#REF!</v>
      </c>
      <c r="GB68" t="e">
        <f>AND(#REF!,"AAAAAHjf/7c=")</f>
        <v>#REF!</v>
      </c>
      <c r="GC68" t="e">
        <f>AND(#REF!,"AAAAAHjf/7g=")</f>
        <v>#REF!</v>
      </c>
      <c r="GD68" t="e">
        <f>AND(#REF!,"AAAAAHjf/7k=")</f>
        <v>#REF!</v>
      </c>
      <c r="GE68" t="e">
        <f>AND(#REF!,"AAAAAHjf/7o=")</f>
        <v>#REF!</v>
      </c>
      <c r="GF68" t="e">
        <f>AND(#REF!,"AAAAAHjf/7s=")</f>
        <v>#REF!</v>
      </c>
      <c r="GG68" t="e">
        <f>AND(#REF!,"AAAAAHjf/7w=")</f>
        <v>#REF!</v>
      </c>
      <c r="GH68" t="e">
        <f>AND(#REF!,"AAAAAHjf/70=")</f>
        <v>#REF!</v>
      </c>
      <c r="GI68" t="e">
        <f>AND(#REF!,"AAAAAHjf/74=")</f>
        <v>#REF!</v>
      </c>
      <c r="GJ68" t="e">
        <f>AND(#REF!,"AAAAAHjf/78=")</f>
        <v>#REF!</v>
      </c>
      <c r="GK68" t="e">
        <f>AND(#REF!,"AAAAAHjf/8A=")</f>
        <v>#REF!</v>
      </c>
      <c r="GL68" t="e">
        <f>IF(#REF!,"AAAAAHjf/8E=",0)</f>
        <v>#REF!</v>
      </c>
      <c r="GM68" t="e">
        <f>IF(#REF!,"AAAAAHjf/8I=",0)</f>
        <v>#REF!</v>
      </c>
      <c r="GN68" t="e">
        <f>IF(#REF!,"AAAAAHjf/8M=",0)</f>
        <v>#REF!</v>
      </c>
      <c r="GO68" t="e">
        <f>IF(#REF!,"AAAAAHjf/8Q=",0)</f>
        <v>#REF!</v>
      </c>
      <c r="GP68" t="e">
        <f>IF(#REF!,"AAAAAHjf/8U=",0)</f>
        <v>#REF!</v>
      </c>
      <c r="GQ68" t="e">
        <f>IF(#REF!,"AAAAAHjf/8Y=",0)</f>
        <v>#REF!</v>
      </c>
      <c r="GR68" t="e">
        <f>IF(#REF!,"AAAAAHjf/8c=",0)</f>
        <v>#REF!</v>
      </c>
      <c r="GS68" t="e">
        <f>IF(#REF!,"AAAAAHjf/8g=",0)</f>
        <v>#REF!</v>
      </c>
      <c r="GT68" t="e">
        <f>IF(#REF!,"AAAAAHjf/8k=",0)</f>
        <v>#REF!</v>
      </c>
      <c r="GU68" t="e">
        <f>IF(#REF!,"AAAAAHjf/8o=",0)</f>
        <v>#REF!</v>
      </c>
      <c r="GV68" t="e">
        <f>IF(#REF!,"AAAAAHjf/8s=",0)</f>
        <v>#REF!</v>
      </c>
      <c r="GW68" t="e">
        <f>IF(#REF!,"AAAAAHjf/8w=",0)</f>
        <v>#REF!</v>
      </c>
      <c r="GX68" t="e">
        <f>IF(#REF!,"AAAAAHjf/80=",0)</f>
        <v>#REF!</v>
      </c>
      <c r="GY68" t="e">
        <f>IF(#REF!,"AAAAAHjf/84=",0)</f>
        <v>#REF!</v>
      </c>
      <c r="GZ68" t="e">
        <f>IF(#REF!,"AAAAAHjf/88=",0)</f>
        <v>#REF!</v>
      </c>
      <c r="HA68" t="e">
        <f>IF(#REF!,"AAAAAHjf/9A=",0)</f>
        <v>#REF!</v>
      </c>
      <c r="HB68" t="e">
        <f>IF(#REF!,"AAAAAHjf/9E=",0)</f>
        <v>#REF!</v>
      </c>
      <c r="HC68" t="e">
        <f>IF(#REF!,"AAAAAHjf/9I=",0)</f>
        <v>#REF!</v>
      </c>
      <c r="HD68" t="e">
        <f>IF(#REF!,"AAAAAHjf/9M=",0)</f>
        <v>#REF!</v>
      </c>
      <c r="HE68" t="e">
        <f>IF(#REF!,"AAAAAHjf/9Q=",0)</f>
        <v>#REF!</v>
      </c>
      <c r="HF68" t="e">
        <f>IF(#REF!,"AAAAAHjf/9U=",0)</f>
        <v>#REF!</v>
      </c>
      <c r="HG68" t="e">
        <f>IF(#REF!,"AAAAAHjf/9Y=",0)</f>
        <v>#REF!</v>
      </c>
      <c r="HH68" t="e">
        <f>IF(#REF!,"AAAAAHjf/9c=",0)</f>
        <v>#REF!</v>
      </c>
      <c r="HI68" t="e">
        <f>IF(#REF!,"AAAAAHjf/9g=",0)</f>
        <v>#REF!</v>
      </c>
      <c r="HJ68" t="e">
        <f>IF(#REF!,"AAAAAHjf/9k=",0)</f>
        <v>#REF!</v>
      </c>
      <c r="HK68" t="e">
        <f>IF(#REF!,"AAAAAHjf/9o=",0)</f>
        <v>#REF!</v>
      </c>
      <c r="HL68" t="e">
        <f>IF(#REF!,"AAAAAHjf/9s=",0)</f>
        <v>#REF!</v>
      </c>
      <c r="HM68" t="e">
        <f>IF(#REF!,"AAAAAHjf/9w=",0)</f>
        <v>#REF!</v>
      </c>
      <c r="HN68" t="e">
        <f>IF(#REF!,"AAAAAHjf/90=",0)</f>
        <v>#REF!</v>
      </c>
      <c r="HO68" t="e">
        <f>IF(#REF!,"AAAAAHjf/94=",0)</f>
        <v>#REF!</v>
      </c>
      <c r="HP68" t="e">
        <f>IF(#REF!,"AAAAAHjf/98=",0)</f>
        <v>#REF!</v>
      </c>
      <c r="HQ68" t="e">
        <f>IF(#REF!,"AAAAAHjf/+A=",0)</f>
        <v>#REF!</v>
      </c>
      <c r="HR68" t="e">
        <f>IF(#REF!,"AAAAAHjf/+E=",0)</f>
        <v>#REF!</v>
      </c>
      <c r="HS68" t="e">
        <f>IF(#REF!,"AAAAAHjf/+I=",0)</f>
        <v>#REF!</v>
      </c>
      <c r="HT68" t="e">
        <f>IF(#REF!,"AAAAAHjf/+M=",0)</f>
        <v>#REF!</v>
      </c>
      <c r="HU68" t="e">
        <f>IF(#REF!,"AAAAAHjf/+Q=",0)</f>
        <v>#REF!</v>
      </c>
      <c r="HV68" t="e">
        <f>IF(#REF!,"AAAAAHjf/+U=",0)</f>
        <v>#REF!</v>
      </c>
      <c r="HW68" t="e">
        <f>IF(#REF!,"AAAAAHjf/+Y=",0)</f>
        <v>#REF!</v>
      </c>
      <c r="HX68" t="e">
        <f>IF(#REF!,"AAAAAHjf/+c=",0)</f>
        <v>#REF!</v>
      </c>
      <c r="HY68" t="e">
        <f>IF(#REF!,"AAAAAHjf/+g=",0)</f>
        <v>#REF!</v>
      </c>
      <c r="HZ68" t="e">
        <f>IF(#REF!,"AAAAAHjf/+k=",0)</f>
        <v>#REF!</v>
      </c>
      <c r="IA68" t="e">
        <f>IF(#REF!,"AAAAAHjf/+o=",0)</f>
        <v>#REF!</v>
      </c>
      <c r="IB68" t="e">
        <f>IF(#REF!,"AAAAAHjf/+s=",0)</f>
        <v>#REF!</v>
      </c>
      <c r="IC68" t="e">
        <f>IF("N",[0]!_xlnm._FilterDatabase,"AAAAAHjf/+w=")</f>
        <v>#VALUE!</v>
      </c>
      <c r="ID68" t="e">
        <f>IF("N",ETFSVE,"AAAAAHjf/+0=")</f>
        <v>#VALUE!</v>
      </c>
    </row>
    <row r="69" spans="1:256" x14ac:dyDescent="0.25">
      <c r="A69" t="e">
        <f>IF("N",[0]!_xlnm._FilterDatabase,"AAAAAHX+8QA=")</f>
        <v>#VALUE!</v>
      </c>
    </row>
    <row r="70" spans="1:256" x14ac:dyDescent="0.25">
      <c r="A70" t="e">
        <f>AND(#REF!,"AAAAAE//+gA=")</f>
        <v>#REF!</v>
      </c>
      <c r="B70" t="e">
        <f>AND(#REF!,"AAAAAE//+gE=")</f>
        <v>#REF!</v>
      </c>
      <c r="C70" t="e">
        <f>AND(#REF!,"AAAAAE//+gI=")</f>
        <v>#REF!</v>
      </c>
      <c r="D70" t="e">
        <f>AND(#REF!,"AAAAAE//+gM=")</f>
        <v>#REF!</v>
      </c>
      <c r="E70" t="e">
        <f>AND(#REF!,"AAAAAE//+gQ=")</f>
        <v>#REF!</v>
      </c>
      <c r="F70" t="e">
        <f>AND(#REF!,"AAAAAE//+gU=")</f>
        <v>#REF!</v>
      </c>
      <c r="G70" t="e">
        <f>AND(#REF!,"AAAAAE//+gY=")</f>
        <v>#REF!</v>
      </c>
      <c r="H70" t="e">
        <f>AND(#REF!,"AAAAAE//+gc=")</f>
        <v>#REF!</v>
      </c>
      <c r="I70" t="e">
        <f>AND(#REF!,"AAAAAE//+gg=")</f>
        <v>#REF!</v>
      </c>
      <c r="J70" t="e">
        <f>AND(#REF!,"AAAAAE//+gk=")</f>
        <v>#REF!</v>
      </c>
      <c r="K70" t="e">
        <f>AND(#REF!,"AAAAAE//+go=")</f>
        <v>#REF!</v>
      </c>
      <c r="L70" t="e">
        <f>AND(#REF!,"AAAAAE//+gs=")</f>
        <v>#REF!</v>
      </c>
      <c r="M70" t="e">
        <f>AND(#REF!,"AAAAAE//+gw=")</f>
        <v>#REF!</v>
      </c>
      <c r="N70" t="e">
        <f>AND(#REF!,"AAAAAE//+g0=")</f>
        <v>#REF!</v>
      </c>
      <c r="O70" t="e">
        <f>AND(#REF!,"AAAAAE//+g4=")</f>
        <v>#REF!</v>
      </c>
      <c r="P70" t="e">
        <f>AND(#REF!,"AAAAAE//+g8=")</f>
        <v>#REF!</v>
      </c>
      <c r="Q70" t="e">
        <f>AND(#REF!,"AAAAAE//+hA=")</f>
        <v>#REF!</v>
      </c>
      <c r="R70" t="e">
        <f>AND(#REF!,"AAAAAE//+hE=")</f>
        <v>#REF!</v>
      </c>
      <c r="S70" t="e">
        <f>AND(#REF!,"AAAAAE//+hI=")</f>
        <v>#REF!</v>
      </c>
      <c r="T70" t="e">
        <f>AND(#REF!,"AAAAAE//+hM=")</f>
        <v>#REF!</v>
      </c>
      <c r="U70" t="e">
        <f>AND(#REF!,"AAAAAE//+hQ=")</f>
        <v>#REF!</v>
      </c>
      <c r="V70" t="e">
        <f>AND(#REF!,"AAAAAE//+hU=")</f>
        <v>#REF!</v>
      </c>
      <c r="W70" t="e">
        <f>AND(#REF!,"AAAAAE//+hY=")</f>
        <v>#REF!</v>
      </c>
      <c r="X70" t="e">
        <f>AND(#REF!,"AAAAAE//+hc=")</f>
        <v>#REF!</v>
      </c>
      <c r="Y70" t="e">
        <f>AND(#REF!,"AAAAAE//+hg=")</f>
        <v>#REF!</v>
      </c>
      <c r="Z70" t="e">
        <f>AND(#REF!,"AAAAAE//+hk=")</f>
        <v>#REF!</v>
      </c>
      <c r="AA70" t="e">
        <f>AND(#REF!,"AAAAAE//+ho=")</f>
        <v>#REF!</v>
      </c>
      <c r="AB70" t="e">
        <f>AND(#REF!,"AAAAAE//+hs=")</f>
        <v>#REF!</v>
      </c>
      <c r="AC70" t="e">
        <f>AND(#REF!,"AAAAAE//+hw=")</f>
        <v>#REF!</v>
      </c>
      <c r="AD70" t="e">
        <f>AND(#REF!,"AAAAAE//+h0=")</f>
        <v>#REF!</v>
      </c>
      <c r="AE70" t="e">
        <f>AND(#REF!,"AAAAAE//+h4=")</f>
        <v>#REF!</v>
      </c>
      <c r="AF70" t="e">
        <f>AND(#REF!,"AAAAAE//+h8=")</f>
        <v>#REF!</v>
      </c>
      <c r="AG70" t="e">
        <f>AND(#REF!,"AAAAAE//+iA=")</f>
        <v>#REF!</v>
      </c>
      <c r="AH70" t="e">
        <f>AND(#REF!,"AAAAAE//+iE=")</f>
        <v>#REF!</v>
      </c>
      <c r="AI70" t="e">
        <f>AND(#REF!,"AAAAAE//+iI=")</f>
        <v>#REF!</v>
      </c>
      <c r="AJ70" t="e">
        <f>AND(#REF!,"AAAAAE//+iM=")</f>
        <v>#REF!</v>
      </c>
      <c r="AK70" t="e">
        <f>AND(#REF!,"AAAAAE//+iQ=")</f>
        <v>#REF!</v>
      </c>
      <c r="AL70" t="e">
        <f>AND(#REF!,"AAAAAE//+iU=")</f>
        <v>#REF!</v>
      </c>
      <c r="AM70" t="e">
        <f>AND(#REF!,"AAAAAE//+iY=")</f>
        <v>#REF!</v>
      </c>
      <c r="AN70" t="e">
        <f>AND(#REF!,"AAAAAE//+ic=")</f>
        <v>#REF!</v>
      </c>
      <c r="AO70" t="e">
        <f>AND(#REF!,"AAAAAE//+ig=")</f>
        <v>#REF!</v>
      </c>
      <c r="AP70" t="e">
        <f>AND(#REF!,"AAAAAE//+ik=")</f>
        <v>#REF!</v>
      </c>
      <c r="AQ70" t="e">
        <f>AND(#REF!,"AAAAAE//+io=")</f>
        <v>#REF!</v>
      </c>
      <c r="AR70" t="e">
        <f>AND(#REF!,"AAAAAE//+is=")</f>
        <v>#REF!</v>
      </c>
      <c r="AS70" t="e">
        <f>AND(#REF!,"AAAAAE//+iw=")</f>
        <v>#REF!</v>
      </c>
      <c r="AT70" t="e">
        <f>AND(#REF!,"AAAAAE//+i0=")</f>
        <v>#REF!</v>
      </c>
      <c r="AU70" t="e">
        <f>AND(#REF!,"AAAAAE//+i4=")</f>
        <v>#REF!</v>
      </c>
      <c r="AV70" t="e">
        <f>AND(#REF!,"AAAAAE//+i8=")</f>
        <v>#REF!</v>
      </c>
      <c r="AW70" t="e">
        <f>AND(#REF!,"AAAAAE//+jA=")</f>
        <v>#REF!</v>
      </c>
      <c r="AX70" t="e">
        <f>AND(#REF!,"AAAAAE//+jE=")</f>
        <v>#REF!</v>
      </c>
      <c r="AY70" t="e">
        <f>AND(#REF!,"AAAAAE//+jI=")</f>
        <v>#REF!</v>
      </c>
      <c r="AZ70" t="e">
        <f>AND(#REF!,"AAAAAE//+jM=")</f>
        <v>#REF!</v>
      </c>
      <c r="BA70" t="e">
        <f>AND(#REF!,"AAAAAE//+jQ=")</f>
        <v>#REF!</v>
      </c>
      <c r="BB70" t="e">
        <f>AND(#REF!,"AAAAAE//+jU=")</f>
        <v>#REF!</v>
      </c>
      <c r="BC70" t="e">
        <f>AND(#REF!,"AAAAAE//+jY=")</f>
        <v>#REF!</v>
      </c>
      <c r="BD70" t="e">
        <f>AND(#REF!,"AAAAAE//+jc=")</f>
        <v>#REF!</v>
      </c>
      <c r="BE70" t="e">
        <f>AND(#REF!,"AAAAAE//+jg=")</f>
        <v>#REF!</v>
      </c>
      <c r="BF70" t="e">
        <f>AND(#REF!,"AAAAAE//+jk=")</f>
        <v>#REF!</v>
      </c>
      <c r="BG70" t="e">
        <f>AND(#REF!,"AAAAAE//+jo=")</f>
        <v>#REF!</v>
      </c>
      <c r="BH70" t="e">
        <f>AND(#REF!,"AAAAAE//+js=")</f>
        <v>#REF!</v>
      </c>
      <c r="BI70" t="e">
        <f>AND(#REF!,"AAAAAE//+jw=")</f>
        <v>#REF!</v>
      </c>
      <c r="BJ70" t="e">
        <f>AND(#REF!,"AAAAAE//+j0=")</f>
        <v>#REF!</v>
      </c>
      <c r="BK70" t="e">
        <f>AND(#REF!,"AAAAAE//+j4=")</f>
        <v>#REF!</v>
      </c>
      <c r="BL70" t="e">
        <f>AND(#REF!,"AAAAAE//+j8=")</f>
        <v>#REF!</v>
      </c>
      <c r="BM70" t="e">
        <f>AND(#REF!,"AAAAAE//+kA=")</f>
        <v>#REF!</v>
      </c>
      <c r="BN70" t="e">
        <f>AND(#REF!,"AAAAAE//+kE=")</f>
        <v>#REF!</v>
      </c>
      <c r="BO70" t="e">
        <f>AND(#REF!,"AAAAAE//+kI=")</f>
        <v>#REF!</v>
      </c>
      <c r="BP70" t="e">
        <f>AND(#REF!,"AAAAAE//+kM=")</f>
        <v>#REF!</v>
      </c>
      <c r="BQ70" t="e">
        <f>AND(#REF!,"AAAAAE//+kQ=")</f>
        <v>#REF!</v>
      </c>
      <c r="BR70" t="e">
        <f>AND(#REF!,"AAAAAE//+kU=")</f>
        <v>#REF!</v>
      </c>
      <c r="BS70" t="e">
        <f>AND(#REF!,"AAAAAE//+kY=")</f>
        <v>#REF!</v>
      </c>
      <c r="BT70" t="e">
        <f>AND(#REF!,"AAAAAE//+kc=")</f>
        <v>#REF!</v>
      </c>
      <c r="BU70" t="e">
        <f>AND(#REF!,"AAAAAE//+kg=")</f>
        <v>#REF!</v>
      </c>
      <c r="BV70" t="e">
        <f>AND(#REF!,"AAAAAE//+kk=")</f>
        <v>#REF!</v>
      </c>
      <c r="BW70" t="e">
        <f>AND(#REF!,"AAAAAE//+ko=")</f>
        <v>#REF!</v>
      </c>
      <c r="BX70" t="e">
        <f>AND(#REF!,"AAAAAE//+ks=")</f>
        <v>#REF!</v>
      </c>
      <c r="BY70" t="e">
        <f>AND(#REF!,"AAAAAE//+kw=")</f>
        <v>#REF!</v>
      </c>
      <c r="BZ70" t="e">
        <f>AND(#REF!,"AAAAAE//+k0=")</f>
        <v>#REF!</v>
      </c>
      <c r="CA70" t="e">
        <f>AND(#REF!,"AAAAAE//+k4=")</f>
        <v>#REF!</v>
      </c>
      <c r="CB70" t="e">
        <f>AND(#REF!,"AAAAAE//+k8=")</f>
        <v>#REF!</v>
      </c>
      <c r="CC70" t="e">
        <f>AND(#REF!,"AAAAAE//+lA=")</f>
        <v>#REF!</v>
      </c>
      <c r="CD70" t="e">
        <f>AND(#REF!,"AAAAAE//+lE=")</f>
        <v>#REF!</v>
      </c>
      <c r="CE70" t="e">
        <f>AND(#REF!,"AAAAAE//+lI=")</f>
        <v>#REF!</v>
      </c>
      <c r="CF70" t="e">
        <f>AND(#REF!,"AAAAAE//+lM=")</f>
        <v>#REF!</v>
      </c>
      <c r="CG70" t="e">
        <f>AND(#REF!,"AAAAAE//+lQ=")</f>
        <v>#REF!</v>
      </c>
      <c r="CH70" t="e">
        <f>AND(#REF!,"AAAAAE//+lU=")</f>
        <v>#REF!</v>
      </c>
      <c r="CI70" t="e">
        <f>AND(#REF!,"AAAAAE//+lY=")</f>
        <v>#REF!</v>
      </c>
      <c r="CJ70" t="e">
        <f>AND(#REF!,"AAAAAE//+lc=")</f>
        <v>#REF!</v>
      </c>
      <c r="CK70" t="e">
        <f>AND(#REF!,"AAAAAE//+lg=")</f>
        <v>#REF!</v>
      </c>
      <c r="CL70" t="e">
        <f>AND(#REF!,"AAAAAE//+lk=")</f>
        <v>#REF!</v>
      </c>
      <c r="CM70" t="e">
        <f>AND(#REF!,"AAAAAE//+lo=")</f>
        <v>#REF!</v>
      </c>
      <c r="CN70" t="e">
        <f>AND(#REF!,"AAAAAE//+ls=")</f>
        <v>#REF!</v>
      </c>
      <c r="CO70" t="e">
        <f>AND(#REF!,"AAAAAE//+lw=")</f>
        <v>#REF!</v>
      </c>
      <c r="CP70" t="e">
        <f>AND(#REF!,"AAAAAE//+l0=")</f>
        <v>#REF!</v>
      </c>
      <c r="CQ70" t="e">
        <f>AND(#REF!,"AAAAAE//+l4=")</f>
        <v>#REF!</v>
      </c>
      <c r="CR70" t="e">
        <f>AND(#REF!,"AAAAAE//+l8=")</f>
        <v>#REF!</v>
      </c>
      <c r="CS70" t="e">
        <f>AND(#REF!,"AAAAAE//+mA=")</f>
        <v>#REF!</v>
      </c>
      <c r="CT70" t="e">
        <f>AND(#REF!,"AAAAAE//+mE=")</f>
        <v>#REF!</v>
      </c>
      <c r="CU70" t="e">
        <f>AND(#REF!,"AAAAAE//+mI=")</f>
        <v>#REF!</v>
      </c>
      <c r="CV70" t="e">
        <f>AND(#REF!,"AAAAAE//+mM=")</f>
        <v>#REF!</v>
      </c>
      <c r="CW70" t="e">
        <f>AND(#REF!,"AAAAAE//+mQ=")</f>
        <v>#REF!</v>
      </c>
      <c r="CX70" t="e">
        <f>AND(#REF!,"AAAAAE//+mU=")</f>
        <v>#REF!</v>
      </c>
      <c r="CY70" t="e">
        <f>AND(#REF!,"AAAAAE//+mY=")</f>
        <v>#REF!</v>
      </c>
      <c r="CZ70" t="e">
        <f>AND(#REF!,"AAAAAE//+mc=")</f>
        <v>#REF!</v>
      </c>
      <c r="DA70" t="e">
        <f>AND(#REF!,"AAAAAE//+mg=")</f>
        <v>#REF!</v>
      </c>
      <c r="DB70" t="e">
        <f>AND(#REF!,"AAAAAE//+mk=")</f>
        <v>#REF!</v>
      </c>
      <c r="DC70" t="e">
        <f>AND(#REF!,"AAAAAE//+mo=")</f>
        <v>#REF!</v>
      </c>
      <c r="DD70" t="e">
        <f>AND(#REF!,"AAAAAE//+ms=")</f>
        <v>#REF!</v>
      </c>
      <c r="DE70" t="e">
        <f>AND(#REF!,"AAAAAE//+mw=")</f>
        <v>#REF!</v>
      </c>
      <c r="DF70" t="e">
        <f>AND(#REF!,"AAAAAE//+m0=")</f>
        <v>#REF!</v>
      </c>
      <c r="DG70" t="e">
        <f>AND(#REF!,"AAAAAE//+m4=")</f>
        <v>#REF!</v>
      </c>
      <c r="DH70" t="e">
        <f>AND(#REF!,"AAAAAE//+m8=")</f>
        <v>#REF!</v>
      </c>
      <c r="DI70" t="e">
        <f>AND(#REF!,"AAAAAE//+nA=")</f>
        <v>#REF!</v>
      </c>
      <c r="DJ70" t="e">
        <f>AND(#REF!,"AAAAAE//+nE=")</f>
        <v>#REF!</v>
      </c>
      <c r="DK70" t="e">
        <f>AND(#REF!,"AAAAAE//+nI=")</f>
        <v>#REF!</v>
      </c>
      <c r="DL70" t="e">
        <f>AND(#REF!,"AAAAAE//+nM=")</f>
        <v>#REF!</v>
      </c>
      <c r="DM70" t="e">
        <f>AND(#REF!,"AAAAAE//+nQ=")</f>
        <v>#REF!</v>
      </c>
      <c r="DN70" t="e">
        <f>AND(#REF!,"AAAAAE//+nU=")</f>
        <v>#REF!</v>
      </c>
      <c r="DO70" t="e">
        <f>AND(#REF!,"AAAAAE//+nY=")</f>
        <v>#REF!</v>
      </c>
      <c r="DP70" t="e">
        <f>AND(#REF!,"AAAAAE//+nc=")</f>
        <v>#REF!</v>
      </c>
      <c r="DQ70" t="e">
        <f>AND(#REF!,"AAAAAE//+ng=")</f>
        <v>#REF!</v>
      </c>
      <c r="DR70" t="e">
        <f>AND(#REF!,"AAAAAE//+nk=")</f>
        <v>#REF!</v>
      </c>
      <c r="DS70" t="e">
        <f>AND(#REF!,"AAAAAE//+no=")</f>
        <v>#REF!</v>
      </c>
      <c r="DT70" t="e">
        <f>AND(#REF!,"AAAAAE//+ns=")</f>
        <v>#REF!</v>
      </c>
      <c r="DU70" t="e">
        <f>AND(#REF!,"AAAAAE//+nw=")</f>
        <v>#REF!</v>
      </c>
      <c r="DV70" t="e">
        <f>AND(#REF!,"AAAAAE//+n0=")</f>
        <v>#REF!</v>
      </c>
      <c r="DW70" t="e">
        <f>AND(#REF!,"AAAAAE//+n4=")</f>
        <v>#REF!</v>
      </c>
      <c r="DX70" t="e">
        <f>AND(#REF!,"AAAAAE//+n8=")</f>
        <v>#REF!</v>
      </c>
      <c r="DY70" t="e">
        <f>AND(#REF!,"AAAAAE//+oA=")</f>
        <v>#REF!</v>
      </c>
      <c r="DZ70" t="e">
        <f>AND(#REF!,"AAAAAE//+oE=")</f>
        <v>#REF!</v>
      </c>
      <c r="EA70" t="e">
        <f>AND(#REF!,"AAAAAE//+oI=")</f>
        <v>#REF!</v>
      </c>
      <c r="EB70" t="e">
        <f>AND(#REF!,"AAAAAE//+oM=")</f>
        <v>#REF!</v>
      </c>
      <c r="EC70" t="e">
        <f>AND(#REF!,"AAAAAE//+oQ=")</f>
        <v>#REF!</v>
      </c>
      <c r="ED70" t="e">
        <f>AND(#REF!,"AAAAAE//+oU=")</f>
        <v>#REF!</v>
      </c>
      <c r="EE70" t="e">
        <f>AND(#REF!,"AAAAAE//+oY=")</f>
        <v>#REF!</v>
      </c>
      <c r="EF70" t="e">
        <f>AND(#REF!,"AAAAAE//+oc=")</f>
        <v>#REF!</v>
      </c>
      <c r="EG70" t="e">
        <f>AND(#REF!,"AAAAAE//+og=")</f>
        <v>#REF!</v>
      </c>
      <c r="EH70" t="e">
        <f>AND(#REF!,"AAAAAE//+ok=")</f>
        <v>#REF!</v>
      </c>
      <c r="EI70" t="e">
        <f>AND(#REF!,"AAAAAE//+oo=")</f>
        <v>#REF!</v>
      </c>
      <c r="EJ70" t="e">
        <f>AND(#REF!,"AAAAAE//+os=")</f>
        <v>#REF!</v>
      </c>
      <c r="EK70" t="e">
        <f>AND(#REF!,"AAAAAE//+ow=")</f>
        <v>#REF!</v>
      </c>
      <c r="EL70" t="e">
        <f>AND(#REF!,"AAAAAE//+o0=")</f>
        <v>#REF!</v>
      </c>
      <c r="EM70" t="e">
        <f>AND(#REF!,"AAAAAE//+o4=")</f>
        <v>#REF!</v>
      </c>
      <c r="EN70" t="e">
        <f>AND(#REF!,"AAAAAE//+o8=")</f>
        <v>#REF!</v>
      </c>
      <c r="EO70" t="e">
        <f>AND(#REF!,"AAAAAE//+pA=")</f>
        <v>#REF!</v>
      </c>
      <c r="EP70" t="e">
        <f>AND(#REF!,"AAAAAE//+pE=")</f>
        <v>#REF!</v>
      </c>
      <c r="EQ70" t="e">
        <f>AND(#REF!,"AAAAAE//+pI=")</f>
        <v>#REF!</v>
      </c>
      <c r="ER70" t="e">
        <f>AND(#REF!,"AAAAAE//+pM=")</f>
        <v>#REF!</v>
      </c>
      <c r="ES70" t="e">
        <f>AND(#REF!,"AAAAAE//+pQ=")</f>
        <v>#REF!</v>
      </c>
      <c r="ET70" t="e">
        <f>AND(#REF!,"AAAAAE//+pU=")</f>
        <v>#REF!</v>
      </c>
      <c r="EU70" t="e">
        <f>AND(#REF!,"AAAAAE//+pY=")</f>
        <v>#REF!</v>
      </c>
      <c r="EV70" t="e">
        <f>AND(#REF!,"AAAAAE//+pc=")</f>
        <v>#REF!</v>
      </c>
      <c r="EW70" t="e">
        <f>AND(#REF!,"AAAAAE//+pg=")</f>
        <v>#REF!</v>
      </c>
      <c r="EX70" t="e">
        <f>AND(#REF!,"AAAAAE//+pk=")</f>
        <v>#REF!</v>
      </c>
      <c r="EY70" t="e">
        <f>AND(#REF!,"AAAAAE//+po=")</f>
        <v>#REF!</v>
      </c>
      <c r="EZ70" t="e">
        <f>AND(#REF!,"AAAAAE//+ps=")</f>
        <v>#REF!</v>
      </c>
      <c r="FA70" t="e">
        <f>AND(#REF!,"AAAAAE//+pw=")</f>
        <v>#REF!</v>
      </c>
      <c r="FB70" t="e">
        <f>AND(#REF!,"AAAAAE//+p0=")</f>
        <v>#REF!</v>
      </c>
      <c r="FC70" t="e">
        <f>AND(#REF!,"AAAAAE//+p4=")</f>
        <v>#REF!</v>
      </c>
      <c r="FD70" t="e">
        <f>AND(#REF!,"AAAAAE//+p8=")</f>
        <v>#REF!</v>
      </c>
      <c r="FE70" t="e">
        <f>AND(#REF!,"AAAAAE//+qA=")</f>
        <v>#REF!</v>
      </c>
      <c r="FF70" t="e">
        <f>AND(#REF!,"AAAAAE//+qE=")</f>
        <v>#REF!</v>
      </c>
      <c r="FG70" t="e">
        <f>AND(#REF!,"AAAAAE//+qI=")</f>
        <v>#REF!</v>
      </c>
      <c r="FH70" t="e">
        <f>AND(#REF!,"AAAAAE//+qM=")</f>
        <v>#REF!</v>
      </c>
      <c r="FI70" t="e">
        <f>AND(#REF!,"AAAAAE//+qQ=")</f>
        <v>#REF!</v>
      </c>
      <c r="FJ70" t="e">
        <f>AND(#REF!,"AAAAAE//+qU=")</f>
        <v>#REF!</v>
      </c>
      <c r="FK70" t="e">
        <f>AND(#REF!,"AAAAAE//+qY=")</f>
        <v>#REF!</v>
      </c>
      <c r="FL70" t="e">
        <f>AND(#REF!,"AAAAAE//+qc=")</f>
        <v>#REF!</v>
      </c>
      <c r="FM70" t="e">
        <f>AND(#REF!,"AAAAAE//+qg=")</f>
        <v>#REF!</v>
      </c>
      <c r="FN70" t="e">
        <f>AND(#REF!,"AAAAAE//+qk=")</f>
        <v>#REF!</v>
      </c>
      <c r="FO70" t="e">
        <f>AND(#REF!,"AAAAAE//+qo=")</f>
        <v>#REF!</v>
      </c>
      <c r="FP70" t="e">
        <f>AND(#REF!,"AAAAAE//+qs=")</f>
        <v>#REF!</v>
      </c>
      <c r="FQ70" t="e">
        <f>AND(#REF!,"AAAAAE//+qw=")</f>
        <v>#REF!</v>
      </c>
      <c r="FR70" t="e">
        <f>AND(#REF!,"AAAAAE//+q0=")</f>
        <v>#REF!</v>
      </c>
      <c r="FS70" t="e">
        <f>AND(#REF!,"AAAAAE//+q4=")</f>
        <v>#REF!</v>
      </c>
      <c r="FT70" t="e">
        <f>AND(#REF!,"AAAAAE//+q8=")</f>
        <v>#REF!</v>
      </c>
      <c r="FU70" t="e">
        <f>AND(#REF!,"AAAAAE//+rA=")</f>
        <v>#REF!</v>
      </c>
      <c r="FV70" t="e">
        <f>AND(#REF!,"AAAAAE//+rE=")</f>
        <v>#REF!</v>
      </c>
      <c r="FW70" t="e">
        <f>AND(#REF!,"AAAAAE//+rI=")</f>
        <v>#REF!</v>
      </c>
      <c r="FX70" t="e">
        <f>AND(#REF!,"AAAAAE//+rM=")</f>
        <v>#REF!</v>
      </c>
      <c r="FY70" t="e">
        <f>AND(#REF!,"AAAAAE//+rQ=")</f>
        <v>#REF!</v>
      </c>
      <c r="FZ70" t="e">
        <f>AND(#REF!,"AAAAAE//+rU=")</f>
        <v>#REF!</v>
      </c>
      <c r="GA70" t="e">
        <f>AND(#REF!,"AAAAAE//+rY=")</f>
        <v>#REF!</v>
      </c>
      <c r="GB70" t="e">
        <f>AND(#REF!,"AAAAAE//+rc=")</f>
        <v>#REF!</v>
      </c>
      <c r="GC70" t="e">
        <f>AND(#REF!,"AAAAAE//+rg=")</f>
        <v>#REF!</v>
      </c>
      <c r="GD70" t="e">
        <f>AND(#REF!,"AAAAAE//+rk=")</f>
        <v>#REF!</v>
      </c>
      <c r="GE70" t="e">
        <f>AND(#REF!,"AAAAAE//+ro=")</f>
        <v>#REF!</v>
      </c>
      <c r="GF70" t="e">
        <f>AND(#REF!,"AAAAAE//+rs=")</f>
        <v>#REF!</v>
      </c>
      <c r="GG70" t="e">
        <f>AND(#REF!,"AAAAAE//+rw=")</f>
        <v>#REF!</v>
      </c>
      <c r="GH70" t="e">
        <f>AND(#REF!,"AAAAAE//+r0=")</f>
        <v>#REF!</v>
      </c>
      <c r="GI70" t="e">
        <f>AND(#REF!,"AAAAAE//+r4=")</f>
        <v>#REF!</v>
      </c>
      <c r="GJ70" t="e">
        <f>AND(#REF!,"AAAAAE//+r8=")</f>
        <v>#REF!</v>
      </c>
      <c r="GK70" t="e">
        <f>AND(#REF!,"AAAAAE//+sA=")</f>
        <v>#REF!</v>
      </c>
      <c r="GL70" t="e">
        <f>AND(#REF!,"AAAAAE//+sE=")</f>
        <v>#REF!</v>
      </c>
      <c r="GM70" t="e">
        <f>AND(#REF!,"AAAAAE//+sI=")</f>
        <v>#REF!</v>
      </c>
      <c r="GN70" t="e">
        <f>AND(#REF!,"AAAAAE//+sM=")</f>
        <v>#REF!</v>
      </c>
      <c r="GO70" t="e">
        <f>AND(#REF!,"AAAAAE//+sQ=")</f>
        <v>#REF!</v>
      </c>
      <c r="GP70" t="e">
        <f>AND(#REF!,"AAAAAE//+sU=")</f>
        <v>#REF!</v>
      </c>
      <c r="GQ70" t="e">
        <f>AND(#REF!,"AAAAAE//+sY=")</f>
        <v>#REF!</v>
      </c>
      <c r="GR70" t="e">
        <f>AND(#REF!,"AAAAAE//+sc=")</f>
        <v>#REF!</v>
      </c>
      <c r="GS70" t="e">
        <f>AND(#REF!,"AAAAAE//+sg=")</f>
        <v>#REF!</v>
      </c>
      <c r="GT70" t="e">
        <f>AND(#REF!,"AAAAAE//+sk=")</f>
        <v>#REF!</v>
      </c>
      <c r="GU70" t="e">
        <f>AND(#REF!,"AAAAAE//+so=")</f>
        <v>#REF!</v>
      </c>
      <c r="GV70" t="e">
        <f>AND(#REF!,"AAAAAE//+ss=")</f>
        <v>#REF!</v>
      </c>
      <c r="GW70" t="e">
        <f>AND(#REF!,"AAAAAE//+sw=")</f>
        <v>#REF!</v>
      </c>
      <c r="GX70" t="e">
        <f>AND(#REF!,"AAAAAE//+s0=")</f>
        <v>#REF!</v>
      </c>
      <c r="GY70" t="e">
        <f>AND(#REF!,"AAAAAE//+s4=")</f>
        <v>#REF!</v>
      </c>
      <c r="GZ70" t="e">
        <f>AND(#REF!,"AAAAAE//+s8=")</f>
        <v>#REF!</v>
      </c>
      <c r="HA70" t="e">
        <f>AND(#REF!,"AAAAAE//+tA=")</f>
        <v>#REF!</v>
      </c>
      <c r="HB70" t="e">
        <f>AND(#REF!,"AAAAAE//+tE=")</f>
        <v>#REF!</v>
      </c>
      <c r="HC70" t="e">
        <f>AND(#REF!,"AAAAAE//+tI=")</f>
        <v>#REF!</v>
      </c>
      <c r="HD70" t="e">
        <f>AND(#REF!,"AAAAAE//+tM=")</f>
        <v>#REF!</v>
      </c>
      <c r="HE70" t="e">
        <f>AND(#REF!,"AAAAAE//+tQ=")</f>
        <v>#REF!</v>
      </c>
      <c r="HF70" t="e">
        <f>AND(#REF!,"AAAAAE//+tU=")</f>
        <v>#REF!</v>
      </c>
      <c r="HG70" t="e">
        <f>AND(#REF!,"AAAAAE//+tY=")</f>
        <v>#REF!</v>
      </c>
      <c r="HH70" t="e">
        <f>AND(#REF!,"AAAAAE//+tc=")</f>
        <v>#REF!</v>
      </c>
      <c r="HI70" t="e">
        <f>AND(#REF!,"AAAAAE//+tg=")</f>
        <v>#REF!</v>
      </c>
      <c r="HJ70" t="e">
        <f>AND(#REF!,"AAAAAE//+tk=")</f>
        <v>#REF!</v>
      </c>
      <c r="HK70" t="e">
        <f>AND(#REF!,"AAAAAE//+to=")</f>
        <v>#REF!</v>
      </c>
      <c r="HL70" t="e">
        <f>AND(#REF!,"AAAAAE//+ts=")</f>
        <v>#REF!</v>
      </c>
      <c r="HM70" t="e">
        <f>AND(#REF!,"AAAAAE//+tw=")</f>
        <v>#REF!</v>
      </c>
      <c r="HN70" t="e">
        <f>AND(#REF!,"AAAAAE//+t0=")</f>
        <v>#REF!</v>
      </c>
      <c r="HO70" t="e">
        <f>AND(#REF!,"AAAAAE//+t4=")</f>
        <v>#REF!</v>
      </c>
      <c r="HP70" t="e">
        <f>AND(#REF!,"AAAAAE//+t8=")</f>
        <v>#REF!</v>
      </c>
      <c r="HQ70" t="e">
        <f>AND(#REF!,"AAAAAE//+uA=")</f>
        <v>#REF!</v>
      </c>
      <c r="HR70" t="e">
        <f>AND(#REF!,"AAAAAE//+uE=")</f>
        <v>#REF!</v>
      </c>
      <c r="HS70" t="e">
        <f>AND(#REF!,"AAAAAE//+uI=")</f>
        <v>#REF!</v>
      </c>
      <c r="HT70" t="e">
        <f>AND(#REF!,"AAAAAE//+uM=")</f>
        <v>#REF!</v>
      </c>
      <c r="HU70" t="e">
        <f>AND(#REF!,"AAAAAE//+uQ=")</f>
        <v>#REF!</v>
      </c>
      <c r="HV70" t="e">
        <f>AND(#REF!,"AAAAAE//+uU=")</f>
        <v>#REF!</v>
      </c>
      <c r="HW70" t="e">
        <f>AND(#REF!,"AAAAAE//+uY=")</f>
        <v>#REF!</v>
      </c>
      <c r="HX70" t="e">
        <f>AND(#REF!,"AAAAAE//+uc=")</f>
        <v>#REF!</v>
      </c>
      <c r="HY70" t="e">
        <f>AND(#REF!,"AAAAAE//+ug=")</f>
        <v>#REF!</v>
      </c>
      <c r="HZ70" t="e">
        <f>AND(#REF!,"AAAAAE//+uk=")</f>
        <v>#REF!</v>
      </c>
      <c r="IA70" t="e">
        <f>AND(#REF!,"AAAAAE//+uo=")</f>
        <v>#REF!</v>
      </c>
      <c r="IB70" t="e">
        <f>AND(#REF!,"AAAAAE//+us=")</f>
        <v>#REF!</v>
      </c>
      <c r="IC70" t="e">
        <f>AND(#REF!,"AAAAAE//+uw=")</f>
        <v>#REF!</v>
      </c>
      <c r="ID70" t="e">
        <f>AND(#REF!,"AAAAAE//+u0=")</f>
        <v>#REF!</v>
      </c>
      <c r="IE70" t="e">
        <f>AND(#REF!,"AAAAAE//+u4=")</f>
        <v>#REF!</v>
      </c>
      <c r="IF70" t="e">
        <f>AND(#REF!,"AAAAAE//+u8=")</f>
        <v>#REF!</v>
      </c>
      <c r="IG70" t="e">
        <f>AND(#REF!,"AAAAAE//+vA=")</f>
        <v>#REF!</v>
      </c>
      <c r="IH70" t="e">
        <f>AND(#REF!,"AAAAAE//+vE=")</f>
        <v>#REF!</v>
      </c>
      <c r="II70" t="e">
        <f>AND(#REF!,"AAAAAE//+vI=")</f>
        <v>#REF!</v>
      </c>
      <c r="IJ70" t="e">
        <f>AND(#REF!,"AAAAAE//+vM=")</f>
        <v>#REF!</v>
      </c>
      <c r="IK70" t="e">
        <f>AND(#REF!,"AAAAAE//+vQ=")</f>
        <v>#REF!</v>
      </c>
      <c r="IL70" t="e">
        <f>AND(#REF!,"AAAAAE//+vU=")</f>
        <v>#REF!</v>
      </c>
      <c r="IM70" t="e">
        <f>AND(#REF!,"AAAAAE//+vY=")</f>
        <v>#REF!</v>
      </c>
      <c r="IN70" t="e">
        <f>AND(#REF!,"AAAAAE//+vc=")</f>
        <v>#REF!</v>
      </c>
      <c r="IO70" t="e">
        <f>AND(#REF!,"AAAAAE//+vg=")</f>
        <v>#REF!</v>
      </c>
      <c r="IP70" t="e">
        <f>AND(#REF!,"AAAAAE//+vk=")</f>
        <v>#REF!</v>
      </c>
      <c r="IQ70" t="e">
        <f>AND(#REF!,"AAAAAE//+vo=")</f>
        <v>#REF!</v>
      </c>
      <c r="IR70" t="e">
        <f>AND(#REF!,"AAAAAE//+vs=")</f>
        <v>#REF!</v>
      </c>
      <c r="IS70" t="e">
        <f>AND(#REF!,"AAAAAE//+vw=")</f>
        <v>#REF!</v>
      </c>
      <c r="IT70" t="e">
        <f>AND(#REF!,"AAAAAE//+v0=")</f>
        <v>#REF!</v>
      </c>
      <c r="IU70" t="e">
        <f>AND(#REF!,"AAAAAE//+v4=")</f>
        <v>#REF!</v>
      </c>
      <c r="IV70" t="e">
        <f>AND(#REF!,"AAAAAE//+v8=")</f>
        <v>#REF!</v>
      </c>
    </row>
    <row r="71" spans="1:256" x14ac:dyDescent="0.25">
      <c r="A71" t="e">
        <f>AND(#REF!,"AAAAACb+/gA=")</f>
        <v>#REF!</v>
      </c>
      <c r="B71" t="e">
        <f>AND(#REF!,"AAAAACb+/gE=")</f>
        <v>#REF!</v>
      </c>
      <c r="C71" t="e">
        <f>AND(#REF!,"AAAAACb+/gI=")</f>
        <v>#REF!</v>
      </c>
      <c r="D71" t="e">
        <f>AND(#REF!,"AAAAACb+/gM=")</f>
        <v>#REF!</v>
      </c>
      <c r="E71" t="e">
        <f>AND(#REF!,"AAAAACb+/gQ=")</f>
        <v>#REF!</v>
      </c>
      <c r="F71" t="e">
        <f>AND(#REF!,"AAAAACb+/gU=")</f>
        <v>#REF!</v>
      </c>
      <c r="G71" t="e">
        <f>AND(#REF!,"AAAAACb+/gY=")</f>
        <v>#REF!</v>
      </c>
      <c r="H71" t="e">
        <f>AND(#REF!,"AAAAACb+/gc=")</f>
        <v>#REF!</v>
      </c>
      <c r="I71" t="e">
        <f>AND(#REF!,"AAAAACb+/gg=")</f>
        <v>#REF!</v>
      </c>
      <c r="J71" t="e">
        <f>AND(#REF!,"AAAAACb+/gk=")</f>
        <v>#REF!</v>
      </c>
      <c r="K71" t="e">
        <f>AND(#REF!,"AAAAACb+/go=")</f>
        <v>#REF!</v>
      </c>
      <c r="L71" t="e">
        <f>AND(#REF!,"AAAAACb+/gs=")</f>
        <v>#REF!</v>
      </c>
      <c r="M71" t="e">
        <f>AND(#REF!,"AAAAACb+/gw=")</f>
        <v>#REF!</v>
      </c>
      <c r="N71" t="e">
        <f>AND(#REF!,"AAAAACb+/g0=")</f>
        <v>#REF!</v>
      </c>
      <c r="O71" t="e">
        <f>AND(#REF!,"AAAAACb+/g4=")</f>
        <v>#REF!</v>
      </c>
      <c r="P71" t="e">
        <f>AND(#REF!,"AAAAACb+/g8=")</f>
        <v>#REF!</v>
      </c>
      <c r="Q71" t="e">
        <f>AND(#REF!,"AAAAACb+/hA=")</f>
        <v>#REF!</v>
      </c>
      <c r="R71" t="e">
        <f>AND(#REF!,"AAAAACb+/hE=")</f>
        <v>#REF!</v>
      </c>
      <c r="S71" t="e">
        <f>AND(#REF!,"AAAAACb+/hI=")</f>
        <v>#REF!</v>
      </c>
      <c r="T71" t="e">
        <f>AND(#REF!,"AAAAACb+/hM=")</f>
        <v>#REF!</v>
      </c>
      <c r="U71" t="e">
        <f>AND(#REF!,"AAAAACb+/hQ=")</f>
        <v>#REF!</v>
      </c>
      <c r="V71" t="e">
        <f>AND(#REF!,"AAAAACb+/hU=")</f>
        <v>#REF!</v>
      </c>
      <c r="W71" t="e">
        <f>AND(#REF!,"AAAAACb+/hY=")</f>
        <v>#REF!</v>
      </c>
      <c r="X71" t="e">
        <f>AND(#REF!,"AAAAACb+/hc=")</f>
        <v>#REF!</v>
      </c>
      <c r="Y71" t="e">
        <f>AND(#REF!,"AAAAACb+/hg=")</f>
        <v>#REF!</v>
      </c>
      <c r="Z71" t="e">
        <f>AND(#REF!,"AAAAACb+/hk=")</f>
        <v>#REF!</v>
      </c>
      <c r="AA71" t="e">
        <f>AND(#REF!,"AAAAACb+/ho=")</f>
        <v>#REF!</v>
      </c>
      <c r="AB71" t="e">
        <f>AND(#REF!,"AAAAACb+/hs=")</f>
        <v>#REF!</v>
      </c>
      <c r="AC71" t="e">
        <f>AND(#REF!,"AAAAACb+/hw=")</f>
        <v>#REF!</v>
      </c>
      <c r="AD71" t="e">
        <f>AND(#REF!,"AAAAACb+/h0=")</f>
        <v>#REF!</v>
      </c>
      <c r="AE71" t="e">
        <f>AND(#REF!,"AAAAACb+/h4=")</f>
        <v>#REF!</v>
      </c>
      <c r="AF71" t="e">
        <f>AND(#REF!,"AAAAACb+/h8=")</f>
        <v>#REF!</v>
      </c>
      <c r="AG71" t="e">
        <f>AND(#REF!,"AAAAACb+/iA=")</f>
        <v>#REF!</v>
      </c>
      <c r="AH71" t="e">
        <f>AND(#REF!,"AAAAACb+/iE=")</f>
        <v>#REF!</v>
      </c>
      <c r="AI71" t="e">
        <f>AND(#REF!,"AAAAACb+/iI=")</f>
        <v>#REF!</v>
      </c>
      <c r="AJ71" t="e">
        <f>AND(#REF!,"AAAAACb+/iM=")</f>
        <v>#REF!</v>
      </c>
      <c r="AK71" t="e">
        <f>AND(#REF!,"AAAAACb+/iQ=")</f>
        <v>#REF!</v>
      </c>
      <c r="AL71" t="e">
        <f>AND(#REF!,"AAAAACb+/iU=")</f>
        <v>#REF!</v>
      </c>
      <c r="AM71" t="e">
        <f>AND(#REF!,"AAAAACb+/iY=")</f>
        <v>#REF!</v>
      </c>
      <c r="AN71" t="e">
        <f>AND(#REF!,"AAAAACb+/ic=")</f>
        <v>#REF!</v>
      </c>
      <c r="AO71" t="e">
        <f>AND(#REF!,"AAAAACb+/ig=")</f>
        <v>#REF!</v>
      </c>
      <c r="AP71" t="e">
        <f>AND(#REF!,"AAAAACb+/ik=")</f>
        <v>#REF!</v>
      </c>
      <c r="AQ71" t="e">
        <f>AND(#REF!,"AAAAACb+/io=")</f>
        <v>#REF!</v>
      </c>
      <c r="AR71" t="e">
        <f>AND(#REF!,"AAAAACb+/is=")</f>
        <v>#REF!</v>
      </c>
      <c r="AS71" t="e">
        <f>AND(#REF!,"AAAAACb+/iw=")</f>
        <v>#REF!</v>
      </c>
      <c r="AT71" t="e">
        <f>AND(#REF!,"AAAAACb+/i0=")</f>
        <v>#REF!</v>
      </c>
      <c r="AU71" t="e">
        <f>AND(#REF!,"AAAAACb+/i4=")</f>
        <v>#REF!</v>
      </c>
      <c r="AV71" t="e">
        <f>AND(#REF!,"AAAAACb+/i8=")</f>
        <v>#REF!</v>
      </c>
      <c r="AW71" t="e">
        <f>AND(#REF!,"AAAAACb+/jA=")</f>
        <v>#REF!</v>
      </c>
      <c r="AX71" t="e">
        <f>AND(#REF!,"AAAAACb+/jE=")</f>
        <v>#REF!</v>
      </c>
      <c r="AY71" t="e">
        <f>AND(#REF!,"AAAAACb+/jI=")</f>
        <v>#REF!</v>
      </c>
      <c r="AZ71" t="e">
        <f>AND(#REF!,"AAAAACb+/jM=")</f>
        <v>#REF!</v>
      </c>
      <c r="BA71" t="e">
        <f>AND(#REF!,"AAAAACb+/jQ=")</f>
        <v>#REF!</v>
      </c>
      <c r="BB71" t="e">
        <f>AND(#REF!,"AAAAACb+/jU=")</f>
        <v>#REF!</v>
      </c>
      <c r="BC71" t="e">
        <f>AND(#REF!,"AAAAACb+/jY=")</f>
        <v>#REF!</v>
      </c>
      <c r="BD71" t="e">
        <f>AND(#REF!,"AAAAACb+/jc=")</f>
        <v>#REF!</v>
      </c>
      <c r="BE71" t="e">
        <f>AND(#REF!,"AAAAACb+/jg=")</f>
        <v>#REF!</v>
      </c>
      <c r="BF71" t="e">
        <f>AND(#REF!,"AAAAACb+/jk=")</f>
        <v>#REF!</v>
      </c>
      <c r="BG71" t="e">
        <f>AND(#REF!,"AAAAACb+/jo=")</f>
        <v>#REF!</v>
      </c>
      <c r="BH71" t="e">
        <f>AND(#REF!,"AAAAACb+/js=")</f>
        <v>#REF!</v>
      </c>
      <c r="BI71" t="e">
        <f>AND(#REF!,"AAAAACb+/jw=")</f>
        <v>#REF!</v>
      </c>
      <c r="BJ71" t="e">
        <f>AND(#REF!,"AAAAACb+/j0=")</f>
        <v>#REF!</v>
      </c>
      <c r="BK71" t="e">
        <f>AND(#REF!,"AAAAACb+/j4=")</f>
        <v>#REF!</v>
      </c>
      <c r="BL71" t="e">
        <f>AND(#REF!,"AAAAACb+/j8=")</f>
        <v>#REF!</v>
      </c>
      <c r="BM71" t="e">
        <f>AND(#REF!,"AAAAACb+/kA=")</f>
        <v>#REF!</v>
      </c>
      <c r="BN71" t="e">
        <f>AND(#REF!,"AAAAACb+/kE=")</f>
        <v>#REF!</v>
      </c>
      <c r="BO71" t="e">
        <f>AND(#REF!,"AAAAACb+/kI=")</f>
        <v>#REF!</v>
      </c>
      <c r="BP71" t="e">
        <f>AND(#REF!,"AAAAACb+/kM=")</f>
        <v>#REF!</v>
      </c>
      <c r="BQ71" t="e">
        <f>AND(#REF!,"AAAAACb+/kQ=")</f>
        <v>#REF!</v>
      </c>
      <c r="BR71" t="e">
        <f>AND(#REF!,"AAAAACb+/kU=")</f>
        <v>#REF!</v>
      </c>
      <c r="BS71" t="e">
        <f>AND(#REF!,"AAAAACb+/kY=")</f>
        <v>#REF!</v>
      </c>
      <c r="BT71" t="e">
        <f>AND(#REF!,"AAAAACb+/kc=")</f>
        <v>#REF!</v>
      </c>
      <c r="BU71" t="e">
        <f>AND(#REF!,"AAAAACb+/kg=")</f>
        <v>#REF!</v>
      </c>
      <c r="BV71" t="e">
        <f>AND(#REF!,"AAAAACb+/kk=")</f>
        <v>#REF!</v>
      </c>
      <c r="BW71" t="e">
        <f>AND(#REF!,"AAAAACb+/ko=")</f>
        <v>#REF!</v>
      </c>
      <c r="BX71" t="e">
        <f>AND(#REF!,"AAAAACb+/ks=")</f>
        <v>#REF!</v>
      </c>
      <c r="BY71" t="e">
        <f>AND(#REF!,"AAAAACb+/kw=")</f>
        <v>#REF!</v>
      </c>
      <c r="BZ71" t="e">
        <f>AND(#REF!,"AAAAACb+/k0=")</f>
        <v>#REF!</v>
      </c>
      <c r="CA71" t="e">
        <f>AND(#REF!,"AAAAACb+/k4=")</f>
        <v>#REF!</v>
      </c>
      <c r="CB71" t="e">
        <f>AND(#REF!,"AAAAACb+/k8=")</f>
        <v>#REF!</v>
      </c>
      <c r="CC71" t="e">
        <f>AND(#REF!,"AAAAACb+/lA=")</f>
        <v>#REF!</v>
      </c>
      <c r="CD71" t="e">
        <f>AND(#REF!,"AAAAACb+/lE=")</f>
        <v>#REF!</v>
      </c>
      <c r="CE71" t="e">
        <f>AND(#REF!,"AAAAACb+/lI=")</f>
        <v>#REF!</v>
      </c>
      <c r="CF71" t="e">
        <f>AND(#REF!,"AAAAACb+/lM=")</f>
        <v>#REF!</v>
      </c>
      <c r="CG71" t="e">
        <f>AND(#REF!,"AAAAACb+/lQ=")</f>
        <v>#REF!</v>
      </c>
      <c r="CH71" t="e">
        <f>AND(#REF!,"AAAAACb+/lU=")</f>
        <v>#REF!</v>
      </c>
      <c r="CI71" t="e">
        <f>AND(#REF!,"AAAAACb+/lY=")</f>
        <v>#REF!</v>
      </c>
      <c r="CJ71" t="e">
        <f>AND(#REF!,"AAAAACb+/lc=")</f>
        <v>#REF!</v>
      </c>
      <c r="CK71" t="e">
        <f>AND(#REF!,"AAAAACb+/lg=")</f>
        <v>#REF!</v>
      </c>
      <c r="CL71" t="e">
        <f>AND(#REF!,"AAAAACb+/lk=")</f>
        <v>#REF!</v>
      </c>
      <c r="CM71" t="e">
        <f>AND(#REF!,"AAAAACb+/lo=")</f>
        <v>#REF!</v>
      </c>
      <c r="CN71" t="e">
        <f>AND(#REF!,"AAAAACb+/ls=")</f>
        <v>#REF!</v>
      </c>
      <c r="CO71" t="e">
        <f>AND(#REF!,"AAAAACb+/lw=")</f>
        <v>#REF!</v>
      </c>
      <c r="CP71" t="e">
        <f>AND(#REF!,"AAAAACb+/l0=")</f>
        <v>#REF!</v>
      </c>
      <c r="CQ71" t="e">
        <f>AND(#REF!,"AAAAACb+/l4=")</f>
        <v>#REF!</v>
      </c>
      <c r="CR71" t="e">
        <f>AND(#REF!,"AAAAACb+/l8=")</f>
        <v>#REF!</v>
      </c>
      <c r="CS71" t="e">
        <f>AND(#REF!,"AAAAACb+/mA=")</f>
        <v>#REF!</v>
      </c>
      <c r="CT71" t="e">
        <f>AND(#REF!,"AAAAACb+/mE=")</f>
        <v>#REF!</v>
      </c>
      <c r="CU71" t="e">
        <f>AND(#REF!,"AAAAACb+/mI=")</f>
        <v>#REF!</v>
      </c>
      <c r="CV71" t="e">
        <f>AND(#REF!,"AAAAACb+/mM=")</f>
        <v>#REF!</v>
      </c>
      <c r="CW71" t="e">
        <f>AND(#REF!,"AAAAACb+/mQ=")</f>
        <v>#REF!</v>
      </c>
      <c r="CX71" t="e">
        <f>AND(#REF!,"AAAAACb+/mU=")</f>
        <v>#REF!</v>
      </c>
      <c r="CY71" t="e">
        <f>AND(#REF!,"AAAAACb+/mY=")</f>
        <v>#REF!</v>
      </c>
      <c r="CZ71" t="e">
        <f>AND(#REF!,"AAAAACb+/mc=")</f>
        <v>#REF!</v>
      </c>
      <c r="DA71" t="e">
        <f>AND(#REF!,"AAAAACb+/mg=")</f>
        <v>#REF!</v>
      </c>
      <c r="DB71" t="e">
        <f>AND(#REF!,"AAAAACb+/mk=")</f>
        <v>#REF!</v>
      </c>
      <c r="DC71" t="e">
        <f>AND(#REF!,"AAAAACb+/mo=")</f>
        <v>#REF!</v>
      </c>
      <c r="DD71" t="e">
        <f>AND(#REF!,"AAAAACb+/ms=")</f>
        <v>#REF!</v>
      </c>
      <c r="DE71" t="e">
        <f>AND(#REF!,"AAAAACb+/mw=")</f>
        <v>#REF!</v>
      </c>
      <c r="DF71" t="e">
        <f>AND(#REF!,"AAAAACb+/m0=")</f>
        <v>#REF!</v>
      </c>
      <c r="DG71" t="e">
        <f>AND(#REF!,"AAAAACb+/m4=")</f>
        <v>#REF!</v>
      </c>
      <c r="DH71" t="e">
        <f>AND(#REF!,"AAAAACb+/m8=")</f>
        <v>#REF!</v>
      </c>
      <c r="DI71" t="e">
        <f>AND(#REF!,"AAAAACb+/nA=")</f>
        <v>#REF!</v>
      </c>
      <c r="DJ71" t="e">
        <f>AND(#REF!,"AAAAACb+/nE=")</f>
        <v>#REF!</v>
      </c>
      <c r="DK71" t="e">
        <f>AND(#REF!,"AAAAACb+/nI=")</f>
        <v>#REF!</v>
      </c>
      <c r="DL71" t="e">
        <f>AND(#REF!,"AAAAACb+/nM=")</f>
        <v>#REF!</v>
      </c>
      <c r="DM71" t="e">
        <f>AND(#REF!,"AAAAACb+/nQ=")</f>
        <v>#REF!</v>
      </c>
      <c r="DN71" t="e">
        <f>AND(#REF!,"AAAAACb+/nU=")</f>
        <v>#REF!</v>
      </c>
      <c r="DO71" t="e">
        <f>AND(#REF!,"AAAAACb+/nY=")</f>
        <v>#REF!</v>
      </c>
      <c r="DP71" t="e">
        <f>AND(#REF!,"AAAAACb+/nc=")</f>
        <v>#REF!</v>
      </c>
      <c r="DQ71" t="e">
        <f>AND(#REF!,"AAAAACb+/ng=")</f>
        <v>#REF!</v>
      </c>
      <c r="DR71" t="e">
        <f>AND(#REF!,"AAAAACb+/nk=")</f>
        <v>#REF!</v>
      </c>
      <c r="DS71" t="e">
        <f>AND(#REF!,"AAAAACb+/no=")</f>
        <v>#REF!</v>
      </c>
      <c r="DT71" t="e">
        <f>AND(#REF!,"AAAAACb+/ns=")</f>
        <v>#REF!</v>
      </c>
      <c r="DU71" t="e">
        <f>AND(#REF!,"AAAAACb+/nw=")</f>
        <v>#REF!</v>
      </c>
      <c r="DV71" t="e">
        <f>AND(#REF!,"AAAAACb+/n0=")</f>
        <v>#REF!</v>
      </c>
      <c r="DW71" t="e">
        <f>AND(#REF!,"AAAAACb+/n4=")</f>
        <v>#REF!</v>
      </c>
      <c r="DX71" t="e">
        <f>AND(#REF!,"AAAAACb+/n8=")</f>
        <v>#REF!</v>
      </c>
      <c r="DY71" t="e">
        <f>AND(#REF!,"AAAAACb+/oA=")</f>
        <v>#REF!</v>
      </c>
      <c r="DZ71" t="e">
        <f>AND(#REF!,"AAAAACb+/oE=")</f>
        <v>#REF!</v>
      </c>
      <c r="EA71" t="e">
        <f>AND(#REF!,"AAAAACb+/oI=")</f>
        <v>#REF!</v>
      </c>
      <c r="EB71" t="e">
        <f>AND(#REF!,"AAAAACb+/oM=")</f>
        <v>#REF!</v>
      </c>
      <c r="EC71" t="e">
        <f>AND(#REF!,"AAAAACb+/oQ=")</f>
        <v>#REF!</v>
      </c>
      <c r="ED71" t="e">
        <f>AND(#REF!,"AAAAACb+/oU=")</f>
        <v>#REF!</v>
      </c>
      <c r="EE71" t="e">
        <f>AND(#REF!,"AAAAACb+/oY=")</f>
        <v>#REF!</v>
      </c>
      <c r="EF71" t="e">
        <f>AND(#REF!,"AAAAACb+/oc=")</f>
        <v>#REF!</v>
      </c>
      <c r="EG71" t="e">
        <f>AND(#REF!,"AAAAACb+/og=")</f>
        <v>#REF!</v>
      </c>
      <c r="EH71" t="e">
        <f>AND(#REF!,"AAAAACb+/ok=")</f>
        <v>#REF!</v>
      </c>
      <c r="EI71" t="e">
        <f>AND(#REF!,"AAAAACb+/oo=")</f>
        <v>#REF!</v>
      </c>
      <c r="EJ71" t="e">
        <f>AND(#REF!,"AAAAACb+/os=")</f>
        <v>#REF!</v>
      </c>
      <c r="EK71" t="e">
        <f>AND(#REF!,"AAAAACb+/ow=")</f>
        <v>#REF!</v>
      </c>
      <c r="EL71" t="e">
        <f>AND(#REF!,"AAAAACb+/o0=")</f>
        <v>#REF!</v>
      </c>
      <c r="EM71" t="e">
        <f>AND(#REF!,"AAAAACb+/o4=")</f>
        <v>#REF!</v>
      </c>
      <c r="EN71" t="e">
        <f>AND(#REF!,"AAAAACb+/o8=")</f>
        <v>#REF!</v>
      </c>
      <c r="EO71" t="e">
        <f>AND(#REF!,"AAAAACb+/pA=")</f>
        <v>#REF!</v>
      </c>
      <c r="EP71" t="e">
        <f>AND(#REF!,"AAAAACb+/pE=")</f>
        <v>#REF!</v>
      </c>
      <c r="EQ71" t="e">
        <f>AND(#REF!,"AAAAACb+/pI=")</f>
        <v>#REF!</v>
      </c>
      <c r="ER71" t="e">
        <f>AND(#REF!,"AAAAACb+/pM=")</f>
        <v>#REF!</v>
      </c>
      <c r="ES71" t="e">
        <f>AND(#REF!,"AAAAACb+/pQ=")</f>
        <v>#REF!</v>
      </c>
      <c r="ET71" t="e">
        <f>AND(#REF!,"AAAAACb+/pU=")</f>
        <v>#REF!</v>
      </c>
      <c r="EU71" t="e">
        <f>AND(#REF!,"AAAAACb+/pY=")</f>
        <v>#REF!</v>
      </c>
      <c r="EV71" t="e">
        <f>AND(#REF!,"AAAAACb+/pc=")</f>
        <v>#REF!</v>
      </c>
      <c r="EW71" t="e">
        <f>AND(#REF!,"AAAAACb+/pg=")</f>
        <v>#REF!</v>
      </c>
      <c r="EX71" t="e">
        <f>AND(#REF!,"AAAAACb+/pk=")</f>
        <v>#REF!</v>
      </c>
      <c r="EY71" t="e">
        <f>AND(#REF!,"AAAAACb+/po=")</f>
        <v>#REF!</v>
      </c>
      <c r="EZ71" t="e">
        <f>AND(#REF!,"AAAAACb+/ps=")</f>
        <v>#REF!</v>
      </c>
      <c r="FA71" t="e">
        <f>IF(#REF!,"AAAAACb+/pw=",0)</f>
        <v>#REF!</v>
      </c>
      <c r="FB71" t="e">
        <f>IF("N",[0]!_xlnm._FilterDatabase,"AAAAACb+/p0=")</f>
        <v>#VALUE!</v>
      </c>
    </row>
    <row r="72" spans="1:256" x14ac:dyDescent="0.25">
      <c r="A72" t="e">
        <f>IF("N",[0]!_xlnm._FilterDatabase,"AAAAAHzvNwA=")</f>
        <v>#VALUE!</v>
      </c>
    </row>
    <row r="73" spans="1:256" x14ac:dyDescent="0.25">
      <c r="A73" t="e">
        <v>#VALUE!</v>
      </c>
      <c r="B73" t="e">
        <v>#VALUE!</v>
      </c>
      <c r="C73" t="e">
        <v>#VALUE!</v>
      </c>
      <c r="D73" t="e">
        <v>#VALUE!</v>
      </c>
      <c r="E73" t="e">
        <v>#VALUE!</v>
      </c>
      <c r="F73" t="e">
        <v>#VALUE!</v>
      </c>
      <c r="G73" t="e">
        <v>#VALUE!</v>
      </c>
      <c r="H73" t="e">
        <v>#VALUE!</v>
      </c>
      <c r="I73" t="e">
        <v>#VALUE!</v>
      </c>
      <c r="J73" t="e">
        <v>#VALUE!</v>
      </c>
      <c r="K73" t="e">
        <v>#VALUE!</v>
      </c>
      <c r="L73" t="e">
        <v>#VALUE!</v>
      </c>
      <c r="M73" t="e">
        <v>#VALUE!</v>
      </c>
      <c r="N73" t="e">
        <v>#VALUE!</v>
      </c>
      <c r="O73" t="e">
        <v>#VALUE!</v>
      </c>
      <c r="P73" t="e">
        <v>#VALUE!</v>
      </c>
      <c r="Q73" t="e">
        <v>#VALUE!</v>
      </c>
      <c r="R73" t="e">
        <v>#VALUE!</v>
      </c>
      <c r="S73" t="e">
        <v>#VALUE!</v>
      </c>
      <c r="T73" t="e">
        <v>#VALUE!</v>
      </c>
      <c r="U73" t="e">
        <v>#VALUE!</v>
      </c>
      <c r="V73" t="e">
        <v>#VALUE!</v>
      </c>
      <c r="W73" t="e">
        <v>#VALUE!</v>
      </c>
      <c r="X73" t="e">
        <v>#VALUE!</v>
      </c>
      <c r="Y73" t="e">
        <v>#VALUE!</v>
      </c>
      <c r="Z73" t="e">
        <v>#VALUE!</v>
      </c>
      <c r="AA73" t="e">
        <v>#VALUE!</v>
      </c>
      <c r="AB73" t="e">
        <v>#VALUE!</v>
      </c>
      <c r="AC73" t="e">
        <v>#VALUE!</v>
      </c>
      <c r="AD73" t="e">
        <v>#VALUE!</v>
      </c>
      <c r="AE73" t="e">
        <v>#VALUE!</v>
      </c>
      <c r="AF73" t="e">
        <v>#VALUE!</v>
      </c>
      <c r="AG73" t="e">
        <v>#VALUE!</v>
      </c>
      <c r="AH73" t="e">
        <v>#VALUE!</v>
      </c>
      <c r="AI73">
        <v>0</v>
      </c>
      <c r="AJ73" t="e">
        <v>#VALUE!</v>
      </c>
      <c r="AK73" t="e">
        <v>#VALUE!</v>
      </c>
      <c r="AL73" t="e">
        <v>#VALUE!</v>
      </c>
      <c r="AM73" t="e">
        <v>#VALUE!</v>
      </c>
      <c r="AN73" t="e">
        <v>#VALUE!</v>
      </c>
      <c r="AO73" t="e">
        <v>#VALUE!</v>
      </c>
      <c r="AP73" t="e">
        <v>#VALUE!</v>
      </c>
      <c r="AQ73" t="e">
        <v>#VALUE!</v>
      </c>
      <c r="AR73" t="e">
        <v>#VALUE!</v>
      </c>
      <c r="AS73" t="e">
        <v>#VALUE!</v>
      </c>
      <c r="AT73" t="e">
        <v>#VALUE!</v>
      </c>
      <c r="AU73" t="e">
        <v>#VALUE!</v>
      </c>
      <c r="AV73" t="e">
        <v>#VALUE!</v>
      </c>
      <c r="AW73" t="e">
        <v>#VALUE!</v>
      </c>
      <c r="AX73" t="e">
        <v>#VALUE!</v>
      </c>
      <c r="AY73" t="e">
        <v>#VALUE!</v>
      </c>
      <c r="AZ73" t="e">
        <v>#VALUE!</v>
      </c>
      <c r="BA73" t="e">
        <v>#VALUE!</v>
      </c>
      <c r="BB73" t="e">
        <v>#VALUE!</v>
      </c>
      <c r="BC73" t="e">
        <v>#VALUE!</v>
      </c>
      <c r="BD73" t="e">
        <v>#VALUE!</v>
      </c>
      <c r="BE73" t="e">
        <v>#VALUE!</v>
      </c>
      <c r="BF73" t="e">
        <v>#VALUE!</v>
      </c>
      <c r="BG73" t="e">
        <v>#VALUE!</v>
      </c>
      <c r="BH73" t="e">
        <v>#VALUE!</v>
      </c>
      <c r="BI73" t="e">
        <v>#VALUE!</v>
      </c>
      <c r="BJ73" t="e">
        <v>#VALUE!</v>
      </c>
      <c r="BK73" t="e">
        <v>#VALUE!</v>
      </c>
      <c r="BL73" t="e">
        <v>#VALUE!</v>
      </c>
      <c r="BM73" t="e">
        <v>#VALUE!</v>
      </c>
      <c r="BN73" t="e">
        <v>#VALUE!</v>
      </c>
      <c r="BO73" t="e">
        <v>#VALUE!</v>
      </c>
      <c r="BP73" t="e">
        <v>#VALUE!</v>
      </c>
      <c r="BQ73">
        <v>0</v>
      </c>
      <c r="BR73" t="e">
        <v>#VALUE!</v>
      </c>
      <c r="BS73" t="e">
        <v>#VALUE!</v>
      </c>
      <c r="BT73" t="e">
        <v>#VALUE!</v>
      </c>
      <c r="BU73" t="e">
        <v>#VALUE!</v>
      </c>
      <c r="BV73" t="e">
        <v>#VALUE!</v>
      </c>
      <c r="BW73" t="e">
        <v>#VALUE!</v>
      </c>
      <c r="BX73" t="e">
        <v>#VALUE!</v>
      </c>
      <c r="BY73" t="e">
        <v>#VALUE!</v>
      </c>
      <c r="BZ73" t="e">
        <v>#VALUE!</v>
      </c>
      <c r="CA73" t="e">
        <v>#VALUE!</v>
      </c>
      <c r="CB73" t="e">
        <v>#VALUE!</v>
      </c>
      <c r="CC73" t="e">
        <v>#VALUE!</v>
      </c>
      <c r="CD73" t="e">
        <v>#VALUE!</v>
      </c>
      <c r="CE73" t="e">
        <v>#VALUE!</v>
      </c>
      <c r="CF73" t="e">
        <v>#VALUE!</v>
      </c>
      <c r="CG73" t="e">
        <v>#VALUE!</v>
      </c>
      <c r="CH73" t="e">
        <v>#VALUE!</v>
      </c>
      <c r="CI73" t="e">
        <v>#VALUE!</v>
      </c>
      <c r="CJ73" t="e">
        <v>#VALUE!</v>
      </c>
      <c r="CK73" t="e">
        <v>#VALUE!</v>
      </c>
      <c r="CL73" t="e">
        <v>#VALUE!</v>
      </c>
      <c r="CM73" t="e">
        <v>#VALUE!</v>
      </c>
      <c r="CN73" t="e">
        <v>#VALUE!</v>
      </c>
      <c r="CO73" t="e">
        <v>#VALUE!</v>
      </c>
      <c r="CP73" t="e">
        <v>#VALUE!</v>
      </c>
      <c r="CQ73" t="e">
        <v>#VALUE!</v>
      </c>
      <c r="CR73" t="e">
        <v>#VALUE!</v>
      </c>
      <c r="CS73" t="e">
        <v>#VALUE!</v>
      </c>
      <c r="CT73" t="e">
        <v>#VALUE!</v>
      </c>
      <c r="CU73" t="e">
        <v>#VALUE!</v>
      </c>
      <c r="CV73" t="e">
        <v>#VALUE!</v>
      </c>
      <c r="CW73" t="e">
        <v>#VALUE!</v>
      </c>
      <c r="CX73" t="e">
        <v>#VALUE!</v>
      </c>
      <c r="CY73">
        <v>0</v>
      </c>
      <c r="CZ73" t="e">
        <v>#REF!</v>
      </c>
      <c r="DA73" t="e">
        <v>#VALUE!</v>
      </c>
      <c r="DB73" t="e">
        <v>#VALUE!</v>
      </c>
      <c r="DC73" t="e">
        <v>#VALUE!</v>
      </c>
      <c r="DD73" t="e">
        <v>#VALUE!</v>
      </c>
      <c r="DE73" t="e">
        <v>#VALUE!</v>
      </c>
      <c r="DF73" t="e">
        <v>#VALUE!</v>
      </c>
      <c r="DG73" t="e">
        <v>#VALUE!</v>
      </c>
      <c r="DH73" t="e">
        <v>#VALUE!</v>
      </c>
      <c r="DI73" t="e">
        <v>#VALUE!</v>
      </c>
      <c r="DJ73" t="e">
        <v>#VALUE!</v>
      </c>
      <c r="DK73" t="e">
        <v>#VALUE!</v>
      </c>
      <c r="DL73" t="e">
        <v>#VALUE!</v>
      </c>
      <c r="DM73" t="e">
        <v>#VALUE!</v>
      </c>
      <c r="DN73" t="e">
        <v>#VALUE!</v>
      </c>
      <c r="DO73" t="e">
        <v>#VALUE!</v>
      </c>
      <c r="DP73" t="e">
        <v>#VALUE!</v>
      </c>
      <c r="DQ73" t="e">
        <v>#VALUE!</v>
      </c>
      <c r="DR73" t="e">
        <v>#VALUE!</v>
      </c>
      <c r="DS73" t="e">
        <v>#VALUE!</v>
      </c>
      <c r="DT73" t="e">
        <v>#VALUE!</v>
      </c>
      <c r="DU73" t="e">
        <v>#VALUE!</v>
      </c>
      <c r="DV73" t="e">
        <v>#VALUE!</v>
      </c>
      <c r="DW73" t="e">
        <v>#VALUE!</v>
      </c>
      <c r="DX73" t="e">
        <v>#VALUE!</v>
      </c>
      <c r="DY73" t="e">
        <v>#VALUE!</v>
      </c>
      <c r="DZ73" t="e">
        <v>#VALUE!</v>
      </c>
      <c r="EA73" t="e">
        <v>#VALUE!</v>
      </c>
      <c r="EB73" t="e">
        <v>#VALUE!</v>
      </c>
      <c r="EC73" t="e">
        <v>#VALUE!</v>
      </c>
      <c r="ED73" t="e">
        <v>#VALUE!</v>
      </c>
      <c r="EE73" t="e">
        <v>#VALUE!</v>
      </c>
      <c r="EF73" t="e">
        <v>#VALUE!</v>
      </c>
      <c r="EG73" t="e">
        <v>#REF!</v>
      </c>
      <c r="EH73" t="e">
        <v>#REF!</v>
      </c>
      <c r="EI73" t="e">
        <v>#REF!</v>
      </c>
      <c r="EJ73" t="e">
        <v>#REF!</v>
      </c>
      <c r="EK73" t="e">
        <v>#REF!</v>
      </c>
      <c r="EL73" t="e">
        <v>#REF!</v>
      </c>
      <c r="EM73" t="e">
        <v>#REF!</v>
      </c>
      <c r="EN73" t="e">
        <v>#REF!</v>
      </c>
      <c r="EO73" t="e">
        <v>#REF!</v>
      </c>
      <c r="EP73" t="e">
        <v>#REF!</v>
      </c>
      <c r="EQ73" t="e">
        <v>#REF!</v>
      </c>
      <c r="ER73" t="e">
        <v>#REF!</v>
      </c>
      <c r="ES73" t="e">
        <v>#REF!</v>
      </c>
      <c r="ET73" t="e">
        <v>#REF!</v>
      </c>
      <c r="EU73" t="e">
        <v>#REF!</v>
      </c>
      <c r="EV73" t="e">
        <v>#REF!</v>
      </c>
      <c r="EW73" t="e">
        <v>#REF!</v>
      </c>
      <c r="EX73" t="e">
        <v>#REF!</v>
      </c>
      <c r="EY73" t="e">
        <v>#REF!</v>
      </c>
      <c r="EZ73" t="e">
        <v>#REF!</v>
      </c>
      <c r="FA73" t="e">
        <v>#REF!</v>
      </c>
      <c r="FB73" t="e">
        <v>#REF!</v>
      </c>
      <c r="FC73" t="e">
        <v>#REF!</v>
      </c>
      <c r="FD73" t="e">
        <v>#REF!</v>
      </c>
      <c r="FE73" t="e">
        <v>#REF!</v>
      </c>
      <c r="FF73" t="e">
        <v>#REF!</v>
      </c>
      <c r="FG73" t="e">
        <v>#REF!</v>
      </c>
      <c r="FH73" t="e">
        <v>#REF!</v>
      </c>
      <c r="FI73" t="e">
        <v>#REF!</v>
      </c>
      <c r="FJ73" t="e">
        <v>#REF!</v>
      </c>
      <c r="FK73" t="e">
        <v>#REF!</v>
      </c>
      <c r="FL73" t="e">
        <v>#REF!</v>
      </c>
      <c r="FM73" t="e">
        <v>#REF!</v>
      </c>
      <c r="FN73" t="e">
        <v>#REF!</v>
      </c>
      <c r="FO73" t="e">
        <v>#REF!</v>
      </c>
      <c r="FP73" t="e">
        <v>#REF!</v>
      </c>
      <c r="FQ73" t="e">
        <v>#REF!</v>
      </c>
      <c r="FR73" t="e">
        <v>#REF!</v>
      </c>
      <c r="FS73" t="e">
        <v>#REF!</v>
      </c>
      <c r="FT73" t="e">
        <v>#REF!</v>
      </c>
      <c r="FU73" t="e">
        <v>#REF!</v>
      </c>
      <c r="FV73" t="e">
        <v>#REF!</v>
      </c>
      <c r="FW73" t="e">
        <v>#REF!</v>
      </c>
      <c r="FX73" t="e">
        <v>#REF!</v>
      </c>
      <c r="FY73" t="e">
        <v>#REF!</v>
      </c>
      <c r="FZ73" t="e">
        <v>#REF!</v>
      </c>
      <c r="GA73" t="e">
        <v>#REF!</v>
      </c>
      <c r="GB73" t="e">
        <v>#REF!</v>
      </c>
      <c r="GC73" t="e">
        <v>#REF!</v>
      </c>
      <c r="GD73" t="e">
        <v>#REF!</v>
      </c>
      <c r="GE73" t="e">
        <v>#REF!</v>
      </c>
      <c r="GF73" t="e">
        <v>#REF!</v>
      </c>
      <c r="GG73" t="e">
        <v>#REF!</v>
      </c>
      <c r="GH73" t="e">
        <v>#REF!</v>
      </c>
      <c r="GI73" t="e">
        <v>#REF!</v>
      </c>
      <c r="GJ73" t="e">
        <v>#REF!</v>
      </c>
      <c r="GK73" t="e">
        <v>#REF!</v>
      </c>
      <c r="GL73" t="e">
        <v>#REF!</v>
      </c>
      <c r="GM73" t="e">
        <v>#REF!</v>
      </c>
      <c r="GN73" t="e">
        <v>#REF!</v>
      </c>
      <c r="GO73" t="e">
        <v>#REF!</v>
      </c>
      <c r="GP73" t="e">
        <v>#REF!</v>
      </c>
      <c r="GQ73" t="e">
        <v>#REF!</v>
      </c>
      <c r="GR73" t="e">
        <v>#REF!</v>
      </c>
      <c r="GS73" t="e">
        <v>#REF!</v>
      </c>
      <c r="GT73" t="e">
        <v>#REF!</v>
      </c>
      <c r="GU73" t="e">
        <v>#REF!</v>
      </c>
      <c r="GV73" t="e">
        <v>#REF!</v>
      </c>
      <c r="GW73">
        <v>0</v>
      </c>
      <c r="GX73" t="e">
        <v>#VALUE!</v>
      </c>
      <c r="GY73" t="e">
        <v>#VALUE!</v>
      </c>
      <c r="GZ73" t="e">
        <v>#VALUE!</v>
      </c>
      <c r="HA73" t="e">
        <v>#VALUE!</v>
      </c>
      <c r="HB73" t="e">
        <v>#VALUE!</v>
      </c>
      <c r="HC73" t="e">
        <v>#VALUE!</v>
      </c>
      <c r="HD73" t="e">
        <v>#VALUE!</v>
      </c>
      <c r="HE73" t="e">
        <v>#VALUE!</v>
      </c>
      <c r="HF73" t="e">
        <v>#VALUE!</v>
      </c>
      <c r="HG73" t="e">
        <v>#VALUE!</v>
      </c>
      <c r="HH73" t="e">
        <v>#VALUE!</v>
      </c>
      <c r="HI73" t="e">
        <v>#VALUE!</v>
      </c>
      <c r="HJ73" t="e">
        <v>#VALUE!</v>
      </c>
      <c r="HK73" t="e">
        <v>#VALUE!</v>
      </c>
      <c r="HL73" t="e">
        <v>#VALUE!</v>
      </c>
      <c r="HM73" t="e">
        <v>#VALUE!</v>
      </c>
      <c r="HN73" t="e">
        <v>#VALUE!</v>
      </c>
      <c r="HO73" t="e">
        <v>#VALUE!</v>
      </c>
      <c r="HP73" t="e">
        <v>#VALUE!</v>
      </c>
      <c r="HQ73" t="e">
        <v>#VALUE!</v>
      </c>
      <c r="HR73" t="e">
        <v>#VALUE!</v>
      </c>
      <c r="HS73" t="e">
        <v>#VALUE!</v>
      </c>
      <c r="HT73" t="e">
        <v>#VALUE!</v>
      </c>
      <c r="HU73" t="e">
        <v>#VALUE!</v>
      </c>
      <c r="HV73" t="e">
        <v>#VALUE!</v>
      </c>
      <c r="HW73" t="e">
        <v>#VALUE!</v>
      </c>
      <c r="HX73" t="e">
        <v>#VALUE!</v>
      </c>
      <c r="HY73" t="e">
        <v>#VALUE!</v>
      </c>
      <c r="HZ73" t="e">
        <v>#VALUE!</v>
      </c>
      <c r="IA73" t="e">
        <v>#VALUE!</v>
      </c>
      <c r="IB73" t="e">
        <v>#VALUE!</v>
      </c>
      <c r="IC73" t="e">
        <v>#VALUE!</v>
      </c>
      <c r="ID73" t="e">
        <v>#VALUE!</v>
      </c>
      <c r="IE73" t="e">
        <v>#REF!</v>
      </c>
      <c r="IF73" t="e">
        <v>#REF!</v>
      </c>
      <c r="IG73" t="e">
        <v>#REF!</v>
      </c>
      <c r="IH73" t="e">
        <v>#REF!</v>
      </c>
      <c r="II73" t="e">
        <v>#REF!</v>
      </c>
      <c r="IJ73" t="e">
        <v>#REF!</v>
      </c>
      <c r="IK73" t="e">
        <v>#REF!</v>
      </c>
      <c r="IL73" t="e">
        <v>#REF!</v>
      </c>
      <c r="IM73" t="e">
        <v>#REF!</v>
      </c>
      <c r="IN73" t="e">
        <v>#REF!</v>
      </c>
      <c r="IO73" t="e">
        <v>#REF!</v>
      </c>
      <c r="IP73" t="e">
        <v>#REF!</v>
      </c>
      <c r="IQ73" t="e">
        <v>#REF!</v>
      </c>
      <c r="IR73" t="e">
        <v>#REF!</v>
      </c>
      <c r="IS73" t="e">
        <v>#REF!</v>
      </c>
      <c r="IT73" t="e">
        <v>#REF!</v>
      </c>
      <c r="IU73" t="e">
        <v>#REF!</v>
      </c>
      <c r="IV73" t="e">
        <v>#REF!</v>
      </c>
    </row>
    <row r="74" spans="1:256" x14ac:dyDescent="0.25">
      <c r="A74" t="e">
        <v>#REF!</v>
      </c>
      <c r="B74" t="e">
        <v>#REF!</v>
      </c>
      <c r="C74" t="e">
        <v>#REF!</v>
      </c>
      <c r="D74" t="e">
        <v>#REF!</v>
      </c>
      <c r="E74" t="e">
        <v>#REF!</v>
      </c>
      <c r="F74" t="e">
        <v>#REF!</v>
      </c>
      <c r="G74" t="e">
        <v>#REF!</v>
      </c>
      <c r="H74" t="e">
        <v>#REF!</v>
      </c>
      <c r="I74" t="e">
        <v>#REF!</v>
      </c>
      <c r="J74" t="e">
        <v>#REF!</v>
      </c>
      <c r="K74" t="e">
        <v>#REF!</v>
      </c>
      <c r="L74" t="e">
        <v>#REF!</v>
      </c>
      <c r="M74" t="e">
        <v>#REF!</v>
      </c>
      <c r="N74" t="e">
        <v>#REF!</v>
      </c>
      <c r="O74" t="e">
        <v>#REF!</v>
      </c>
      <c r="P74" t="e">
        <v>#REF!</v>
      </c>
      <c r="Q74">
        <v>0</v>
      </c>
      <c r="R74" t="e">
        <v>#VALUE!</v>
      </c>
      <c r="S74" t="e">
        <v>#VALUE!</v>
      </c>
      <c r="T74" t="e">
        <v>#VALUE!</v>
      </c>
      <c r="U74" t="e">
        <v>#VALUE!</v>
      </c>
      <c r="V74" t="e">
        <v>#VALUE!</v>
      </c>
      <c r="W74" t="e">
        <v>#VALUE!</v>
      </c>
      <c r="X74" t="e">
        <v>#VALUE!</v>
      </c>
      <c r="Y74" t="e">
        <v>#VALUE!</v>
      </c>
      <c r="Z74" t="e">
        <v>#VALUE!</v>
      </c>
      <c r="AA74" t="e">
        <v>#VALUE!</v>
      </c>
      <c r="AB74" t="e">
        <v>#VALUE!</v>
      </c>
      <c r="AC74" t="e">
        <v>#VALUE!</v>
      </c>
      <c r="AD74" t="e">
        <v>#VALUE!</v>
      </c>
      <c r="AE74" t="e">
        <v>#VALUE!</v>
      </c>
      <c r="AF74" t="e">
        <v>#VALUE!</v>
      </c>
      <c r="AG74" t="e">
        <v>#VALUE!</v>
      </c>
      <c r="AH74" t="e">
        <v>#VALUE!</v>
      </c>
      <c r="AI74" t="e">
        <v>#VALUE!</v>
      </c>
      <c r="AJ74" t="e">
        <v>#VALUE!</v>
      </c>
      <c r="AK74" t="e">
        <v>#VALUE!</v>
      </c>
      <c r="AL74" t="e">
        <v>#VALUE!</v>
      </c>
      <c r="AM74" t="e">
        <v>#VALUE!</v>
      </c>
      <c r="AN74" t="e">
        <v>#VALUE!</v>
      </c>
      <c r="AO74" t="e">
        <v>#VALUE!</v>
      </c>
      <c r="AP74" t="e">
        <v>#VALUE!</v>
      </c>
      <c r="AQ74" t="e">
        <v>#VALUE!</v>
      </c>
      <c r="AR74" t="e">
        <v>#VALUE!</v>
      </c>
      <c r="AS74" t="e">
        <v>#VALUE!</v>
      </c>
      <c r="AT74" t="e">
        <v>#VALUE!</v>
      </c>
      <c r="AU74" t="e">
        <v>#VALUE!</v>
      </c>
      <c r="AV74" t="e">
        <v>#VALUE!</v>
      </c>
      <c r="AW74" t="e">
        <v>#VALUE!</v>
      </c>
      <c r="AX74" t="e">
        <v>#VALUE!</v>
      </c>
      <c r="AY74">
        <v>0</v>
      </c>
      <c r="AZ74" t="e">
        <v>#VALUE!</v>
      </c>
      <c r="BA74" t="e">
        <v>#VALUE!</v>
      </c>
      <c r="BB74" t="e">
        <v>#VALUE!</v>
      </c>
      <c r="BC74" t="e">
        <v>#VALUE!</v>
      </c>
      <c r="BD74" t="e">
        <v>#VALUE!</v>
      </c>
      <c r="BE74" t="e">
        <v>#VALUE!</v>
      </c>
      <c r="BF74" t="e">
        <v>#VALUE!</v>
      </c>
      <c r="BG74" t="e">
        <v>#VALUE!</v>
      </c>
      <c r="BH74" t="e">
        <v>#VALUE!</v>
      </c>
      <c r="BI74" t="e">
        <v>#VALUE!</v>
      </c>
      <c r="BJ74" t="e">
        <v>#VALUE!</v>
      </c>
      <c r="BK74" t="e">
        <v>#VALUE!</v>
      </c>
      <c r="BL74" t="e">
        <v>#VALUE!</v>
      </c>
      <c r="BM74" t="e">
        <v>#VALUE!</v>
      </c>
      <c r="BN74" t="e">
        <v>#VALUE!</v>
      </c>
      <c r="BO74" t="e">
        <v>#VALUE!</v>
      </c>
      <c r="BP74" t="e">
        <v>#VALUE!</v>
      </c>
      <c r="BQ74" t="e">
        <v>#VALUE!</v>
      </c>
      <c r="BR74" t="e">
        <v>#VALUE!</v>
      </c>
      <c r="BS74" t="e">
        <v>#VALUE!</v>
      </c>
      <c r="BT74" t="e">
        <v>#VALUE!</v>
      </c>
      <c r="BU74" t="e">
        <v>#VALUE!</v>
      </c>
      <c r="BV74" t="e">
        <v>#VALUE!</v>
      </c>
      <c r="BW74" t="e">
        <v>#VALUE!</v>
      </c>
      <c r="BX74" t="e">
        <v>#VALUE!</v>
      </c>
      <c r="BY74" t="e">
        <v>#VALUE!</v>
      </c>
      <c r="BZ74" t="e">
        <v>#VALUE!</v>
      </c>
      <c r="CA74" t="e">
        <v>#VALUE!</v>
      </c>
      <c r="CB74" t="e">
        <v>#VALUE!</v>
      </c>
      <c r="CC74" t="e">
        <v>#VALUE!</v>
      </c>
      <c r="CD74" t="e">
        <v>#VALUE!</v>
      </c>
      <c r="CE74" t="e">
        <v>#VALUE!</v>
      </c>
      <c r="CF74" t="e">
        <v>#VALUE!</v>
      </c>
      <c r="CG74">
        <v>0</v>
      </c>
      <c r="CH74" t="e">
        <v>#VALUE!</v>
      </c>
      <c r="CI74" t="e">
        <v>#VALUE!</v>
      </c>
      <c r="CJ74" t="e">
        <v>#VALUE!</v>
      </c>
      <c r="CK74" t="e">
        <v>#VALUE!</v>
      </c>
      <c r="CL74" t="e">
        <v>#VALUE!</v>
      </c>
      <c r="CM74" t="e">
        <v>#VALUE!</v>
      </c>
      <c r="CN74" t="e">
        <v>#VALUE!</v>
      </c>
      <c r="CO74" t="e">
        <v>#VALUE!</v>
      </c>
      <c r="CP74" t="e">
        <v>#VALUE!</v>
      </c>
      <c r="CQ74" t="e">
        <v>#VALUE!</v>
      </c>
      <c r="CR74" t="e">
        <v>#VALUE!</v>
      </c>
      <c r="CS74" t="e">
        <v>#VALUE!</v>
      </c>
      <c r="CT74" t="e">
        <v>#VALUE!</v>
      </c>
      <c r="CU74" t="e">
        <v>#VALUE!</v>
      </c>
      <c r="CV74" t="e">
        <v>#VALUE!</v>
      </c>
      <c r="CW74" t="e">
        <v>#VALUE!</v>
      </c>
      <c r="CX74" t="e">
        <v>#VALUE!</v>
      </c>
      <c r="CY74" t="e">
        <v>#VALUE!</v>
      </c>
      <c r="CZ74" t="e">
        <v>#VALUE!</v>
      </c>
      <c r="DA74" t="e">
        <v>#VALUE!</v>
      </c>
      <c r="DB74" t="e">
        <v>#VALUE!</v>
      </c>
      <c r="DC74" t="e">
        <v>#VALUE!</v>
      </c>
      <c r="DD74" t="e">
        <v>#VALUE!</v>
      </c>
      <c r="DE74" t="e">
        <v>#VALUE!</v>
      </c>
      <c r="DF74" t="e">
        <v>#VALUE!</v>
      </c>
      <c r="DG74" t="e">
        <v>#VALUE!</v>
      </c>
      <c r="DH74" t="e">
        <v>#VALUE!</v>
      </c>
      <c r="DI74" t="e">
        <v>#VALUE!</v>
      </c>
      <c r="DJ74" t="e">
        <v>#VALUE!</v>
      </c>
      <c r="DK74" t="e">
        <v>#VALUE!</v>
      </c>
      <c r="DL74" t="e">
        <v>#VALUE!</v>
      </c>
      <c r="DM74" t="e">
        <v>#VALUE!</v>
      </c>
      <c r="DN74" t="e">
        <v>#VALUE!</v>
      </c>
      <c r="DO74">
        <v>0</v>
      </c>
      <c r="DP74" t="e">
        <v>#VALUE!</v>
      </c>
      <c r="DQ74" t="e">
        <v>#VALUE!</v>
      </c>
      <c r="DR74" t="e">
        <v>#VALUE!</v>
      </c>
      <c r="DS74" t="e">
        <v>#VALUE!</v>
      </c>
      <c r="DT74" t="e">
        <v>#VALUE!</v>
      </c>
      <c r="DU74" t="e">
        <v>#VALUE!</v>
      </c>
      <c r="DV74" t="e">
        <v>#VALUE!</v>
      </c>
      <c r="DW74" t="e">
        <v>#VALUE!</v>
      </c>
      <c r="DX74" t="e">
        <v>#VALUE!</v>
      </c>
      <c r="DY74" t="e">
        <v>#VALUE!</v>
      </c>
      <c r="DZ74" t="e">
        <v>#VALUE!</v>
      </c>
      <c r="EA74" t="e">
        <v>#VALUE!</v>
      </c>
      <c r="EB74" t="e">
        <v>#VALUE!</v>
      </c>
      <c r="EC74" t="e">
        <v>#VALUE!</v>
      </c>
      <c r="ED74" t="e">
        <v>#VALUE!</v>
      </c>
      <c r="EE74" t="e">
        <v>#VALUE!</v>
      </c>
      <c r="EF74" t="e">
        <v>#VALUE!</v>
      </c>
      <c r="EG74" t="e">
        <v>#VALUE!</v>
      </c>
      <c r="EH74" t="e">
        <v>#VALUE!</v>
      </c>
      <c r="EI74" t="e">
        <v>#VALUE!</v>
      </c>
      <c r="EJ74" t="e">
        <v>#VALUE!</v>
      </c>
      <c r="EK74" t="e">
        <v>#VALUE!</v>
      </c>
      <c r="EL74" t="e">
        <v>#VALUE!</v>
      </c>
      <c r="EM74" t="e">
        <v>#VALUE!</v>
      </c>
      <c r="EN74" t="e">
        <v>#VALUE!</v>
      </c>
      <c r="EO74" t="e">
        <v>#VALUE!</v>
      </c>
      <c r="EP74" t="e">
        <v>#VALUE!</v>
      </c>
      <c r="EQ74" t="e">
        <v>#VALUE!</v>
      </c>
      <c r="ER74" t="e">
        <v>#VALUE!</v>
      </c>
      <c r="ES74" t="e">
        <v>#VALUE!</v>
      </c>
      <c r="ET74" t="e">
        <v>#VALUE!</v>
      </c>
      <c r="EU74" t="e">
        <v>#VALUE!</v>
      </c>
      <c r="EV74" t="e">
        <v>#VALUE!</v>
      </c>
      <c r="EW74">
        <v>0</v>
      </c>
      <c r="EX74" t="e">
        <v>#VALUE!</v>
      </c>
      <c r="EY74" t="e">
        <v>#VALUE!</v>
      </c>
      <c r="EZ74" t="e">
        <v>#VALUE!</v>
      </c>
      <c r="FA74" t="e">
        <v>#VALUE!</v>
      </c>
      <c r="FB74" t="e">
        <v>#VALUE!</v>
      </c>
      <c r="FC74" t="e">
        <v>#VALUE!</v>
      </c>
      <c r="FD74" t="e">
        <v>#VALUE!</v>
      </c>
      <c r="FE74" t="e">
        <v>#VALUE!</v>
      </c>
      <c r="FF74" t="e">
        <v>#VALUE!</v>
      </c>
      <c r="FG74" t="e">
        <v>#VALUE!</v>
      </c>
      <c r="FH74" t="e">
        <v>#VALUE!</v>
      </c>
      <c r="FI74" t="e">
        <v>#VALUE!</v>
      </c>
      <c r="FJ74" t="e">
        <v>#VALUE!</v>
      </c>
      <c r="FK74" t="e">
        <v>#VALUE!</v>
      </c>
      <c r="FL74" t="e">
        <v>#VALUE!</v>
      </c>
      <c r="FM74" t="e">
        <v>#VALUE!</v>
      </c>
      <c r="FN74" t="e">
        <v>#VALUE!</v>
      </c>
      <c r="FO74" t="e">
        <v>#VALUE!</v>
      </c>
      <c r="FP74" t="e">
        <v>#VALUE!</v>
      </c>
      <c r="FQ74" t="e">
        <v>#VALUE!</v>
      </c>
      <c r="FR74" t="e">
        <v>#VALUE!</v>
      </c>
      <c r="FS74" t="e">
        <v>#VALUE!</v>
      </c>
      <c r="FT74" t="e">
        <v>#VALUE!</v>
      </c>
      <c r="FU74" t="e">
        <v>#VALUE!</v>
      </c>
      <c r="FV74" t="e">
        <v>#VALUE!</v>
      </c>
      <c r="FW74" t="e">
        <v>#VALUE!</v>
      </c>
      <c r="FX74" t="e">
        <v>#VALUE!</v>
      </c>
      <c r="FY74" t="e">
        <v>#VALUE!</v>
      </c>
      <c r="FZ74" t="e">
        <v>#VALUE!</v>
      </c>
      <c r="GA74" t="e">
        <v>#VALUE!</v>
      </c>
      <c r="GB74" t="e">
        <v>#VALUE!</v>
      </c>
      <c r="GC74" t="e">
        <v>#VALUE!</v>
      </c>
      <c r="GD74" t="e">
        <v>#VALUE!</v>
      </c>
      <c r="GE74">
        <v>0</v>
      </c>
      <c r="GF74" t="e">
        <v>#VALUE!</v>
      </c>
      <c r="GG74" t="e">
        <v>#VALUE!</v>
      </c>
      <c r="GH74" t="e">
        <v>#VALUE!</v>
      </c>
      <c r="GI74" t="e">
        <v>#VALUE!</v>
      </c>
      <c r="GJ74" t="e">
        <v>#VALUE!</v>
      </c>
      <c r="GK74" t="e">
        <v>#VALUE!</v>
      </c>
      <c r="GL74" t="e">
        <v>#VALUE!</v>
      </c>
      <c r="GM74" t="e">
        <v>#VALUE!</v>
      </c>
      <c r="GN74" t="e">
        <v>#VALUE!</v>
      </c>
      <c r="GO74" t="e">
        <v>#VALUE!</v>
      </c>
      <c r="GP74" t="e">
        <v>#VALUE!</v>
      </c>
      <c r="GQ74" t="e">
        <v>#VALUE!</v>
      </c>
      <c r="GR74" t="e">
        <v>#VALUE!</v>
      </c>
      <c r="GS74" t="e">
        <v>#VALUE!</v>
      </c>
      <c r="GT74" t="e">
        <v>#VALUE!</v>
      </c>
      <c r="GU74" t="e">
        <v>#VALUE!</v>
      </c>
      <c r="GV74" t="e">
        <v>#VALUE!</v>
      </c>
      <c r="GW74" t="e">
        <v>#VALUE!</v>
      </c>
      <c r="GX74" t="e">
        <v>#VALUE!</v>
      </c>
      <c r="GY74" t="e">
        <v>#VALUE!</v>
      </c>
      <c r="GZ74" t="e">
        <v>#VALUE!</v>
      </c>
      <c r="HA74" t="e">
        <v>#VALUE!</v>
      </c>
      <c r="HB74" t="e">
        <v>#VALUE!</v>
      </c>
      <c r="HC74" t="e">
        <v>#VALUE!</v>
      </c>
      <c r="HD74" t="e">
        <v>#VALUE!</v>
      </c>
      <c r="HE74" t="e">
        <v>#VALUE!</v>
      </c>
      <c r="HF74" t="e">
        <v>#VALUE!</v>
      </c>
      <c r="HG74" t="e">
        <v>#VALUE!</v>
      </c>
      <c r="HH74" t="e">
        <v>#VALUE!</v>
      </c>
      <c r="HI74" t="e">
        <v>#VALUE!</v>
      </c>
      <c r="HJ74" t="e">
        <v>#VALUE!</v>
      </c>
      <c r="HK74" t="e">
        <v>#VALUE!</v>
      </c>
      <c r="HL74" t="e">
        <v>#VALUE!</v>
      </c>
      <c r="HM74">
        <v>0</v>
      </c>
      <c r="HN74" t="e">
        <v>#VALUE!</v>
      </c>
      <c r="HO74" t="e">
        <v>#VALUE!</v>
      </c>
      <c r="HP74" t="e">
        <v>#VALUE!</v>
      </c>
      <c r="HQ74" t="e">
        <v>#VALUE!</v>
      </c>
      <c r="HR74" t="e">
        <v>#VALUE!</v>
      </c>
      <c r="HS74" t="e">
        <v>#VALUE!</v>
      </c>
      <c r="HT74" t="e">
        <v>#VALUE!</v>
      </c>
      <c r="HU74" t="e">
        <v>#VALUE!</v>
      </c>
      <c r="HV74" t="e">
        <v>#VALUE!</v>
      </c>
      <c r="HW74" t="e">
        <v>#VALUE!</v>
      </c>
      <c r="HX74" t="e">
        <v>#VALUE!</v>
      </c>
      <c r="HY74" t="e">
        <v>#VALUE!</v>
      </c>
      <c r="HZ74" t="e">
        <v>#VALUE!</v>
      </c>
      <c r="IA74" t="e">
        <v>#VALUE!</v>
      </c>
      <c r="IB74" t="e">
        <v>#VALUE!</v>
      </c>
      <c r="IC74" t="e">
        <v>#VALUE!</v>
      </c>
      <c r="ID74" t="e">
        <v>#VALUE!</v>
      </c>
      <c r="IE74" t="e">
        <v>#VALUE!</v>
      </c>
      <c r="IF74" t="e">
        <v>#VALUE!</v>
      </c>
      <c r="IG74" t="e">
        <v>#VALUE!</v>
      </c>
      <c r="IH74" t="e">
        <v>#VALUE!</v>
      </c>
      <c r="II74" t="e">
        <v>#VALUE!</v>
      </c>
      <c r="IJ74" t="e">
        <v>#VALUE!</v>
      </c>
      <c r="IK74" t="e">
        <v>#VALUE!</v>
      </c>
      <c r="IL74" t="e">
        <v>#VALUE!</v>
      </c>
      <c r="IM74" t="e">
        <v>#VALUE!</v>
      </c>
      <c r="IN74" t="e">
        <v>#VALUE!</v>
      </c>
      <c r="IO74" t="e">
        <v>#VALUE!</v>
      </c>
      <c r="IP74" t="e">
        <v>#VALUE!</v>
      </c>
      <c r="IQ74" t="e">
        <v>#VALUE!</v>
      </c>
      <c r="IR74" t="e">
        <v>#VALUE!</v>
      </c>
      <c r="IS74" t="e">
        <v>#VALUE!</v>
      </c>
      <c r="IT74" t="e">
        <v>#VALUE!</v>
      </c>
      <c r="IU74">
        <v>0</v>
      </c>
      <c r="IV74" t="e">
        <v>#VALUE!</v>
      </c>
    </row>
    <row r="75" spans="1:256" x14ac:dyDescent="0.25">
      <c r="A75" t="e">
        <v>#VALUE!</v>
      </c>
      <c r="B75" t="e">
        <v>#VALUE!</v>
      </c>
      <c r="C75" t="e">
        <v>#VALUE!</v>
      </c>
      <c r="D75" t="e">
        <v>#VALUE!</v>
      </c>
      <c r="E75" t="e">
        <v>#VALUE!</v>
      </c>
      <c r="F75" t="e">
        <v>#VALUE!</v>
      </c>
      <c r="G75" t="e">
        <v>#VALUE!</v>
      </c>
      <c r="H75" t="e">
        <v>#VALUE!</v>
      </c>
      <c r="I75" t="e">
        <v>#VALUE!</v>
      </c>
      <c r="J75" t="e">
        <v>#VALUE!</v>
      </c>
      <c r="K75" t="e">
        <v>#VALUE!</v>
      </c>
      <c r="L75" t="e">
        <v>#VALUE!</v>
      </c>
      <c r="M75" t="e">
        <v>#VALUE!</v>
      </c>
      <c r="N75" t="e">
        <v>#VALUE!</v>
      </c>
      <c r="O75" t="e">
        <v>#VALUE!</v>
      </c>
      <c r="P75" t="e">
        <v>#VALUE!</v>
      </c>
      <c r="Q75" t="e">
        <v>#VALUE!</v>
      </c>
      <c r="R75" t="e">
        <v>#VALUE!</v>
      </c>
      <c r="S75" t="e">
        <v>#VALUE!</v>
      </c>
      <c r="T75" t="e">
        <v>#VALUE!</v>
      </c>
      <c r="U75" t="e">
        <v>#VALUE!</v>
      </c>
      <c r="V75" t="e">
        <v>#VALUE!</v>
      </c>
      <c r="W75" t="e">
        <v>#VALUE!</v>
      </c>
      <c r="X75" t="e">
        <v>#VALUE!</v>
      </c>
      <c r="Y75" t="e">
        <v>#VALUE!</v>
      </c>
      <c r="Z75" t="e">
        <v>#VALUE!</v>
      </c>
      <c r="AA75" t="e">
        <v>#VALUE!</v>
      </c>
      <c r="AB75" t="e">
        <v>#VALUE!</v>
      </c>
      <c r="AC75" t="e">
        <v>#VALUE!</v>
      </c>
      <c r="AD75" t="e">
        <v>#VALUE!</v>
      </c>
      <c r="AE75" t="e">
        <v>#VALUE!</v>
      </c>
      <c r="AF75" t="e">
        <v>#VALUE!</v>
      </c>
      <c r="AG75">
        <v>0</v>
      </c>
      <c r="AH75" t="e">
        <v>#VALUE!</v>
      </c>
      <c r="AI75" t="e">
        <v>#VALUE!</v>
      </c>
      <c r="AJ75" t="e">
        <v>#VALUE!</v>
      </c>
      <c r="AK75" t="e">
        <v>#VALUE!</v>
      </c>
      <c r="AL75" t="e">
        <v>#VALUE!</v>
      </c>
      <c r="AM75" t="e">
        <v>#VALUE!</v>
      </c>
      <c r="AN75" t="e">
        <v>#VALUE!</v>
      </c>
      <c r="AO75" t="e">
        <v>#VALUE!</v>
      </c>
      <c r="AP75" t="e">
        <v>#VALUE!</v>
      </c>
      <c r="AQ75" t="e">
        <v>#VALUE!</v>
      </c>
      <c r="AR75" t="e">
        <v>#VALUE!</v>
      </c>
      <c r="AS75" t="e">
        <v>#VALUE!</v>
      </c>
      <c r="AT75" t="e">
        <v>#VALUE!</v>
      </c>
      <c r="AU75" t="e">
        <v>#VALUE!</v>
      </c>
      <c r="AV75" t="e">
        <v>#VALUE!</v>
      </c>
      <c r="AW75" t="e">
        <v>#VALUE!</v>
      </c>
      <c r="AX75" t="e">
        <v>#VALUE!</v>
      </c>
      <c r="AY75" t="e">
        <v>#VALUE!</v>
      </c>
      <c r="AZ75" t="e">
        <v>#VALUE!</v>
      </c>
      <c r="BA75" t="e">
        <v>#VALUE!</v>
      </c>
      <c r="BB75" t="e">
        <v>#VALUE!</v>
      </c>
      <c r="BC75" t="e">
        <v>#VALUE!</v>
      </c>
      <c r="BD75" t="e">
        <v>#VALUE!</v>
      </c>
      <c r="BE75" t="e">
        <v>#VALUE!</v>
      </c>
      <c r="BF75" t="e">
        <v>#VALUE!</v>
      </c>
      <c r="BG75" t="e">
        <v>#VALUE!</v>
      </c>
      <c r="BH75" t="e">
        <v>#VALUE!</v>
      </c>
      <c r="BI75" t="e">
        <v>#VALUE!</v>
      </c>
      <c r="BJ75" t="e">
        <v>#VALUE!</v>
      </c>
      <c r="BK75" t="e">
        <v>#VALUE!</v>
      </c>
      <c r="BL75" t="e">
        <v>#VALUE!</v>
      </c>
      <c r="BM75" t="e">
        <v>#VALUE!</v>
      </c>
      <c r="BN75" t="e">
        <v>#VALUE!</v>
      </c>
      <c r="BO75">
        <v>0</v>
      </c>
      <c r="BP75" t="e">
        <v>#VALUE!</v>
      </c>
      <c r="BQ75" t="e">
        <v>#VALUE!</v>
      </c>
      <c r="BR75" t="e">
        <v>#REF!</v>
      </c>
      <c r="BS75" t="e">
        <v>#REF!</v>
      </c>
      <c r="BT75" t="e">
        <v>#REF!</v>
      </c>
      <c r="BU75" t="e">
        <v>#REF!</v>
      </c>
      <c r="BV75" t="e">
        <v>#REF!</v>
      </c>
      <c r="BW75" t="e">
        <v>#REF!</v>
      </c>
      <c r="BX75" t="e">
        <v>#REF!</v>
      </c>
      <c r="BY75" t="e">
        <v>#REF!</v>
      </c>
      <c r="BZ75" t="e">
        <v>#REF!</v>
      </c>
      <c r="CA75" t="e">
        <v>#REF!</v>
      </c>
      <c r="CB75" t="e">
        <v>#REF!</v>
      </c>
      <c r="CC75" t="e">
        <v>#REF!</v>
      </c>
      <c r="CD75" t="e">
        <v>#REF!</v>
      </c>
      <c r="CE75" t="e">
        <v>#REF!</v>
      </c>
      <c r="CF75" t="e">
        <v>#REF!</v>
      </c>
      <c r="CG75" t="e">
        <v>#REF!</v>
      </c>
      <c r="CH75" t="e">
        <v>#REF!</v>
      </c>
      <c r="CI75" t="e">
        <v>#REF!</v>
      </c>
      <c r="CJ75" t="e">
        <v>#REF!</v>
      </c>
      <c r="CK75" t="e">
        <v>#VALUE!</v>
      </c>
      <c r="CL75" t="e">
        <v>#VALUE!</v>
      </c>
      <c r="CM75" t="e">
        <v>#VALUE!</v>
      </c>
      <c r="CN75" t="e">
        <v>#VALUE!</v>
      </c>
      <c r="CO75" t="e">
        <v>#VALUE!</v>
      </c>
      <c r="CP75" t="e">
        <v>#VALUE!</v>
      </c>
      <c r="CQ75" t="e">
        <v>#VALUE!</v>
      </c>
      <c r="CR75" t="e">
        <v>#VALUE!</v>
      </c>
      <c r="CS75" t="e">
        <v>#VALUE!</v>
      </c>
      <c r="CT75" t="e">
        <v>#VALUE!</v>
      </c>
      <c r="CU75" t="e">
        <v>#VALUE!</v>
      </c>
      <c r="CV75" t="e">
        <v>#VALUE!</v>
      </c>
      <c r="CW75">
        <v>0</v>
      </c>
      <c r="CX75" t="e">
        <v>#VALUE!</v>
      </c>
      <c r="CY75" t="e">
        <v>#VALUE!</v>
      </c>
      <c r="CZ75" t="e">
        <v>#REF!</v>
      </c>
      <c r="DA75" t="e">
        <v>#REF!</v>
      </c>
      <c r="DB75" t="e">
        <v>#REF!</v>
      </c>
      <c r="DC75" t="e">
        <v>#REF!</v>
      </c>
      <c r="DD75" t="e">
        <v>#REF!</v>
      </c>
      <c r="DE75" t="e">
        <v>#REF!</v>
      </c>
      <c r="DF75" t="e">
        <v>#REF!</v>
      </c>
      <c r="DG75" t="e">
        <v>#REF!</v>
      </c>
      <c r="DH75" t="e">
        <v>#REF!</v>
      </c>
      <c r="DI75" t="e">
        <v>#REF!</v>
      </c>
      <c r="DJ75" t="e">
        <v>#REF!</v>
      </c>
      <c r="DK75" t="e">
        <v>#REF!</v>
      </c>
      <c r="DL75" t="e">
        <v>#REF!</v>
      </c>
      <c r="DM75" t="e">
        <v>#REF!</v>
      </c>
      <c r="DN75" t="e">
        <v>#REF!</v>
      </c>
      <c r="DO75" t="e">
        <v>#REF!</v>
      </c>
      <c r="DP75" t="e">
        <v>#REF!</v>
      </c>
      <c r="DQ75" t="e">
        <v>#REF!</v>
      </c>
      <c r="DR75" t="e">
        <v>#REF!</v>
      </c>
      <c r="DS75" t="e">
        <v>#VALUE!</v>
      </c>
      <c r="DT75" t="e">
        <v>#VALUE!</v>
      </c>
      <c r="DU75" t="e">
        <v>#VALUE!</v>
      </c>
      <c r="DV75" t="e">
        <v>#VALUE!</v>
      </c>
      <c r="DW75" t="e">
        <v>#VALUE!</v>
      </c>
      <c r="DX75" t="e">
        <v>#VALUE!</v>
      </c>
      <c r="DY75" t="e">
        <v>#VALUE!</v>
      </c>
      <c r="DZ75" t="e">
        <v>#VALUE!</v>
      </c>
      <c r="EA75" t="e">
        <v>#VALUE!</v>
      </c>
      <c r="EB75" t="e">
        <v>#VALUE!</v>
      </c>
      <c r="EC75" t="e">
        <v>#VALUE!</v>
      </c>
      <c r="ED75" t="e">
        <v>#VALUE!</v>
      </c>
      <c r="EE75">
        <v>0</v>
      </c>
      <c r="EF75" t="e">
        <v>#VALUE!</v>
      </c>
      <c r="EG75" t="e">
        <v>#VALUE!</v>
      </c>
      <c r="EH75" t="e">
        <v>#REF!</v>
      </c>
      <c r="EI75" t="e">
        <v>#REF!</v>
      </c>
      <c r="EJ75" t="e">
        <v>#REF!</v>
      </c>
      <c r="EK75" t="e">
        <v>#REF!</v>
      </c>
      <c r="EL75" t="e">
        <v>#REF!</v>
      </c>
      <c r="EM75" t="e">
        <v>#REF!</v>
      </c>
      <c r="EN75" t="e">
        <v>#REF!</v>
      </c>
      <c r="EO75" t="e">
        <v>#REF!</v>
      </c>
      <c r="EP75" t="e">
        <v>#REF!</v>
      </c>
      <c r="EQ75" t="e">
        <v>#REF!</v>
      </c>
      <c r="ER75" t="e">
        <v>#REF!</v>
      </c>
      <c r="ES75" t="e">
        <v>#REF!</v>
      </c>
      <c r="ET75" t="e">
        <v>#REF!</v>
      </c>
      <c r="EU75" t="e">
        <v>#REF!</v>
      </c>
      <c r="EV75" t="e">
        <v>#REF!</v>
      </c>
      <c r="EW75" t="e">
        <v>#REF!</v>
      </c>
      <c r="EX75" t="e">
        <v>#REF!</v>
      </c>
      <c r="EY75" t="e">
        <v>#REF!</v>
      </c>
      <c r="EZ75" t="e">
        <v>#REF!</v>
      </c>
      <c r="FA75" t="e">
        <v>#VALUE!</v>
      </c>
      <c r="FB75" t="e">
        <v>#VALUE!</v>
      </c>
      <c r="FC75" t="e">
        <v>#VALUE!</v>
      </c>
      <c r="FD75" t="e">
        <v>#VALUE!</v>
      </c>
      <c r="FE75" t="e">
        <v>#VALUE!</v>
      </c>
      <c r="FF75" t="e">
        <v>#VALUE!</v>
      </c>
      <c r="FG75" t="e">
        <v>#VALUE!</v>
      </c>
      <c r="FH75" t="e">
        <v>#VALUE!</v>
      </c>
      <c r="FI75" t="e">
        <v>#VALUE!</v>
      </c>
      <c r="FJ75" t="e">
        <v>#VALUE!</v>
      </c>
      <c r="FK75" t="e">
        <v>#VALUE!</v>
      </c>
      <c r="FL75" t="e">
        <v>#VALUE!</v>
      </c>
      <c r="FM75">
        <v>0</v>
      </c>
      <c r="FN75" t="e">
        <v>#VALUE!</v>
      </c>
      <c r="FO75" t="e">
        <v>#VALUE!</v>
      </c>
      <c r="FP75" t="e">
        <v>#VALUE!</v>
      </c>
      <c r="FQ75" t="e">
        <v>#VALUE!</v>
      </c>
      <c r="FR75" t="e">
        <v>#VALUE!</v>
      </c>
      <c r="FS75" t="e">
        <v>#VALUE!</v>
      </c>
      <c r="FT75" t="e">
        <v>#VALUE!</v>
      </c>
      <c r="FU75" t="e">
        <v>#VALUE!</v>
      </c>
      <c r="FV75" t="e">
        <v>#VALUE!</v>
      </c>
      <c r="FW75" t="e">
        <v>#VALUE!</v>
      </c>
      <c r="FX75" t="e">
        <v>#VALUE!</v>
      </c>
      <c r="FY75" t="e">
        <v>#VALUE!</v>
      </c>
      <c r="FZ75" t="e">
        <v>#VALUE!</v>
      </c>
      <c r="GA75" t="e">
        <v>#VALUE!</v>
      </c>
      <c r="GB75" t="e">
        <v>#VALUE!</v>
      </c>
      <c r="GC75" t="e">
        <v>#VALUE!</v>
      </c>
      <c r="GD75" t="e">
        <v>#VALUE!</v>
      </c>
      <c r="GE75" t="e">
        <v>#VALUE!</v>
      </c>
      <c r="GF75" t="e">
        <v>#VALUE!</v>
      </c>
      <c r="GG75" t="e">
        <v>#VALUE!</v>
      </c>
      <c r="GH75" t="e">
        <v>#VALUE!</v>
      </c>
      <c r="GI75" t="e">
        <v>#VALUE!</v>
      </c>
      <c r="GJ75" t="e">
        <v>#VALUE!</v>
      </c>
      <c r="GK75" t="e">
        <v>#VALUE!</v>
      </c>
      <c r="GL75" t="e">
        <v>#VALUE!</v>
      </c>
      <c r="GM75" t="e">
        <v>#VALUE!</v>
      </c>
      <c r="GN75" t="e">
        <v>#VALUE!</v>
      </c>
      <c r="GO75" t="e">
        <v>#VALUE!</v>
      </c>
      <c r="GP75" t="e">
        <v>#VALUE!</v>
      </c>
      <c r="GQ75" t="e">
        <v>#VALUE!</v>
      </c>
      <c r="GR75" t="e">
        <v>#VALUE!</v>
      </c>
      <c r="GS75" t="e">
        <v>#VALUE!</v>
      </c>
      <c r="GT75" t="e">
        <v>#VALUE!</v>
      </c>
      <c r="GU75" t="e">
        <v>#REF!</v>
      </c>
      <c r="GV75" t="e">
        <v>#REF!</v>
      </c>
      <c r="GW75" t="e">
        <v>#REF!</v>
      </c>
      <c r="GX75" t="e">
        <v>#VALUE!</v>
      </c>
      <c r="GY75" t="e">
        <v>#VALUE!</v>
      </c>
      <c r="GZ75" t="e">
        <v>#VALUE!</v>
      </c>
      <c r="HA75" t="e">
        <v>#VALUE!</v>
      </c>
      <c r="HB75" t="e">
        <v>#VALUE!</v>
      </c>
      <c r="HC75" t="e">
        <v>#VALUE!</v>
      </c>
      <c r="HD75" t="e">
        <v>#VALUE!</v>
      </c>
      <c r="HE75" t="e">
        <v>#VALUE!</v>
      </c>
      <c r="HF75" t="e">
        <v>#VALUE!</v>
      </c>
      <c r="HG75" t="e">
        <v>#VALUE!</v>
      </c>
      <c r="HH75" t="e">
        <v>#VALUE!</v>
      </c>
      <c r="HI75" t="e">
        <v>#VALUE!</v>
      </c>
      <c r="HJ75" t="e">
        <v>#VALUE!</v>
      </c>
      <c r="HK75" t="e">
        <v>#VALUE!</v>
      </c>
      <c r="HL75" t="e">
        <v>#VALUE!</v>
      </c>
      <c r="HM75" t="e">
        <v>#VALUE!</v>
      </c>
      <c r="HN75" t="e">
        <v>#VALUE!</v>
      </c>
      <c r="HO75" t="e">
        <v>#VALUE!</v>
      </c>
      <c r="HP75" t="e">
        <v>#VALUE!</v>
      </c>
      <c r="HQ75" t="e">
        <v>#REF!</v>
      </c>
      <c r="HR75" t="e">
        <v>#REF!</v>
      </c>
      <c r="HS75" t="e">
        <v>#REF!</v>
      </c>
      <c r="HT75" t="e">
        <v>#REF!</v>
      </c>
      <c r="HU75" t="e">
        <v>#REF!</v>
      </c>
      <c r="HV75" t="e">
        <v>#REF!</v>
      </c>
      <c r="HW75" t="e">
        <v>#REF!</v>
      </c>
      <c r="HX75" t="e">
        <v>#REF!</v>
      </c>
      <c r="HY75" t="e">
        <v>#REF!</v>
      </c>
      <c r="HZ75" t="e">
        <v>#REF!</v>
      </c>
      <c r="IA75" t="e">
        <v>#REF!</v>
      </c>
      <c r="IB75" t="e">
        <v>#REF!</v>
      </c>
      <c r="IC75" t="e">
        <v>#REF!</v>
      </c>
      <c r="ID75" t="e">
        <v>#REF!</v>
      </c>
      <c r="IE75" t="e">
        <v>#REF!</v>
      </c>
      <c r="IF75" t="e">
        <v>#VALUE!</v>
      </c>
      <c r="IG75" t="e">
        <v>#VALUE!</v>
      </c>
      <c r="IH75" t="e">
        <v>#VALUE!</v>
      </c>
      <c r="II75" t="e">
        <v>#VALUE!</v>
      </c>
      <c r="IJ75" t="e">
        <v>#VALUE!</v>
      </c>
      <c r="IK75" t="e">
        <v>#VALUE!</v>
      </c>
      <c r="IL75" t="e">
        <v>#VALUE!</v>
      </c>
      <c r="IM75" t="e">
        <v>#VALUE!</v>
      </c>
      <c r="IN75" t="e">
        <v>#VALUE!</v>
      </c>
      <c r="IO75" t="e">
        <v>#VALUE!</v>
      </c>
      <c r="IP75" t="e">
        <v>#VALUE!</v>
      </c>
      <c r="IQ75" t="e">
        <v>#VALUE!</v>
      </c>
      <c r="IR75" t="e">
        <v>#VALUE!</v>
      </c>
      <c r="IS75" t="e">
        <v>#VALUE!</v>
      </c>
      <c r="IT75" t="e">
        <v>#VALUE!</v>
      </c>
      <c r="IU75" t="e">
        <v>#VALUE!</v>
      </c>
      <c r="IV75" t="e">
        <v>#VALUE!</v>
      </c>
    </row>
    <row r="76" spans="1:256" x14ac:dyDescent="0.25">
      <c r="A76" t="e">
        <v>#VALUE!</v>
      </c>
      <c r="B76" t="e">
        <v>#VALUE!</v>
      </c>
      <c r="C76" t="e">
        <v>#REF!</v>
      </c>
      <c r="D76" t="e">
        <v>#REF!</v>
      </c>
      <c r="E76" t="e">
        <v>#REF!</v>
      </c>
      <c r="F76" t="e">
        <v>#REF!</v>
      </c>
      <c r="G76" t="e">
        <v>#REF!</v>
      </c>
      <c r="H76" t="e">
        <v>#REF!</v>
      </c>
      <c r="I76" t="e">
        <v>#REF!</v>
      </c>
      <c r="J76" t="e">
        <v>#REF!</v>
      </c>
      <c r="K76" t="e">
        <v>#REF!</v>
      </c>
      <c r="L76" t="e">
        <v>#REF!</v>
      </c>
      <c r="M76" t="e">
        <v>#REF!</v>
      </c>
      <c r="N76" t="e">
        <v>#REF!</v>
      </c>
      <c r="O76" t="e">
        <v>#REF!</v>
      </c>
      <c r="P76" t="e">
        <v>#REF!</v>
      </c>
      <c r="Q76" t="e">
        <v>#REF!</v>
      </c>
      <c r="R76" t="e">
        <v>#VALUE!</v>
      </c>
      <c r="S76" t="e">
        <v>#VALUE!</v>
      </c>
      <c r="T76" t="e">
        <v>#VALUE!</v>
      </c>
      <c r="U76" t="e">
        <v>#VALUE!</v>
      </c>
      <c r="V76" t="e">
        <v>#VALUE!</v>
      </c>
      <c r="W76" t="e">
        <v>#VALUE!</v>
      </c>
      <c r="X76" t="e">
        <v>#VALUE!</v>
      </c>
      <c r="Y76" t="e">
        <v>#VALUE!</v>
      </c>
      <c r="Z76" t="e">
        <v>#VALUE!</v>
      </c>
      <c r="AA76" t="e">
        <v>#VALUE!</v>
      </c>
      <c r="AB76" t="e">
        <v>#VALUE!</v>
      </c>
      <c r="AC76" t="e">
        <v>#VALUE!</v>
      </c>
      <c r="AD76" t="e">
        <v>#VALUE!</v>
      </c>
      <c r="AE76" t="e">
        <v>#VALUE!</v>
      </c>
      <c r="AF76" t="e">
        <v>#VALUE!</v>
      </c>
      <c r="AG76" t="e">
        <v>#VALUE!</v>
      </c>
      <c r="AH76" t="e">
        <v>#VALUE!</v>
      </c>
      <c r="AI76" t="e">
        <v>#VALUE!</v>
      </c>
      <c r="AJ76" t="e">
        <v>#VALUE!</v>
      </c>
      <c r="AK76" t="e">
        <v>#REF!</v>
      </c>
      <c r="AL76" t="e">
        <v>#REF!</v>
      </c>
      <c r="AM76" t="e">
        <v>#REF!</v>
      </c>
      <c r="AN76" t="e">
        <v>#REF!</v>
      </c>
      <c r="AO76" t="e">
        <v>#REF!</v>
      </c>
      <c r="AP76" t="e">
        <v>#REF!</v>
      </c>
      <c r="AQ76" t="e">
        <v>#REF!</v>
      </c>
      <c r="AR76" t="e">
        <v>#REF!</v>
      </c>
      <c r="AS76" t="e">
        <v>#REF!</v>
      </c>
      <c r="AT76" t="e">
        <v>#REF!</v>
      </c>
      <c r="AU76" t="e">
        <v>#REF!</v>
      </c>
      <c r="AV76" t="e">
        <v>#REF!</v>
      </c>
      <c r="AW76">
        <v>0</v>
      </c>
      <c r="AX76" t="e">
        <v>#VALUE!</v>
      </c>
      <c r="AY76" t="e">
        <v>#VALUE!</v>
      </c>
      <c r="AZ76" t="e">
        <v>#VALUE!</v>
      </c>
      <c r="BA76" t="e">
        <v>#VALUE!</v>
      </c>
      <c r="BB76" t="e">
        <v>#VALUE!</v>
      </c>
      <c r="BC76" t="e">
        <v>#VALUE!</v>
      </c>
      <c r="BD76" t="e">
        <v>#VALUE!</v>
      </c>
      <c r="BE76" t="e">
        <v>#VALUE!</v>
      </c>
      <c r="BF76" t="e">
        <v>#VALUE!</v>
      </c>
      <c r="BG76" t="e">
        <v>#VALUE!</v>
      </c>
      <c r="BH76" t="e">
        <v>#VALUE!</v>
      </c>
      <c r="BI76" t="e">
        <v>#VALUE!</v>
      </c>
      <c r="BJ76" t="e">
        <v>#VALUE!</v>
      </c>
      <c r="BK76" t="e">
        <v>#VALUE!</v>
      </c>
      <c r="BL76" t="e">
        <v>#VALUE!</v>
      </c>
      <c r="BM76" t="e">
        <v>#VALUE!</v>
      </c>
      <c r="BN76" t="e">
        <v>#VALUE!</v>
      </c>
      <c r="BO76" t="e">
        <v>#VALUE!</v>
      </c>
      <c r="BP76" t="e">
        <v>#VALUE!</v>
      </c>
      <c r="BQ76" t="e">
        <v>#VALUE!</v>
      </c>
      <c r="BR76" t="e">
        <v>#VALUE!</v>
      </c>
      <c r="BS76" t="e">
        <v>#VALUE!</v>
      </c>
      <c r="BT76" t="e">
        <v>#VALUE!</v>
      </c>
      <c r="BU76" t="e">
        <v>#VALUE!</v>
      </c>
      <c r="BV76" t="e">
        <v>#VALUE!</v>
      </c>
      <c r="BW76" t="e">
        <v>#VALUE!</v>
      </c>
      <c r="BX76" t="e">
        <v>#VALUE!</v>
      </c>
      <c r="BY76" t="e">
        <v>#VALUE!</v>
      </c>
      <c r="BZ76" t="e">
        <v>#VALUE!</v>
      </c>
      <c r="CA76" t="e">
        <v>#VALUE!</v>
      </c>
      <c r="CB76" t="e">
        <v>#VALUE!</v>
      </c>
      <c r="CC76" t="e">
        <v>#VALUE!</v>
      </c>
      <c r="CD76" t="e">
        <v>#VALUE!</v>
      </c>
      <c r="CE76">
        <v>0</v>
      </c>
      <c r="CF76" t="e">
        <v>#VALUE!</v>
      </c>
      <c r="CG76" t="e">
        <v>#VALUE!</v>
      </c>
      <c r="CH76" t="e">
        <v>#REF!</v>
      </c>
      <c r="CI76" t="e">
        <v>#REF!</v>
      </c>
      <c r="CJ76" t="e">
        <v>#REF!</v>
      </c>
      <c r="CK76" t="e">
        <v>#REF!</v>
      </c>
      <c r="CL76" t="e">
        <v>#REF!</v>
      </c>
      <c r="CM76" t="e">
        <v>#REF!</v>
      </c>
      <c r="CN76" t="e">
        <v>#REF!</v>
      </c>
      <c r="CO76" t="e">
        <v>#REF!</v>
      </c>
      <c r="CP76" t="e">
        <v>#REF!</v>
      </c>
      <c r="CQ76" t="e">
        <v>#REF!</v>
      </c>
      <c r="CR76" t="e">
        <v>#REF!</v>
      </c>
      <c r="CS76" t="e">
        <v>#REF!</v>
      </c>
      <c r="CT76" t="e">
        <v>#REF!</v>
      </c>
      <c r="CU76" t="e">
        <v>#REF!</v>
      </c>
      <c r="CV76" t="e">
        <v>#REF!</v>
      </c>
      <c r="CW76" t="e">
        <v>#REF!</v>
      </c>
      <c r="CX76" t="e">
        <v>#REF!</v>
      </c>
      <c r="CY76" t="e">
        <v>#REF!</v>
      </c>
      <c r="CZ76" t="e">
        <v>#REF!</v>
      </c>
      <c r="DA76" t="e">
        <v>#VALUE!</v>
      </c>
      <c r="DB76" t="e">
        <v>#VALUE!</v>
      </c>
      <c r="DC76" t="e">
        <v>#VALUE!</v>
      </c>
      <c r="DD76" t="e">
        <v>#VALUE!</v>
      </c>
      <c r="DE76" t="e">
        <v>#VALUE!</v>
      </c>
      <c r="DF76" t="e">
        <v>#VALUE!</v>
      </c>
      <c r="DG76" t="e">
        <v>#VALUE!</v>
      </c>
      <c r="DH76" t="e">
        <v>#VALUE!</v>
      </c>
      <c r="DI76" t="e">
        <v>#VALUE!</v>
      </c>
      <c r="DJ76" t="e">
        <v>#VALUE!</v>
      </c>
      <c r="DK76" t="e">
        <v>#VALUE!</v>
      </c>
      <c r="DL76" t="e">
        <v>#VALUE!</v>
      </c>
      <c r="DM76">
        <v>0</v>
      </c>
      <c r="DN76" t="e">
        <v>#VALUE!</v>
      </c>
      <c r="DO76" t="e">
        <v>#VALUE!</v>
      </c>
      <c r="DP76" t="e">
        <v>#REF!</v>
      </c>
      <c r="DQ76" t="e">
        <v>#REF!</v>
      </c>
      <c r="DR76" t="e">
        <v>#REF!</v>
      </c>
      <c r="DS76" t="e">
        <v>#REF!</v>
      </c>
      <c r="DT76" t="e">
        <v>#REF!</v>
      </c>
      <c r="DU76" t="e">
        <v>#REF!</v>
      </c>
      <c r="DV76" t="e">
        <v>#REF!</v>
      </c>
      <c r="DW76" t="e">
        <v>#REF!</v>
      </c>
      <c r="DX76" t="e">
        <v>#REF!</v>
      </c>
      <c r="DY76" t="e">
        <v>#REF!</v>
      </c>
      <c r="DZ76" t="e">
        <v>#REF!</v>
      </c>
      <c r="EA76" t="e">
        <v>#REF!</v>
      </c>
      <c r="EB76" t="e">
        <v>#REF!</v>
      </c>
      <c r="EC76" t="e">
        <v>#REF!</v>
      </c>
      <c r="ED76" t="e">
        <v>#REF!</v>
      </c>
      <c r="EE76" t="e">
        <v>#REF!</v>
      </c>
      <c r="EF76" t="e">
        <v>#REF!</v>
      </c>
      <c r="EG76" t="e">
        <v>#REF!</v>
      </c>
      <c r="EH76" t="e">
        <v>#REF!</v>
      </c>
      <c r="EI76" t="e">
        <v>#VALUE!</v>
      </c>
      <c r="EJ76" t="e">
        <v>#VALUE!</v>
      </c>
      <c r="EK76" t="e">
        <v>#VALUE!</v>
      </c>
      <c r="EL76" t="e">
        <v>#VALUE!</v>
      </c>
      <c r="EM76" t="e">
        <v>#VALUE!</v>
      </c>
      <c r="EN76" t="e">
        <v>#VALUE!</v>
      </c>
      <c r="EO76" t="e">
        <v>#VALUE!</v>
      </c>
      <c r="EP76" t="e">
        <v>#VALUE!</v>
      </c>
      <c r="EQ76" t="e">
        <v>#VALUE!</v>
      </c>
      <c r="ER76" t="e">
        <v>#VALUE!</v>
      </c>
      <c r="ES76" t="e">
        <v>#VALUE!</v>
      </c>
      <c r="ET76" t="e">
        <v>#VALUE!</v>
      </c>
      <c r="EU76">
        <v>0</v>
      </c>
      <c r="EV76" t="e">
        <v>#VALUE!</v>
      </c>
      <c r="EW76" t="e">
        <v>#VALUE!</v>
      </c>
      <c r="EX76" t="e">
        <v>#REF!</v>
      </c>
      <c r="EY76" t="e">
        <v>#REF!</v>
      </c>
      <c r="EZ76" t="e">
        <v>#REF!</v>
      </c>
      <c r="FA76" t="e">
        <v>#REF!</v>
      </c>
      <c r="FB76" t="e">
        <v>#REF!</v>
      </c>
      <c r="FC76" t="e">
        <v>#REF!</v>
      </c>
      <c r="FD76" t="e">
        <v>#REF!</v>
      </c>
      <c r="FE76" t="e">
        <v>#REF!</v>
      </c>
      <c r="FF76" t="e">
        <v>#REF!</v>
      </c>
      <c r="FG76" t="e">
        <v>#REF!</v>
      </c>
      <c r="FH76" t="e">
        <v>#REF!</v>
      </c>
      <c r="FI76" t="e">
        <v>#REF!</v>
      </c>
      <c r="FJ76" t="e">
        <v>#REF!</v>
      </c>
      <c r="FK76" t="e">
        <v>#REF!</v>
      </c>
      <c r="FL76" t="e">
        <v>#REF!</v>
      </c>
      <c r="FM76" t="e">
        <v>#REF!</v>
      </c>
      <c r="FN76" t="e">
        <v>#REF!</v>
      </c>
      <c r="FO76" t="e">
        <v>#REF!</v>
      </c>
      <c r="FP76" t="e">
        <v>#REF!</v>
      </c>
      <c r="FQ76" t="e">
        <v>#VALUE!</v>
      </c>
      <c r="FR76" t="e">
        <v>#VALUE!</v>
      </c>
      <c r="FS76" t="e">
        <v>#VALUE!</v>
      </c>
      <c r="FT76" t="e">
        <v>#VALUE!</v>
      </c>
      <c r="FU76" t="e">
        <v>#VALUE!</v>
      </c>
      <c r="FV76" t="e">
        <v>#VALUE!</v>
      </c>
      <c r="FW76" t="e">
        <v>#VALUE!</v>
      </c>
      <c r="FX76" t="e">
        <v>#VALUE!</v>
      </c>
      <c r="FY76" t="e">
        <v>#VALUE!</v>
      </c>
      <c r="FZ76" t="e">
        <v>#VALUE!</v>
      </c>
      <c r="GA76" t="e">
        <v>#VALUE!</v>
      </c>
      <c r="GB76" t="e">
        <v>#VALUE!</v>
      </c>
      <c r="GC76">
        <v>0</v>
      </c>
      <c r="GD76" t="e">
        <v>#REF!</v>
      </c>
      <c r="GE76" t="e">
        <v>#REF!</v>
      </c>
      <c r="GF76" t="e">
        <v>#REF!</v>
      </c>
      <c r="GG76">
        <v>0</v>
      </c>
      <c r="GH76">
        <v>0</v>
      </c>
      <c r="GI76">
        <v>0</v>
      </c>
      <c r="GJ76">
        <v>0</v>
      </c>
      <c r="GK76">
        <v>0</v>
      </c>
      <c r="GL76">
        <v>0</v>
      </c>
      <c r="GM76">
        <v>0</v>
      </c>
      <c r="GN76">
        <v>0</v>
      </c>
      <c r="GO76">
        <v>0</v>
      </c>
      <c r="GP76">
        <v>0</v>
      </c>
      <c r="GQ76">
        <v>0</v>
      </c>
      <c r="GR76">
        <v>0</v>
      </c>
      <c r="GS76">
        <v>0</v>
      </c>
      <c r="GT76">
        <v>0</v>
      </c>
      <c r="GU76">
        <v>0</v>
      </c>
      <c r="GV76">
        <v>0</v>
      </c>
      <c r="GW76">
        <v>0</v>
      </c>
      <c r="GX76">
        <v>0</v>
      </c>
      <c r="GY76">
        <v>0</v>
      </c>
      <c r="GZ76">
        <v>0</v>
      </c>
      <c r="HA76">
        <v>0</v>
      </c>
      <c r="HB76">
        <v>0</v>
      </c>
      <c r="HC76">
        <v>0</v>
      </c>
      <c r="HD76">
        <v>0</v>
      </c>
      <c r="HE76">
        <v>0</v>
      </c>
      <c r="HF76">
        <v>0</v>
      </c>
      <c r="HG76">
        <v>0</v>
      </c>
      <c r="HH76">
        <v>0</v>
      </c>
      <c r="HI76">
        <v>0</v>
      </c>
      <c r="HJ76">
        <v>0</v>
      </c>
      <c r="HK76">
        <v>0</v>
      </c>
      <c r="HL76">
        <v>0</v>
      </c>
      <c r="HM76">
        <v>0</v>
      </c>
      <c r="HN76">
        <v>0</v>
      </c>
      <c r="HO76">
        <v>0</v>
      </c>
      <c r="HP76">
        <v>0</v>
      </c>
      <c r="HQ76">
        <v>0</v>
      </c>
      <c r="HR76">
        <v>0</v>
      </c>
      <c r="HS76">
        <v>0</v>
      </c>
      <c r="HT76">
        <v>0</v>
      </c>
      <c r="HU76">
        <v>0</v>
      </c>
      <c r="HV76">
        <v>0</v>
      </c>
      <c r="HW76">
        <v>0</v>
      </c>
      <c r="HX76">
        <v>0</v>
      </c>
      <c r="HY76">
        <v>0</v>
      </c>
      <c r="HZ76">
        <v>0</v>
      </c>
      <c r="IA76">
        <v>0</v>
      </c>
      <c r="IB76">
        <v>0</v>
      </c>
      <c r="IC76">
        <v>0</v>
      </c>
      <c r="ID76">
        <v>0</v>
      </c>
      <c r="IE76">
        <v>0</v>
      </c>
      <c r="IF76">
        <v>0</v>
      </c>
      <c r="IG76">
        <v>0</v>
      </c>
      <c r="IH76">
        <v>0</v>
      </c>
      <c r="II76">
        <v>0</v>
      </c>
      <c r="IJ76">
        <v>0</v>
      </c>
      <c r="IK76">
        <v>0</v>
      </c>
      <c r="IL76">
        <v>0</v>
      </c>
      <c r="IM76">
        <v>0</v>
      </c>
      <c r="IN76">
        <v>0</v>
      </c>
      <c r="IO76">
        <v>0</v>
      </c>
      <c r="IP76">
        <v>0</v>
      </c>
      <c r="IQ76">
        <v>0</v>
      </c>
      <c r="IR76">
        <v>0</v>
      </c>
      <c r="IS76">
        <v>0</v>
      </c>
      <c r="IT76">
        <v>0</v>
      </c>
      <c r="IU76">
        <v>0</v>
      </c>
      <c r="IV76">
        <v>0</v>
      </c>
    </row>
    <row r="77" spans="1:256" x14ac:dyDescent="0.25">
      <c r="A77">
        <v>0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 t="e">
        <v>#VALUE!</v>
      </c>
      <c r="AW77" t="e">
        <v>#VALUE!</v>
      </c>
      <c r="AX77" t="e">
        <v>#VALUE!</v>
      </c>
      <c r="AY77" t="e">
        <v>#VALUE!</v>
      </c>
      <c r="AZ77" t="e">
        <v>#VALUE!</v>
      </c>
      <c r="BA77" t="e">
        <v>#VALUE!</v>
      </c>
      <c r="BB77" t="e">
        <v>#VALUE!</v>
      </c>
      <c r="BC77" t="e">
        <v>#VALUE!</v>
      </c>
      <c r="BD77" t="e">
        <v>#VALUE!</v>
      </c>
      <c r="BE77" t="e">
        <v>#VALUE!</v>
      </c>
      <c r="BF77" t="e">
        <v>#VALUE!</v>
      </c>
      <c r="BG77" t="e">
        <v>#VALUE!</v>
      </c>
      <c r="BH77" t="e">
        <v>#VALUE!</v>
      </c>
      <c r="BI77" t="e">
        <v>#VALUE!</v>
      </c>
      <c r="BJ77" t="e">
        <v>#VALUE!</v>
      </c>
      <c r="BK77" t="e">
        <v>#VALUE!</v>
      </c>
      <c r="BL77" t="e">
        <v>#VALUE!</v>
      </c>
      <c r="BM77" t="e">
        <v>#VALUE!</v>
      </c>
      <c r="BN77">
        <v>0</v>
      </c>
      <c r="BO77" t="e">
        <v>#VALUE!</v>
      </c>
      <c r="BP77" t="e">
        <v>#VALUE!</v>
      </c>
      <c r="BQ77" t="e">
        <v>#VALUE!</v>
      </c>
      <c r="BR77" t="e">
        <v>#VALUE!</v>
      </c>
      <c r="BS77" t="e">
        <v>#VALUE!</v>
      </c>
      <c r="BT77" t="e">
        <v>#VALUE!</v>
      </c>
      <c r="BU77" t="e">
        <v>#VALUE!</v>
      </c>
      <c r="BV77" t="e">
        <v>#VALUE!</v>
      </c>
      <c r="BW77" t="e">
        <v>#VALUE!</v>
      </c>
      <c r="BX77" t="e">
        <v>#VALUE!</v>
      </c>
      <c r="BY77" t="e">
        <v>#VALUE!</v>
      </c>
      <c r="BZ77" t="e">
        <v>#VALUE!</v>
      </c>
      <c r="CA77" t="e">
        <v>#VALUE!</v>
      </c>
      <c r="CB77" t="e">
        <v>#VALUE!</v>
      </c>
      <c r="CC77" t="e">
        <v>#VALUE!</v>
      </c>
      <c r="CD77" t="e">
        <v>#VALUE!</v>
      </c>
      <c r="CE77" t="e">
        <v>#VALUE!</v>
      </c>
      <c r="CF77" t="e">
        <v>#VALUE!</v>
      </c>
      <c r="CG77">
        <v>0</v>
      </c>
      <c r="CH77" t="e">
        <v>#VALUE!</v>
      </c>
      <c r="CI77" t="e">
        <v>#VALUE!</v>
      </c>
      <c r="CJ77" t="e">
        <v>#VALUE!</v>
      </c>
      <c r="CK77" t="e">
        <v>#VALUE!</v>
      </c>
      <c r="CL77" t="e">
        <v>#VALUE!</v>
      </c>
      <c r="CM77" t="e">
        <v>#VALUE!</v>
      </c>
      <c r="CN77" t="e">
        <v>#VALUE!</v>
      </c>
      <c r="CO77" t="e">
        <v>#VALUE!</v>
      </c>
      <c r="CP77" t="e">
        <v>#VALUE!</v>
      </c>
      <c r="CQ77" t="e">
        <v>#VALUE!</v>
      </c>
      <c r="CR77" t="e">
        <v>#VALUE!</v>
      </c>
      <c r="CS77" t="e">
        <v>#VALUE!</v>
      </c>
      <c r="CT77" t="e">
        <v>#VALUE!</v>
      </c>
      <c r="CU77" t="e">
        <v>#VALUE!</v>
      </c>
      <c r="CV77" t="e">
        <v>#VALUE!</v>
      </c>
      <c r="CW77" t="e">
        <v>#VALUE!</v>
      </c>
      <c r="CX77" t="e">
        <v>#VALUE!</v>
      </c>
      <c r="CY77" t="e">
        <v>#VALUE!</v>
      </c>
      <c r="CZ77">
        <v>0</v>
      </c>
      <c r="DA77" t="e">
        <v>#VALUE!</v>
      </c>
      <c r="DB77" t="e">
        <v>#VALUE!</v>
      </c>
      <c r="DC77" t="e">
        <v>#VALUE!</v>
      </c>
      <c r="DD77" t="e">
        <v>#VALUE!</v>
      </c>
      <c r="DE77" t="e">
        <v>#VALUE!</v>
      </c>
      <c r="DF77" t="e">
        <v>#VALUE!</v>
      </c>
      <c r="DG77" t="e">
        <v>#VALUE!</v>
      </c>
      <c r="DH77" t="e">
        <v>#VALUE!</v>
      </c>
      <c r="DI77" t="e">
        <v>#VALUE!</v>
      </c>
      <c r="DJ77" t="e">
        <v>#VALUE!</v>
      </c>
      <c r="DK77" t="e">
        <v>#VALUE!</v>
      </c>
      <c r="DL77" t="e">
        <v>#VALUE!</v>
      </c>
      <c r="DM77" t="e">
        <v>#VALUE!</v>
      </c>
      <c r="DN77" t="e">
        <v>#VALUE!</v>
      </c>
      <c r="DO77" t="e">
        <v>#VALUE!</v>
      </c>
      <c r="DP77" t="e">
        <v>#VALUE!</v>
      </c>
      <c r="DQ77" t="e">
        <v>#VALUE!</v>
      </c>
      <c r="DR77" t="e">
        <v>#VALUE!</v>
      </c>
      <c r="DS77">
        <v>0</v>
      </c>
      <c r="DT77" t="e">
        <v>#VALUE!</v>
      </c>
      <c r="DU77" t="e">
        <v>#VALUE!</v>
      </c>
      <c r="DV77" t="e">
        <v>#VALUE!</v>
      </c>
      <c r="DW77" t="e">
        <v>#VALUE!</v>
      </c>
      <c r="DX77" t="e">
        <v>#VALUE!</v>
      </c>
      <c r="DY77" t="e">
        <v>#VALUE!</v>
      </c>
      <c r="DZ77" t="e">
        <v>#VALUE!</v>
      </c>
      <c r="EA77" t="e">
        <v>#VALUE!</v>
      </c>
      <c r="EB77" t="e">
        <v>#VALUE!</v>
      </c>
      <c r="EC77" t="e">
        <v>#VALUE!</v>
      </c>
      <c r="ED77" t="e">
        <v>#VALUE!</v>
      </c>
      <c r="EE77" t="e">
        <v>#VALUE!</v>
      </c>
      <c r="EF77" t="e">
        <v>#VALUE!</v>
      </c>
      <c r="EG77" t="e">
        <v>#VALUE!</v>
      </c>
      <c r="EH77" t="e">
        <v>#VALUE!</v>
      </c>
      <c r="EI77" t="e">
        <v>#VALUE!</v>
      </c>
      <c r="EJ77" t="e">
        <v>#VALUE!</v>
      </c>
      <c r="EK77" t="e">
        <v>#VALUE!</v>
      </c>
      <c r="EL77">
        <v>0</v>
      </c>
      <c r="EM77" t="e">
        <v>#VALUE!</v>
      </c>
      <c r="EN77" t="e">
        <v>#VALUE!</v>
      </c>
      <c r="EO77" t="e">
        <v>#VALUE!</v>
      </c>
      <c r="EP77" t="e">
        <v>#VALUE!</v>
      </c>
      <c r="EQ77" t="e">
        <v>#VALUE!</v>
      </c>
      <c r="ER77" t="e">
        <v>#VALUE!</v>
      </c>
      <c r="ES77" t="e">
        <v>#VALUE!</v>
      </c>
      <c r="ET77" t="e">
        <v>#VALUE!</v>
      </c>
      <c r="EU77" t="e">
        <v>#VALUE!</v>
      </c>
      <c r="EV77" t="e">
        <v>#VALUE!</v>
      </c>
      <c r="EW77" t="e">
        <v>#VALUE!</v>
      </c>
      <c r="EX77" t="e">
        <v>#VALUE!</v>
      </c>
      <c r="EY77" t="e">
        <v>#VALUE!</v>
      </c>
      <c r="EZ77" t="e">
        <v>#VALUE!</v>
      </c>
      <c r="FA77" t="e">
        <v>#VALUE!</v>
      </c>
      <c r="FB77" t="e">
        <v>#VALUE!</v>
      </c>
      <c r="FC77" t="e">
        <v>#VALUE!</v>
      </c>
      <c r="FD77" t="e">
        <v>#VALUE!</v>
      </c>
      <c r="FE77">
        <v>0</v>
      </c>
      <c r="FF77" t="e">
        <v>#VALUE!</v>
      </c>
      <c r="FG77" t="e">
        <v>#VALUE!</v>
      </c>
      <c r="FH77" t="e">
        <v>#VALUE!</v>
      </c>
      <c r="FI77" t="e">
        <v>#VALUE!</v>
      </c>
      <c r="FJ77" t="e">
        <v>#VALUE!</v>
      </c>
      <c r="FK77" t="e">
        <v>#VALUE!</v>
      </c>
      <c r="FL77" t="e">
        <v>#VALUE!</v>
      </c>
      <c r="FM77" t="e">
        <v>#VALUE!</v>
      </c>
      <c r="FN77" t="e">
        <v>#VALUE!</v>
      </c>
      <c r="FO77" t="e">
        <v>#VALUE!</v>
      </c>
      <c r="FP77" t="e">
        <v>#VALUE!</v>
      </c>
      <c r="FQ77" t="e">
        <v>#VALUE!</v>
      </c>
      <c r="FR77" t="e">
        <v>#VALUE!</v>
      </c>
      <c r="FS77" t="e">
        <v>#VALUE!</v>
      </c>
      <c r="FT77" t="e">
        <v>#VALUE!</v>
      </c>
      <c r="FU77" t="e">
        <v>#VALUE!</v>
      </c>
      <c r="FV77" t="e">
        <v>#VALUE!</v>
      </c>
      <c r="FW77" t="e">
        <v>#VALUE!</v>
      </c>
      <c r="FX77">
        <v>0</v>
      </c>
      <c r="FY77" t="e">
        <v>#VALUE!</v>
      </c>
      <c r="FZ77" t="e">
        <v>#VALUE!</v>
      </c>
      <c r="GA77" t="e">
        <v>#VALUE!</v>
      </c>
      <c r="GB77" t="e">
        <v>#VALUE!</v>
      </c>
      <c r="GC77" t="e">
        <v>#VALUE!</v>
      </c>
      <c r="GD77" t="e">
        <v>#VALUE!</v>
      </c>
      <c r="GE77" t="e">
        <v>#VALUE!</v>
      </c>
      <c r="GF77" t="e">
        <v>#VALUE!</v>
      </c>
      <c r="GG77" t="e">
        <v>#VALUE!</v>
      </c>
      <c r="GH77" t="e">
        <v>#VALUE!</v>
      </c>
      <c r="GI77" t="e">
        <v>#VALUE!</v>
      </c>
      <c r="GJ77" t="e">
        <v>#VALUE!</v>
      </c>
      <c r="GK77" t="e">
        <v>#VALUE!</v>
      </c>
      <c r="GL77" t="e">
        <v>#VALUE!</v>
      </c>
      <c r="GM77" t="e">
        <v>#VALUE!</v>
      </c>
      <c r="GN77" t="e">
        <v>#VALUE!</v>
      </c>
      <c r="GO77" t="e">
        <v>#VALUE!</v>
      </c>
      <c r="GP77" t="e">
        <v>#VALUE!</v>
      </c>
      <c r="GQ77">
        <v>0</v>
      </c>
      <c r="GR77" t="e">
        <v>#VALUE!</v>
      </c>
      <c r="GS77" t="e">
        <v>#VALUE!</v>
      </c>
      <c r="GT77" t="e">
        <v>#VALUE!</v>
      </c>
      <c r="GU77" t="e">
        <v>#VALUE!</v>
      </c>
      <c r="GV77" t="e">
        <v>#VALUE!</v>
      </c>
      <c r="GW77" t="e">
        <v>#VALUE!</v>
      </c>
      <c r="GX77" t="e">
        <v>#VALUE!</v>
      </c>
      <c r="GY77" t="e">
        <v>#VALUE!</v>
      </c>
      <c r="GZ77" t="e">
        <v>#VALUE!</v>
      </c>
      <c r="HA77" t="e">
        <v>#VALUE!</v>
      </c>
      <c r="HB77" t="e">
        <v>#VALUE!</v>
      </c>
      <c r="HC77" t="e">
        <v>#VALUE!</v>
      </c>
      <c r="HD77" t="e">
        <v>#VALUE!</v>
      </c>
      <c r="HE77" t="e">
        <v>#VALUE!</v>
      </c>
      <c r="HF77" t="e">
        <v>#VALUE!</v>
      </c>
      <c r="HG77" t="e">
        <v>#VALUE!</v>
      </c>
      <c r="HH77" t="e">
        <v>#VALUE!</v>
      </c>
      <c r="HI77" t="e">
        <v>#VALUE!</v>
      </c>
      <c r="HJ77">
        <v>0</v>
      </c>
      <c r="HK77" t="e">
        <v>#VALUE!</v>
      </c>
      <c r="HL77" t="e">
        <v>#VALUE!</v>
      </c>
      <c r="HM77" t="e">
        <v>#VALUE!</v>
      </c>
      <c r="HN77" t="e">
        <v>#VALUE!</v>
      </c>
      <c r="HO77" t="e">
        <v>#VALUE!</v>
      </c>
      <c r="HP77" t="e">
        <v>#VALUE!</v>
      </c>
      <c r="HQ77" t="e">
        <v>#VALUE!</v>
      </c>
      <c r="HR77" t="e">
        <v>#VALUE!</v>
      </c>
      <c r="HS77" t="e">
        <v>#VALUE!</v>
      </c>
      <c r="HT77" t="e">
        <v>#VALUE!</v>
      </c>
      <c r="HU77" t="e">
        <v>#VALUE!</v>
      </c>
      <c r="HV77" t="e">
        <v>#VALUE!</v>
      </c>
      <c r="HW77" t="e">
        <v>#VALUE!</v>
      </c>
      <c r="HX77" t="e">
        <v>#VALUE!</v>
      </c>
      <c r="HY77" t="e">
        <v>#VALUE!</v>
      </c>
      <c r="HZ77" t="e">
        <v>#VALUE!</v>
      </c>
      <c r="IA77" t="e">
        <v>#VALUE!</v>
      </c>
      <c r="IB77" t="e">
        <v>#VALUE!</v>
      </c>
      <c r="IC77">
        <v>0</v>
      </c>
      <c r="ID77" t="e">
        <v>#VALUE!</v>
      </c>
      <c r="IE77" t="e">
        <v>#VALUE!</v>
      </c>
      <c r="IF77" t="e">
        <v>#VALUE!</v>
      </c>
      <c r="IG77" t="e">
        <v>#VALUE!</v>
      </c>
      <c r="IH77" t="e">
        <v>#VALUE!</v>
      </c>
      <c r="II77" t="e">
        <v>#VALUE!</v>
      </c>
      <c r="IJ77" t="e">
        <v>#VALUE!</v>
      </c>
      <c r="IK77" t="e">
        <v>#VALUE!</v>
      </c>
      <c r="IL77" t="e">
        <v>#VALUE!</v>
      </c>
      <c r="IM77" t="e">
        <v>#VALUE!</v>
      </c>
      <c r="IN77" t="e">
        <v>#VALUE!</v>
      </c>
      <c r="IO77" t="e">
        <v>#VALUE!</v>
      </c>
      <c r="IP77" t="e">
        <v>#VALUE!</v>
      </c>
      <c r="IQ77" t="e">
        <v>#VALUE!</v>
      </c>
      <c r="IR77" t="e">
        <v>#VALUE!</v>
      </c>
      <c r="IS77" t="e">
        <v>#VALUE!</v>
      </c>
      <c r="IT77" t="e">
        <v>#VALUE!</v>
      </c>
      <c r="IU77" t="e">
        <v>#VALUE!</v>
      </c>
      <c r="IV77">
        <v>0</v>
      </c>
    </row>
    <row r="78" spans="1:256" x14ac:dyDescent="0.25">
      <c r="A78" t="e">
        <v>#VALUE!</v>
      </c>
      <c r="B78" t="e">
        <v>#VALUE!</v>
      </c>
      <c r="C78" t="e">
        <v>#VALUE!</v>
      </c>
      <c r="D78" t="e">
        <v>#VALUE!</v>
      </c>
      <c r="E78" t="e">
        <v>#VALUE!</v>
      </c>
      <c r="F78" t="e">
        <v>#VALUE!</v>
      </c>
      <c r="G78" t="e">
        <v>#VALUE!</v>
      </c>
      <c r="H78" t="e">
        <v>#VALUE!</v>
      </c>
      <c r="I78" t="e">
        <v>#VALUE!</v>
      </c>
      <c r="J78" t="e">
        <v>#VALUE!</v>
      </c>
      <c r="K78" t="e">
        <v>#VALUE!</v>
      </c>
      <c r="L78" t="e">
        <v>#VALUE!</v>
      </c>
      <c r="M78" t="e">
        <v>#VALUE!</v>
      </c>
      <c r="N78" t="e">
        <v>#VALUE!</v>
      </c>
      <c r="O78" t="e">
        <v>#VALUE!</v>
      </c>
      <c r="P78" t="e">
        <v>#VALUE!</v>
      </c>
      <c r="Q78" t="e">
        <v>#VALUE!</v>
      </c>
      <c r="R78" t="e">
        <v>#VALUE!</v>
      </c>
      <c r="S78">
        <v>0</v>
      </c>
      <c r="T78" t="e">
        <v>#VALUE!</v>
      </c>
      <c r="U78" t="e">
        <v>#VALUE!</v>
      </c>
      <c r="V78" t="e">
        <v>#VALUE!</v>
      </c>
      <c r="W78" t="e">
        <v>#VALUE!</v>
      </c>
      <c r="X78" t="e">
        <v>#VALUE!</v>
      </c>
      <c r="Y78" t="e">
        <v>#VALUE!</v>
      </c>
      <c r="Z78" t="e">
        <v>#VALUE!</v>
      </c>
      <c r="AA78" t="e">
        <v>#VALUE!</v>
      </c>
      <c r="AB78" t="e">
        <v>#VALUE!</v>
      </c>
      <c r="AC78" t="e">
        <v>#VALUE!</v>
      </c>
      <c r="AD78" t="e">
        <v>#VALUE!</v>
      </c>
      <c r="AE78" t="e">
        <v>#VALUE!</v>
      </c>
      <c r="AF78" t="e">
        <v>#VALUE!</v>
      </c>
      <c r="AG78" t="e">
        <v>#VALUE!</v>
      </c>
      <c r="AH78" t="e">
        <v>#VALUE!</v>
      </c>
      <c r="AI78" t="e">
        <v>#VALUE!</v>
      </c>
      <c r="AJ78" t="e">
        <v>#VALUE!</v>
      </c>
      <c r="AK78" t="e">
        <v>#VALUE!</v>
      </c>
      <c r="AL78">
        <v>0</v>
      </c>
      <c r="AM78" t="e">
        <v>#VALUE!</v>
      </c>
      <c r="AN78" t="e">
        <v>#VALUE!</v>
      </c>
      <c r="AO78" t="e">
        <v>#VALUE!</v>
      </c>
      <c r="AP78" t="e">
        <v>#VALUE!</v>
      </c>
      <c r="AQ78" t="e">
        <v>#VALUE!</v>
      </c>
      <c r="AR78" t="e">
        <v>#VALUE!</v>
      </c>
      <c r="AS78" t="e">
        <v>#VALUE!</v>
      </c>
      <c r="AT78" t="e">
        <v>#VALUE!</v>
      </c>
      <c r="AU78" t="e">
        <v>#VALUE!</v>
      </c>
      <c r="AV78" t="e">
        <v>#VALUE!</v>
      </c>
      <c r="AW78" t="e">
        <v>#VALUE!</v>
      </c>
      <c r="AX78" t="e">
        <v>#VALUE!</v>
      </c>
      <c r="AY78" t="e">
        <v>#VALUE!</v>
      </c>
      <c r="AZ78" t="e">
        <v>#VALUE!</v>
      </c>
      <c r="BA78" t="e">
        <v>#VALUE!</v>
      </c>
      <c r="BB78" t="e">
        <v>#VALUE!</v>
      </c>
      <c r="BC78" t="e">
        <v>#VALUE!</v>
      </c>
      <c r="BD78" t="e">
        <v>#VALUE!</v>
      </c>
      <c r="BE78">
        <v>0</v>
      </c>
      <c r="BF78" t="e">
        <v>#VALUE!</v>
      </c>
      <c r="BG78" t="e">
        <v>#VALUE!</v>
      </c>
      <c r="BH78" t="e">
        <v>#VALUE!</v>
      </c>
      <c r="BI78" t="e">
        <v>#VALUE!</v>
      </c>
      <c r="BJ78" t="e">
        <v>#VALUE!</v>
      </c>
      <c r="BK78" t="e">
        <v>#VALUE!</v>
      </c>
      <c r="BL78" t="e">
        <v>#VALUE!</v>
      </c>
      <c r="BM78" t="e">
        <v>#VALUE!</v>
      </c>
      <c r="BN78" t="e">
        <v>#VALUE!</v>
      </c>
      <c r="BO78" t="e">
        <v>#VALUE!</v>
      </c>
      <c r="BP78" t="e">
        <v>#VALUE!</v>
      </c>
      <c r="BQ78" t="e">
        <v>#VALUE!</v>
      </c>
      <c r="BR78" t="e">
        <v>#VALUE!</v>
      </c>
      <c r="BS78" t="e">
        <v>#VALUE!</v>
      </c>
      <c r="BT78" t="e">
        <v>#VALUE!</v>
      </c>
      <c r="BU78" t="e">
        <v>#VALUE!</v>
      </c>
      <c r="BV78" t="e">
        <v>#VALUE!</v>
      </c>
      <c r="BW78" t="e">
        <v>#VALUE!</v>
      </c>
      <c r="BX78">
        <v>0</v>
      </c>
      <c r="BY78" t="e">
        <v>#VALUE!</v>
      </c>
      <c r="BZ78" t="e">
        <v>#VALUE!</v>
      </c>
      <c r="CA78" t="e">
        <v>#VALUE!</v>
      </c>
      <c r="CB78" t="e">
        <v>#VALUE!</v>
      </c>
      <c r="CC78" t="e">
        <v>#VALUE!</v>
      </c>
      <c r="CD78" t="e">
        <v>#VALUE!</v>
      </c>
      <c r="CE78" t="e">
        <v>#VALUE!</v>
      </c>
      <c r="CF78" t="e">
        <v>#VALUE!</v>
      </c>
      <c r="CG78" t="e">
        <v>#VALUE!</v>
      </c>
      <c r="CH78" t="e">
        <v>#VALUE!</v>
      </c>
      <c r="CI78" t="e">
        <v>#VALUE!</v>
      </c>
      <c r="CJ78" t="e">
        <v>#VALUE!</v>
      </c>
      <c r="CK78" t="e">
        <v>#VALUE!</v>
      </c>
      <c r="CL78" t="e">
        <v>#VALUE!</v>
      </c>
      <c r="CM78" t="e">
        <v>#VALUE!</v>
      </c>
      <c r="CN78" t="e">
        <v>#VALUE!</v>
      </c>
      <c r="CO78" t="e">
        <v>#VALUE!</v>
      </c>
      <c r="CP78" t="e">
        <v>#VALUE!</v>
      </c>
      <c r="CQ78">
        <v>0</v>
      </c>
      <c r="CR78" t="e">
        <v>#VALUE!</v>
      </c>
      <c r="CS78" t="e">
        <v>#VALUE!</v>
      </c>
      <c r="CT78" t="e">
        <v>#VALUE!</v>
      </c>
      <c r="CU78" t="e">
        <v>#VALUE!</v>
      </c>
      <c r="CV78" t="e">
        <v>#VALUE!</v>
      </c>
      <c r="CW78" t="e">
        <v>#VALUE!</v>
      </c>
      <c r="CX78" t="e">
        <v>#VALUE!</v>
      </c>
      <c r="CY78" t="e">
        <v>#VALUE!</v>
      </c>
      <c r="CZ78" t="e">
        <v>#VALUE!</v>
      </c>
      <c r="DA78" t="e">
        <v>#VALUE!</v>
      </c>
      <c r="DB78" t="e">
        <v>#VALUE!</v>
      </c>
      <c r="DC78" t="e">
        <v>#VALUE!</v>
      </c>
      <c r="DD78" t="e">
        <v>#VALUE!</v>
      </c>
      <c r="DE78" t="e">
        <v>#VALUE!</v>
      </c>
      <c r="DF78" t="e">
        <v>#VALUE!</v>
      </c>
      <c r="DG78" t="e">
        <v>#VALUE!</v>
      </c>
      <c r="DH78" t="e">
        <v>#VALUE!</v>
      </c>
      <c r="DI78" t="e">
        <v>#VALUE!</v>
      </c>
      <c r="DJ78">
        <v>0</v>
      </c>
      <c r="DK78" t="e">
        <v>#VALUE!</v>
      </c>
      <c r="DL78" t="e">
        <v>#VALUE!</v>
      </c>
      <c r="DM78" t="e">
        <v>#VALUE!</v>
      </c>
      <c r="DN78" t="e">
        <v>#VALUE!</v>
      </c>
      <c r="DO78" t="e">
        <v>#VALUE!</v>
      </c>
      <c r="DP78" t="e">
        <v>#VALUE!</v>
      </c>
      <c r="DQ78" t="e">
        <v>#VALUE!</v>
      </c>
      <c r="DR78" t="e">
        <v>#VALUE!</v>
      </c>
      <c r="DS78" t="e">
        <v>#VALUE!</v>
      </c>
      <c r="DT78" t="e">
        <v>#VALUE!</v>
      </c>
      <c r="DU78" t="e">
        <v>#VALUE!</v>
      </c>
      <c r="DV78" t="e">
        <v>#VALUE!</v>
      </c>
      <c r="DW78" t="e">
        <v>#VALUE!</v>
      </c>
      <c r="DX78" t="e">
        <v>#VALUE!</v>
      </c>
      <c r="DY78" t="e">
        <v>#VALUE!</v>
      </c>
      <c r="DZ78" t="e">
        <v>#VALUE!</v>
      </c>
      <c r="EA78" t="e">
        <v>#VALUE!</v>
      </c>
      <c r="EB78" t="e">
        <v>#VALUE!</v>
      </c>
      <c r="EC78">
        <v>0</v>
      </c>
      <c r="ED78" t="e">
        <v>#VALUE!</v>
      </c>
      <c r="EE78" t="e">
        <v>#VALUE!</v>
      </c>
      <c r="EF78" t="e">
        <v>#VALUE!</v>
      </c>
      <c r="EG78" t="e">
        <v>#VALUE!</v>
      </c>
      <c r="EH78" t="e">
        <v>#VALUE!</v>
      </c>
      <c r="EI78" t="e">
        <v>#VALUE!</v>
      </c>
      <c r="EJ78" t="e">
        <v>#VALUE!</v>
      </c>
      <c r="EK78" t="e">
        <v>#VALUE!</v>
      </c>
      <c r="EL78" t="e">
        <v>#VALUE!</v>
      </c>
      <c r="EM78" t="e">
        <v>#VALUE!</v>
      </c>
      <c r="EN78" t="e">
        <v>#VALUE!</v>
      </c>
      <c r="EO78" t="e">
        <v>#VALUE!</v>
      </c>
      <c r="EP78" t="e">
        <v>#VALUE!</v>
      </c>
      <c r="EQ78" t="e">
        <v>#VALUE!</v>
      </c>
      <c r="ER78" t="e">
        <v>#VALUE!</v>
      </c>
      <c r="ES78" t="e">
        <v>#VALUE!</v>
      </c>
      <c r="ET78" t="e">
        <v>#VALUE!</v>
      </c>
      <c r="EU78" t="e">
        <v>#VALUE!</v>
      </c>
      <c r="EV78">
        <v>0</v>
      </c>
      <c r="EW78" t="e">
        <v>#VALUE!</v>
      </c>
      <c r="EX78" t="e">
        <v>#VALUE!</v>
      </c>
      <c r="EY78" t="e">
        <v>#VALUE!</v>
      </c>
      <c r="EZ78" t="e">
        <v>#VALUE!</v>
      </c>
      <c r="FA78" t="e">
        <v>#VALUE!</v>
      </c>
      <c r="FB78" t="e">
        <v>#VALUE!</v>
      </c>
      <c r="FC78" t="e">
        <v>#VALUE!</v>
      </c>
      <c r="FD78" t="e">
        <v>#VALUE!</v>
      </c>
      <c r="FE78" t="e">
        <v>#VALUE!</v>
      </c>
      <c r="FF78" t="e">
        <v>#VALUE!</v>
      </c>
      <c r="FG78" t="e">
        <v>#VALUE!</v>
      </c>
      <c r="FH78" t="e">
        <v>#VALUE!</v>
      </c>
      <c r="FI78" t="e">
        <v>#VALUE!</v>
      </c>
      <c r="FJ78" t="e">
        <v>#VALUE!</v>
      </c>
      <c r="FK78" t="e">
        <v>#VALUE!</v>
      </c>
      <c r="FL78" t="e">
        <v>#VALUE!</v>
      </c>
      <c r="FM78" t="e">
        <v>#VALUE!</v>
      </c>
      <c r="FN78" t="e">
        <v>#VALUE!</v>
      </c>
      <c r="FO78">
        <v>0</v>
      </c>
      <c r="FP78" t="e">
        <v>#VALUE!</v>
      </c>
      <c r="FQ78" t="e">
        <v>#VALUE!</v>
      </c>
      <c r="FR78" t="e">
        <v>#VALUE!</v>
      </c>
      <c r="FS78" t="e">
        <v>#VALUE!</v>
      </c>
      <c r="FT78" t="e">
        <v>#VALUE!</v>
      </c>
      <c r="FU78" t="e">
        <v>#VALUE!</v>
      </c>
      <c r="FV78" t="e">
        <v>#VALUE!</v>
      </c>
      <c r="FW78" t="e">
        <v>#VALUE!</v>
      </c>
      <c r="FX78" t="e">
        <v>#VALUE!</v>
      </c>
      <c r="FY78" t="e">
        <v>#VALUE!</v>
      </c>
      <c r="FZ78" t="e">
        <v>#VALUE!</v>
      </c>
      <c r="GA78" t="e">
        <v>#VALUE!</v>
      </c>
      <c r="GB78" t="e">
        <v>#VALUE!</v>
      </c>
      <c r="GC78" t="e">
        <v>#VALUE!</v>
      </c>
      <c r="GD78" t="e">
        <v>#VALUE!</v>
      </c>
      <c r="GE78" t="e">
        <v>#VALUE!</v>
      </c>
      <c r="GF78" t="e">
        <v>#VALUE!</v>
      </c>
      <c r="GG78" t="e">
        <v>#VALUE!</v>
      </c>
      <c r="GH78">
        <v>0</v>
      </c>
      <c r="GI78" t="e">
        <v>#VALUE!</v>
      </c>
      <c r="GJ78" t="e">
        <v>#VALUE!</v>
      </c>
      <c r="GK78" t="e">
        <v>#VALUE!</v>
      </c>
      <c r="GL78" t="e">
        <v>#VALUE!</v>
      </c>
      <c r="GM78" t="e">
        <v>#VALUE!</v>
      </c>
      <c r="GN78" t="e">
        <v>#VALUE!</v>
      </c>
      <c r="GO78" t="e">
        <v>#VALUE!</v>
      </c>
      <c r="GP78" t="e">
        <v>#VALUE!</v>
      </c>
      <c r="GQ78" t="e">
        <v>#VALUE!</v>
      </c>
      <c r="GR78" t="e">
        <v>#VALUE!</v>
      </c>
      <c r="GS78" t="e">
        <v>#VALUE!</v>
      </c>
      <c r="GT78" t="e">
        <v>#VALUE!</v>
      </c>
      <c r="GU78" t="e">
        <v>#VALUE!</v>
      </c>
      <c r="GV78" t="e">
        <v>#VALUE!</v>
      </c>
      <c r="GW78" t="e">
        <v>#VALUE!</v>
      </c>
      <c r="GX78" t="e">
        <v>#VALUE!</v>
      </c>
      <c r="GY78" t="e">
        <v>#VALUE!</v>
      </c>
      <c r="GZ78" t="e">
        <v>#VALUE!</v>
      </c>
      <c r="HA78">
        <v>0</v>
      </c>
      <c r="HB78" t="e">
        <v>#VALUE!</v>
      </c>
      <c r="HC78" t="e">
        <v>#VALUE!</v>
      </c>
      <c r="HD78" t="e">
        <v>#VALUE!</v>
      </c>
      <c r="HE78" t="e">
        <v>#VALUE!</v>
      </c>
      <c r="HF78" t="e">
        <v>#VALUE!</v>
      </c>
      <c r="HG78" t="e">
        <v>#VALUE!</v>
      </c>
      <c r="HH78" t="e">
        <v>#VALUE!</v>
      </c>
      <c r="HI78" t="e">
        <v>#VALUE!</v>
      </c>
      <c r="HJ78" t="e">
        <v>#VALUE!</v>
      </c>
      <c r="HK78" t="e">
        <v>#VALUE!</v>
      </c>
      <c r="HL78" t="e">
        <v>#VALUE!</v>
      </c>
      <c r="HM78" t="e">
        <v>#VALUE!</v>
      </c>
      <c r="HN78" t="e">
        <v>#VALUE!</v>
      </c>
      <c r="HO78" t="e">
        <v>#VALUE!</v>
      </c>
      <c r="HP78" t="e">
        <v>#VALUE!</v>
      </c>
      <c r="HQ78" t="e">
        <v>#VALUE!</v>
      </c>
      <c r="HR78" t="e">
        <v>#VALUE!</v>
      </c>
      <c r="HS78" t="e">
        <v>#VALUE!</v>
      </c>
      <c r="HT78">
        <v>0</v>
      </c>
      <c r="HU78" t="e">
        <v>#VALUE!</v>
      </c>
      <c r="HV78" t="e">
        <v>#VALUE!</v>
      </c>
      <c r="HW78" t="e">
        <v>#VALUE!</v>
      </c>
      <c r="HX78" t="e">
        <v>#VALUE!</v>
      </c>
      <c r="HY78" t="e">
        <v>#VALUE!</v>
      </c>
      <c r="HZ78" t="e">
        <v>#VALUE!</v>
      </c>
      <c r="IA78" t="e">
        <v>#VALUE!</v>
      </c>
      <c r="IB78" t="e">
        <v>#VALUE!</v>
      </c>
      <c r="IC78" t="e">
        <v>#VALUE!</v>
      </c>
      <c r="ID78" t="e">
        <v>#VALUE!</v>
      </c>
      <c r="IE78" t="e">
        <v>#VALUE!</v>
      </c>
      <c r="IF78" t="e">
        <v>#VALUE!</v>
      </c>
      <c r="IG78" t="e">
        <v>#VALUE!</v>
      </c>
      <c r="IH78" t="e">
        <v>#VALUE!</v>
      </c>
      <c r="II78" t="e">
        <v>#VALUE!</v>
      </c>
      <c r="IJ78" t="e">
        <v>#VALUE!</v>
      </c>
      <c r="IK78" t="e">
        <v>#VALUE!</v>
      </c>
      <c r="IL78" t="e">
        <v>#VALUE!</v>
      </c>
      <c r="IM78">
        <v>0</v>
      </c>
      <c r="IN78" t="e">
        <v>#VALUE!</v>
      </c>
      <c r="IO78" t="e">
        <v>#VALUE!</v>
      </c>
      <c r="IP78" t="e">
        <v>#VALUE!</v>
      </c>
      <c r="IQ78" t="e">
        <v>#VALUE!</v>
      </c>
      <c r="IR78" t="e">
        <v>#VALUE!</v>
      </c>
      <c r="IS78" t="e">
        <v>#VALUE!</v>
      </c>
      <c r="IT78" t="e">
        <v>#VALUE!</v>
      </c>
      <c r="IU78" t="e">
        <v>#VALUE!</v>
      </c>
      <c r="IV78" t="e">
        <v>#VALUE!</v>
      </c>
    </row>
    <row r="79" spans="1:256" x14ac:dyDescent="0.25">
      <c r="A79" t="e">
        <v>#VALUE!</v>
      </c>
      <c r="B79" t="e">
        <v>#VALUE!</v>
      </c>
      <c r="C79" t="e">
        <v>#VALUE!</v>
      </c>
      <c r="D79" t="e">
        <v>#VALUE!</v>
      </c>
      <c r="E79" t="e">
        <v>#VALUE!</v>
      </c>
      <c r="F79" t="e">
        <v>#VALUE!</v>
      </c>
      <c r="G79" t="e">
        <v>#VALUE!</v>
      </c>
      <c r="H79" t="e">
        <v>#VALUE!</v>
      </c>
      <c r="I79" t="e">
        <v>#VALUE!</v>
      </c>
      <c r="J79">
        <v>0</v>
      </c>
      <c r="K79" t="e">
        <v>#VALUE!</v>
      </c>
      <c r="L79" t="e">
        <v>#VALUE!</v>
      </c>
      <c r="M79" t="e">
        <v>#VALUE!</v>
      </c>
      <c r="N79" t="e">
        <v>#VALUE!</v>
      </c>
      <c r="O79" t="e">
        <v>#VALUE!</v>
      </c>
      <c r="P79" t="e">
        <v>#VALUE!</v>
      </c>
      <c r="Q79" t="e">
        <v>#VALUE!</v>
      </c>
      <c r="R79" t="e">
        <v>#VALUE!</v>
      </c>
      <c r="S79" t="e">
        <v>#VALUE!</v>
      </c>
      <c r="T79" t="e">
        <v>#VALUE!</v>
      </c>
      <c r="U79" t="e">
        <v>#VALUE!</v>
      </c>
      <c r="V79" t="e">
        <v>#VALUE!</v>
      </c>
      <c r="W79" t="e">
        <v>#VALUE!</v>
      </c>
      <c r="X79" t="e">
        <v>#VALUE!</v>
      </c>
      <c r="Y79" t="e">
        <v>#VALUE!</v>
      </c>
      <c r="Z79" t="e">
        <v>#VALUE!</v>
      </c>
      <c r="AA79" t="e">
        <v>#VALUE!</v>
      </c>
      <c r="AB79" t="e">
        <v>#VALUE!</v>
      </c>
      <c r="AC79">
        <v>0</v>
      </c>
      <c r="AD79" t="e">
        <v>#VALUE!</v>
      </c>
      <c r="AE79" t="e">
        <v>#VALUE!</v>
      </c>
      <c r="AF79" t="e">
        <v>#VALUE!</v>
      </c>
      <c r="AG79" t="e">
        <v>#VALUE!</v>
      </c>
      <c r="AH79" t="e">
        <v>#VALUE!</v>
      </c>
      <c r="AI79" t="e">
        <v>#VALUE!</v>
      </c>
      <c r="AJ79" t="e">
        <v>#VALUE!</v>
      </c>
      <c r="AK79" t="e">
        <v>#VALUE!</v>
      </c>
      <c r="AL79" t="e">
        <v>#VALUE!</v>
      </c>
      <c r="AM79" t="e">
        <v>#VALUE!</v>
      </c>
      <c r="AN79" t="e">
        <v>#VALUE!</v>
      </c>
      <c r="AO79" t="e">
        <v>#VALUE!</v>
      </c>
      <c r="AP79" t="e">
        <v>#VALUE!</v>
      </c>
      <c r="AQ79" t="e">
        <v>#VALUE!</v>
      </c>
      <c r="AR79" t="e">
        <v>#VALUE!</v>
      </c>
      <c r="AS79" t="e">
        <v>#VALUE!</v>
      </c>
      <c r="AT79" t="e">
        <v>#VALUE!</v>
      </c>
      <c r="AU79" t="e">
        <v>#VALUE!</v>
      </c>
      <c r="AV79">
        <v>0</v>
      </c>
      <c r="AW79" t="e">
        <v>#VALUE!</v>
      </c>
      <c r="AX79" t="e">
        <v>#VALUE!</v>
      </c>
      <c r="AY79" t="e">
        <v>#VALUE!</v>
      </c>
      <c r="AZ79" t="e">
        <v>#VALUE!</v>
      </c>
      <c r="BA79" t="e">
        <v>#VALUE!</v>
      </c>
      <c r="BB79" t="e">
        <v>#VALUE!</v>
      </c>
      <c r="BC79" t="e">
        <v>#VALUE!</v>
      </c>
      <c r="BD79" t="e">
        <v>#VALUE!</v>
      </c>
      <c r="BE79" t="e">
        <v>#VALUE!</v>
      </c>
      <c r="BF79" t="e">
        <v>#VALUE!</v>
      </c>
      <c r="BG79" t="e">
        <v>#VALUE!</v>
      </c>
      <c r="BH79" t="e">
        <v>#VALUE!</v>
      </c>
      <c r="BI79" t="e">
        <v>#VALUE!</v>
      </c>
      <c r="BJ79" t="e">
        <v>#VALUE!</v>
      </c>
      <c r="BK79" t="e">
        <v>#VALUE!</v>
      </c>
      <c r="BL79" t="e">
        <v>#VALUE!</v>
      </c>
      <c r="BM79" t="e">
        <v>#VALUE!</v>
      </c>
      <c r="BN79" t="e">
        <v>#VALUE!</v>
      </c>
      <c r="BO79">
        <v>0</v>
      </c>
      <c r="BP79" t="e">
        <v>#VALUE!</v>
      </c>
      <c r="BQ79" t="e">
        <v>#VALUE!</v>
      </c>
      <c r="BR79" t="e">
        <v>#VALUE!</v>
      </c>
      <c r="BS79" t="e">
        <v>#VALUE!</v>
      </c>
      <c r="BT79" t="e">
        <v>#VALUE!</v>
      </c>
      <c r="BU79" t="e">
        <v>#VALUE!</v>
      </c>
      <c r="BV79" t="e">
        <v>#VALUE!</v>
      </c>
      <c r="BW79" t="e">
        <v>#VALUE!</v>
      </c>
      <c r="BX79" t="e">
        <v>#VALUE!</v>
      </c>
      <c r="BY79" t="e">
        <v>#VALUE!</v>
      </c>
      <c r="BZ79" t="e">
        <v>#VALUE!</v>
      </c>
      <c r="CA79" t="e">
        <v>#VALUE!</v>
      </c>
      <c r="CB79" t="e">
        <v>#VALUE!</v>
      </c>
      <c r="CC79" t="e">
        <v>#VALUE!</v>
      </c>
      <c r="CD79" t="e">
        <v>#VALUE!</v>
      </c>
      <c r="CE79" t="e">
        <v>#VALUE!</v>
      </c>
      <c r="CF79" t="e">
        <v>#VALUE!</v>
      </c>
      <c r="CG79" t="e">
        <v>#VALUE!</v>
      </c>
      <c r="CH79">
        <v>0</v>
      </c>
      <c r="CI79" t="e">
        <v>#VALUE!</v>
      </c>
      <c r="CJ79" t="e">
        <v>#VALUE!</v>
      </c>
      <c r="CK79" t="e">
        <v>#VALUE!</v>
      </c>
      <c r="CL79" t="e">
        <v>#VALUE!</v>
      </c>
      <c r="CM79" t="e">
        <v>#VALUE!</v>
      </c>
      <c r="CN79" t="e">
        <v>#VALUE!</v>
      </c>
      <c r="CO79" t="e">
        <v>#VALUE!</v>
      </c>
      <c r="CP79" t="e">
        <v>#VALUE!</v>
      </c>
      <c r="CQ79" t="e">
        <v>#VALUE!</v>
      </c>
      <c r="CR79" t="e">
        <v>#VALUE!</v>
      </c>
      <c r="CS79" t="e">
        <v>#VALUE!</v>
      </c>
      <c r="CT79" t="e">
        <v>#VALUE!</v>
      </c>
      <c r="CU79" t="e">
        <v>#VALUE!</v>
      </c>
      <c r="CV79" t="e">
        <v>#VALUE!</v>
      </c>
      <c r="CW79" t="e">
        <v>#VALUE!</v>
      </c>
      <c r="CX79" t="e">
        <v>#VALUE!</v>
      </c>
      <c r="CY79" t="e">
        <v>#VALUE!</v>
      </c>
      <c r="CZ79" t="e">
        <v>#VALUE!</v>
      </c>
      <c r="DA79">
        <v>0</v>
      </c>
      <c r="DB79" t="e">
        <v>#VALUE!</v>
      </c>
      <c r="DC79" t="e">
        <v>#VALUE!</v>
      </c>
      <c r="DD79" t="e">
        <v>#VALUE!</v>
      </c>
      <c r="DE79" t="e">
        <v>#VALUE!</v>
      </c>
      <c r="DF79" t="e">
        <v>#VALUE!</v>
      </c>
      <c r="DG79" t="e">
        <v>#VALUE!</v>
      </c>
      <c r="DH79" t="e">
        <v>#VALUE!</v>
      </c>
      <c r="DI79" t="e">
        <v>#VALUE!</v>
      </c>
      <c r="DJ79" t="e">
        <v>#VALUE!</v>
      </c>
      <c r="DK79" t="e">
        <v>#VALUE!</v>
      </c>
      <c r="DL79" t="e">
        <v>#VALUE!</v>
      </c>
      <c r="DM79" t="e">
        <v>#VALUE!</v>
      </c>
      <c r="DN79" t="e">
        <v>#VALUE!</v>
      </c>
      <c r="DO79" t="e">
        <v>#VALUE!</v>
      </c>
      <c r="DP79" t="e">
        <v>#VALUE!</v>
      </c>
      <c r="DQ79" t="e">
        <v>#VALUE!</v>
      </c>
      <c r="DR79" t="e">
        <v>#VALUE!</v>
      </c>
      <c r="DS79" t="e">
        <v>#VALUE!</v>
      </c>
      <c r="DT79">
        <v>0</v>
      </c>
      <c r="DU79" t="e">
        <v>#VALUE!</v>
      </c>
      <c r="DV79" t="e">
        <v>#VALUE!</v>
      </c>
      <c r="DW79" t="e">
        <v>#VALUE!</v>
      </c>
      <c r="DX79" t="e">
        <v>#VALUE!</v>
      </c>
      <c r="DY79" t="e">
        <v>#VALUE!</v>
      </c>
      <c r="DZ79" t="e">
        <v>#VALUE!</v>
      </c>
      <c r="EA79" t="e">
        <v>#VALUE!</v>
      </c>
      <c r="EB79" t="e">
        <v>#VALUE!</v>
      </c>
      <c r="EC79" t="e">
        <v>#VALUE!</v>
      </c>
      <c r="ED79" t="e">
        <v>#VALUE!</v>
      </c>
      <c r="EE79" t="e">
        <v>#VALUE!</v>
      </c>
      <c r="EF79" t="e">
        <v>#VALUE!</v>
      </c>
      <c r="EG79" t="e">
        <v>#VALUE!</v>
      </c>
      <c r="EH79" t="e">
        <v>#VALUE!</v>
      </c>
      <c r="EI79" t="e">
        <v>#VALUE!</v>
      </c>
      <c r="EJ79" t="e">
        <v>#VALUE!</v>
      </c>
      <c r="EK79" t="e">
        <v>#VALUE!</v>
      </c>
      <c r="EL79" t="e">
        <v>#VALUE!</v>
      </c>
      <c r="EM79">
        <v>0</v>
      </c>
      <c r="EN79" t="e">
        <v>#VALUE!</v>
      </c>
      <c r="EO79" t="e">
        <v>#VALUE!</v>
      </c>
      <c r="EP79" t="e">
        <v>#VALUE!</v>
      </c>
      <c r="EQ79" t="e">
        <v>#VALUE!</v>
      </c>
      <c r="ER79" t="e">
        <v>#VALUE!</v>
      </c>
      <c r="ES79" t="e">
        <v>#VALUE!</v>
      </c>
      <c r="ET79" t="e">
        <v>#VALUE!</v>
      </c>
      <c r="EU79" t="e">
        <v>#VALUE!</v>
      </c>
      <c r="EV79" t="e">
        <v>#VALUE!</v>
      </c>
      <c r="EW79" t="e">
        <v>#VALUE!</v>
      </c>
      <c r="EX79" t="e">
        <v>#VALUE!</v>
      </c>
      <c r="EY79" t="e">
        <v>#VALUE!</v>
      </c>
      <c r="EZ79" t="e">
        <v>#VALUE!</v>
      </c>
      <c r="FA79" t="e">
        <v>#VALUE!</v>
      </c>
      <c r="FB79" t="e">
        <v>#VALUE!</v>
      </c>
      <c r="FC79" t="e">
        <v>#VALUE!</v>
      </c>
      <c r="FD79" t="e">
        <v>#VALUE!</v>
      </c>
      <c r="FE79" t="e">
        <v>#VALUE!</v>
      </c>
      <c r="FF79">
        <v>0</v>
      </c>
      <c r="FG79" t="e">
        <v>#VALUE!</v>
      </c>
      <c r="FH79" t="e">
        <v>#VALUE!</v>
      </c>
      <c r="FI79" t="e">
        <v>#VALUE!</v>
      </c>
      <c r="FJ79" t="e">
        <v>#VALUE!</v>
      </c>
      <c r="FK79" t="e">
        <v>#VALUE!</v>
      </c>
      <c r="FL79" t="e">
        <v>#VALUE!</v>
      </c>
      <c r="FM79" t="e">
        <v>#VALUE!</v>
      </c>
      <c r="FN79" t="e">
        <v>#VALUE!</v>
      </c>
      <c r="FO79" t="e">
        <v>#VALUE!</v>
      </c>
      <c r="FP79" t="e">
        <v>#VALUE!</v>
      </c>
      <c r="FQ79" t="e">
        <v>#VALUE!</v>
      </c>
      <c r="FR79" t="e">
        <v>#VALUE!</v>
      </c>
      <c r="FS79" t="e">
        <v>#VALUE!</v>
      </c>
      <c r="FT79" t="e">
        <v>#VALUE!</v>
      </c>
      <c r="FU79" t="e">
        <v>#VALUE!</v>
      </c>
      <c r="FV79" t="e">
        <v>#VALUE!</v>
      </c>
      <c r="FW79" t="e">
        <v>#VALUE!</v>
      </c>
      <c r="FX79" t="e">
        <v>#VALUE!</v>
      </c>
      <c r="FY79">
        <v>0</v>
      </c>
      <c r="FZ79" t="e">
        <v>#VALUE!</v>
      </c>
      <c r="GA79" t="e">
        <v>#VALUE!</v>
      </c>
      <c r="GB79" t="e">
        <v>#VALUE!</v>
      </c>
      <c r="GC79" t="e">
        <v>#VALUE!</v>
      </c>
      <c r="GD79" t="e">
        <v>#VALUE!</v>
      </c>
      <c r="GE79" t="e">
        <v>#VALUE!</v>
      </c>
      <c r="GF79" t="e">
        <v>#VALUE!</v>
      </c>
      <c r="GG79" t="e">
        <v>#VALUE!</v>
      </c>
      <c r="GH79" t="e">
        <v>#VALUE!</v>
      </c>
      <c r="GI79" t="e">
        <v>#VALUE!</v>
      </c>
      <c r="GJ79" t="e">
        <v>#VALUE!</v>
      </c>
      <c r="GK79" t="e">
        <v>#VALUE!</v>
      </c>
      <c r="GL79" t="e">
        <v>#VALUE!</v>
      </c>
      <c r="GM79" t="e">
        <v>#VALUE!</v>
      </c>
      <c r="GN79" t="e">
        <v>#VALUE!</v>
      </c>
      <c r="GO79" t="e">
        <v>#VALUE!</v>
      </c>
      <c r="GP79" t="e">
        <v>#VALUE!</v>
      </c>
      <c r="GQ79" t="e">
        <v>#VALUE!</v>
      </c>
      <c r="GR79">
        <v>0</v>
      </c>
      <c r="GS79" t="e">
        <v>#VALUE!</v>
      </c>
      <c r="GT79" t="e">
        <v>#VALUE!</v>
      </c>
      <c r="GU79" t="e">
        <v>#VALUE!</v>
      </c>
      <c r="GV79" t="e">
        <v>#VALUE!</v>
      </c>
      <c r="GW79" t="e">
        <v>#VALUE!</v>
      </c>
      <c r="GX79" t="e">
        <v>#VALUE!</v>
      </c>
      <c r="GY79" t="e">
        <v>#VALUE!</v>
      </c>
      <c r="GZ79" t="e">
        <v>#VALUE!</v>
      </c>
      <c r="HA79" t="e">
        <v>#VALUE!</v>
      </c>
      <c r="HB79" t="e">
        <v>#VALUE!</v>
      </c>
      <c r="HC79" t="e">
        <v>#VALUE!</v>
      </c>
      <c r="HD79" t="e">
        <v>#VALUE!</v>
      </c>
      <c r="HE79" t="e">
        <v>#VALUE!</v>
      </c>
      <c r="HF79" t="e">
        <v>#VALUE!</v>
      </c>
      <c r="HG79" t="e">
        <v>#VALUE!</v>
      </c>
      <c r="HH79" t="e">
        <v>#VALUE!</v>
      </c>
      <c r="HI79" t="e">
        <v>#VALUE!</v>
      </c>
      <c r="HJ79" t="e">
        <v>#VALUE!</v>
      </c>
      <c r="HK79">
        <v>0</v>
      </c>
      <c r="HL79" t="e">
        <v>#VALUE!</v>
      </c>
      <c r="HM79" t="e">
        <v>#VALUE!</v>
      </c>
      <c r="HN79" t="e">
        <v>#VALUE!</v>
      </c>
      <c r="HO79" t="e">
        <v>#VALUE!</v>
      </c>
      <c r="HP79" t="e">
        <v>#VALUE!</v>
      </c>
      <c r="HQ79" t="e">
        <v>#VALUE!</v>
      </c>
      <c r="HR79" t="e">
        <v>#VALUE!</v>
      </c>
      <c r="HS79" t="e">
        <v>#VALUE!</v>
      </c>
      <c r="HT79" t="e">
        <v>#VALUE!</v>
      </c>
      <c r="HU79" t="e">
        <v>#VALUE!</v>
      </c>
      <c r="HV79" t="e">
        <v>#VALUE!</v>
      </c>
      <c r="HW79" t="e">
        <v>#VALUE!</v>
      </c>
      <c r="HX79" t="e">
        <v>#VALUE!</v>
      </c>
      <c r="HY79" t="e">
        <v>#VALUE!</v>
      </c>
      <c r="HZ79" t="e">
        <v>#VALUE!</v>
      </c>
      <c r="IA79" t="e">
        <v>#VALUE!</v>
      </c>
      <c r="IB79" t="e">
        <v>#VALUE!</v>
      </c>
      <c r="IC79" t="e">
        <v>#VALUE!</v>
      </c>
      <c r="ID79">
        <v>0</v>
      </c>
      <c r="IE79" t="e">
        <v>#VALUE!</v>
      </c>
      <c r="IF79" t="e">
        <v>#VALUE!</v>
      </c>
      <c r="IG79" t="e">
        <v>#VALUE!</v>
      </c>
      <c r="IH79" t="e">
        <v>#VALUE!</v>
      </c>
      <c r="II79" t="e">
        <v>#VALUE!</v>
      </c>
      <c r="IJ79" t="e">
        <v>#VALUE!</v>
      </c>
      <c r="IK79" t="e">
        <v>#VALUE!</v>
      </c>
      <c r="IL79" t="e">
        <v>#VALUE!</v>
      </c>
      <c r="IM79" t="e">
        <v>#VALUE!</v>
      </c>
      <c r="IN79" t="e">
        <v>#VALUE!</v>
      </c>
      <c r="IO79" t="e">
        <v>#VALUE!</v>
      </c>
      <c r="IP79" t="e">
        <v>#VALUE!</v>
      </c>
      <c r="IQ79" t="e">
        <v>#VALUE!</v>
      </c>
      <c r="IR79" t="e">
        <v>#VALUE!</v>
      </c>
      <c r="IS79" t="e">
        <v>#VALUE!</v>
      </c>
      <c r="IT79" t="e">
        <v>#VALUE!</v>
      </c>
      <c r="IU79" t="e">
        <v>#VALUE!</v>
      </c>
      <c r="IV79" t="e">
        <v>#VALUE!</v>
      </c>
    </row>
    <row r="80" spans="1:256" x14ac:dyDescent="0.25">
      <c r="A80">
        <v>0</v>
      </c>
      <c r="B80" t="e">
        <v>#VALUE!</v>
      </c>
      <c r="C80" t="e">
        <v>#VALUE!</v>
      </c>
      <c r="D80" t="e">
        <v>#VALUE!</v>
      </c>
      <c r="E80" t="e">
        <v>#VALUE!</v>
      </c>
      <c r="F80" t="e">
        <v>#VALUE!</v>
      </c>
      <c r="G80" t="e">
        <v>#VALUE!</v>
      </c>
      <c r="H80" t="e">
        <v>#VALUE!</v>
      </c>
      <c r="I80" t="e">
        <v>#VALUE!</v>
      </c>
      <c r="J80" t="e">
        <v>#VALUE!</v>
      </c>
      <c r="K80" t="e">
        <v>#VALUE!</v>
      </c>
      <c r="L80" t="e">
        <v>#VALUE!</v>
      </c>
      <c r="M80" t="e">
        <v>#VALUE!</v>
      </c>
      <c r="N80" t="e">
        <v>#VALUE!</v>
      </c>
      <c r="O80" t="e">
        <v>#VALUE!</v>
      </c>
      <c r="P80" t="e">
        <v>#VALUE!</v>
      </c>
      <c r="Q80" t="e">
        <v>#VALUE!</v>
      </c>
      <c r="R80" t="e">
        <v>#VALUE!</v>
      </c>
      <c r="S80" t="e">
        <v>#VALUE!</v>
      </c>
      <c r="T80">
        <v>0</v>
      </c>
      <c r="U80" t="e">
        <v>#VALUE!</v>
      </c>
      <c r="V80" t="e">
        <v>#VALUE!</v>
      </c>
      <c r="W80" t="e">
        <v>#VALUE!</v>
      </c>
      <c r="X80" t="e">
        <v>#VALUE!</v>
      </c>
      <c r="Y80" t="e">
        <v>#VALUE!</v>
      </c>
      <c r="Z80" t="e">
        <v>#VALUE!</v>
      </c>
      <c r="AA80" t="e">
        <v>#VALUE!</v>
      </c>
      <c r="AB80" t="e">
        <v>#VALUE!</v>
      </c>
      <c r="AC80" t="e">
        <v>#VALUE!</v>
      </c>
      <c r="AD80" t="e">
        <v>#VALUE!</v>
      </c>
      <c r="AE80" t="e">
        <v>#VALUE!</v>
      </c>
      <c r="AF80" t="e">
        <v>#VALUE!</v>
      </c>
      <c r="AG80" t="e">
        <v>#VALUE!</v>
      </c>
      <c r="AH80" t="e">
        <v>#VALUE!</v>
      </c>
      <c r="AI80" t="e">
        <v>#VALUE!</v>
      </c>
      <c r="AJ80" t="e">
        <v>#VALUE!</v>
      </c>
      <c r="AK80" t="e">
        <v>#VALUE!</v>
      </c>
      <c r="AL80" t="e">
        <v>#VALUE!</v>
      </c>
      <c r="AM80">
        <v>0</v>
      </c>
      <c r="AN80" t="e">
        <v>#VALUE!</v>
      </c>
      <c r="AO80" t="e">
        <v>#VALUE!</v>
      </c>
      <c r="AP80" t="e">
        <v>#VALUE!</v>
      </c>
      <c r="AQ80" t="e">
        <v>#VALUE!</v>
      </c>
      <c r="AR80" t="e">
        <v>#VALUE!</v>
      </c>
      <c r="AS80" t="e">
        <v>#VALUE!</v>
      </c>
      <c r="AT80" t="e">
        <v>#VALUE!</v>
      </c>
      <c r="AU80" t="e">
        <v>#VALUE!</v>
      </c>
      <c r="AV80" t="e">
        <v>#VALUE!</v>
      </c>
      <c r="AW80" t="e">
        <v>#VALUE!</v>
      </c>
      <c r="AX80" t="e">
        <v>#VALUE!</v>
      </c>
      <c r="AY80" t="e">
        <v>#VALUE!</v>
      </c>
      <c r="AZ80" t="e">
        <v>#VALUE!</v>
      </c>
      <c r="BA80" t="e">
        <v>#VALUE!</v>
      </c>
      <c r="BB80" t="e">
        <v>#VALUE!</v>
      </c>
      <c r="BC80" t="e">
        <v>#VALUE!</v>
      </c>
      <c r="BD80" t="e">
        <v>#VALUE!</v>
      </c>
      <c r="BE80" t="e">
        <v>#VALUE!</v>
      </c>
      <c r="BF80">
        <v>0</v>
      </c>
      <c r="BG80" t="e">
        <v>#VALUE!</v>
      </c>
      <c r="BH80" t="e">
        <v>#VALUE!</v>
      </c>
      <c r="BI80" t="e">
        <v>#VALUE!</v>
      </c>
      <c r="BJ80" t="e">
        <v>#VALUE!</v>
      </c>
      <c r="BK80" t="e">
        <v>#VALUE!</v>
      </c>
      <c r="BL80" t="e">
        <v>#VALUE!</v>
      </c>
      <c r="BM80" t="e">
        <v>#VALUE!</v>
      </c>
      <c r="BN80" t="e">
        <v>#VALUE!</v>
      </c>
      <c r="BO80" t="e">
        <v>#VALUE!</v>
      </c>
      <c r="BP80" t="e">
        <v>#VALUE!</v>
      </c>
      <c r="BQ80" t="e">
        <v>#VALUE!</v>
      </c>
      <c r="BR80" t="e">
        <v>#VALUE!</v>
      </c>
      <c r="BS80" t="e">
        <v>#VALUE!</v>
      </c>
      <c r="BT80" t="e">
        <v>#VALUE!</v>
      </c>
      <c r="BU80" t="e">
        <v>#VALUE!</v>
      </c>
      <c r="BV80" t="e">
        <v>#VALUE!</v>
      </c>
      <c r="BW80" t="e">
        <v>#VALUE!</v>
      </c>
      <c r="BX80" t="e">
        <v>#VALUE!</v>
      </c>
      <c r="BY80">
        <v>0</v>
      </c>
      <c r="BZ80" t="e">
        <v>#VALUE!</v>
      </c>
      <c r="CA80" t="e">
        <v>#VALUE!</v>
      </c>
      <c r="CB80" t="e">
        <v>#VALUE!</v>
      </c>
      <c r="CC80" t="e">
        <v>#VALUE!</v>
      </c>
      <c r="CD80" t="e">
        <v>#VALUE!</v>
      </c>
      <c r="CE80" t="e">
        <v>#VALUE!</v>
      </c>
      <c r="CF80" t="e">
        <v>#VALUE!</v>
      </c>
      <c r="CG80" t="e">
        <v>#VALUE!</v>
      </c>
      <c r="CH80" t="e">
        <v>#VALUE!</v>
      </c>
      <c r="CI80" t="e">
        <v>#VALUE!</v>
      </c>
      <c r="CJ80" t="e">
        <v>#VALUE!</v>
      </c>
      <c r="CK80" t="e">
        <v>#VALUE!</v>
      </c>
      <c r="CL80" t="e">
        <v>#VALUE!</v>
      </c>
      <c r="CM80" t="e">
        <v>#VALUE!</v>
      </c>
      <c r="CN80" t="e">
        <v>#VALUE!</v>
      </c>
      <c r="CO80" t="e">
        <v>#VALUE!</v>
      </c>
      <c r="CP80" t="e">
        <v>#VALUE!</v>
      </c>
      <c r="CQ80" t="e">
        <v>#VALUE!</v>
      </c>
      <c r="CR80">
        <v>0</v>
      </c>
      <c r="CS80" t="e">
        <v>#VALUE!</v>
      </c>
      <c r="CT80" t="e">
        <v>#VALUE!</v>
      </c>
      <c r="CU80" t="e">
        <v>#VALUE!</v>
      </c>
      <c r="CV80" t="e">
        <v>#VALUE!</v>
      </c>
      <c r="CW80" t="e">
        <v>#VALUE!</v>
      </c>
      <c r="CX80" t="e">
        <v>#VALUE!</v>
      </c>
      <c r="CY80" t="e">
        <v>#VALUE!</v>
      </c>
      <c r="CZ80" t="e">
        <v>#VALUE!</v>
      </c>
      <c r="DA80" t="e">
        <v>#VALUE!</v>
      </c>
      <c r="DB80" t="e">
        <v>#VALUE!</v>
      </c>
      <c r="DC80" t="e">
        <v>#VALUE!</v>
      </c>
      <c r="DD80" t="e">
        <v>#VALUE!</v>
      </c>
      <c r="DE80" t="e">
        <v>#VALUE!</v>
      </c>
      <c r="DF80" t="e">
        <v>#VALUE!</v>
      </c>
      <c r="DG80" t="e">
        <v>#VALUE!</v>
      </c>
      <c r="DH80" t="e">
        <v>#VALUE!</v>
      </c>
      <c r="DI80" t="e">
        <v>#VALUE!</v>
      </c>
      <c r="DJ80" t="e">
        <v>#VALUE!</v>
      </c>
      <c r="DK80">
        <v>0</v>
      </c>
      <c r="DL80" t="e">
        <v>#VALUE!</v>
      </c>
      <c r="DM80" t="e">
        <v>#VALUE!</v>
      </c>
      <c r="DN80" t="e">
        <v>#VALUE!</v>
      </c>
      <c r="DO80" t="e">
        <v>#VALUE!</v>
      </c>
      <c r="DP80" t="e">
        <v>#VALUE!</v>
      </c>
      <c r="DQ80" t="e">
        <v>#VALUE!</v>
      </c>
      <c r="DR80" t="e">
        <v>#VALUE!</v>
      </c>
      <c r="DS80" t="e">
        <v>#VALUE!</v>
      </c>
      <c r="DT80" t="e">
        <v>#VALUE!</v>
      </c>
      <c r="DU80" t="e">
        <v>#VALUE!</v>
      </c>
      <c r="DV80" t="e">
        <v>#VALUE!</v>
      </c>
      <c r="DW80" t="e">
        <v>#VALUE!</v>
      </c>
      <c r="DX80" t="e">
        <v>#VALUE!</v>
      </c>
      <c r="DY80" t="e">
        <v>#VALUE!</v>
      </c>
      <c r="DZ80" t="e">
        <v>#VALUE!</v>
      </c>
      <c r="EA80" t="e">
        <v>#VALUE!</v>
      </c>
      <c r="EB80" t="e">
        <v>#VALUE!</v>
      </c>
      <c r="EC80" t="e">
        <v>#VALUE!</v>
      </c>
      <c r="ED80">
        <v>0</v>
      </c>
      <c r="EE80" t="e">
        <v>#VALUE!</v>
      </c>
      <c r="EF80" t="e">
        <v>#VALUE!</v>
      </c>
      <c r="EG80" t="e">
        <v>#VALUE!</v>
      </c>
      <c r="EH80" t="e">
        <v>#VALUE!</v>
      </c>
      <c r="EI80" t="e">
        <v>#VALUE!</v>
      </c>
      <c r="EJ80" t="e">
        <v>#VALUE!</v>
      </c>
      <c r="EK80" t="e">
        <v>#VALUE!</v>
      </c>
      <c r="EL80" t="e">
        <v>#VALUE!</v>
      </c>
      <c r="EM80" t="e">
        <v>#VALUE!</v>
      </c>
      <c r="EN80" t="e">
        <v>#VALUE!</v>
      </c>
      <c r="EO80" t="e">
        <v>#VALUE!</v>
      </c>
      <c r="EP80" t="e">
        <v>#VALUE!</v>
      </c>
      <c r="EQ80" t="e">
        <v>#VALUE!</v>
      </c>
      <c r="ER80" t="e">
        <v>#VALUE!</v>
      </c>
      <c r="ES80" t="e">
        <v>#VALUE!</v>
      </c>
      <c r="ET80" t="e">
        <v>#VALUE!</v>
      </c>
      <c r="EU80" t="e">
        <v>#VALUE!</v>
      </c>
      <c r="EV80" t="e">
        <v>#VALUE!</v>
      </c>
      <c r="EW80">
        <v>0</v>
      </c>
      <c r="EX80" t="e">
        <v>#VALUE!</v>
      </c>
      <c r="EY80" t="e">
        <v>#VALUE!</v>
      </c>
      <c r="EZ80" t="e">
        <v>#VALUE!</v>
      </c>
      <c r="FA80" t="e">
        <v>#VALUE!</v>
      </c>
      <c r="FB80" t="e">
        <v>#VALUE!</v>
      </c>
      <c r="FC80" t="e">
        <v>#VALUE!</v>
      </c>
      <c r="FD80" t="e">
        <v>#VALUE!</v>
      </c>
      <c r="FE80" t="e">
        <v>#VALUE!</v>
      </c>
      <c r="FF80" t="e">
        <v>#VALUE!</v>
      </c>
      <c r="FG80" t="e">
        <v>#VALUE!</v>
      </c>
      <c r="FH80" t="e">
        <v>#VALUE!</v>
      </c>
      <c r="FI80" t="e">
        <v>#VALUE!</v>
      </c>
      <c r="FJ80" t="e">
        <v>#VALUE!</v>
      </c>
      <c r="FK80" t="e">
        <v>#VALUE!</v>
      </c>
      <c r="FL80" t="e">
        <v>#VALUE!</v>
      </c>
      <c r="FM80" t="e">
        <v>#VALUE!</v>
      </c>
      <c r="FN80" t="e">
        <v>#VALUE!</v>
      </c>
      <c r="FO80" t="e">
        <v>#VALUE!</v>
      </c>
      <c r="FP80">
        <v>0</v>
      </c>
      <c r="FQ80" t="e">
        <v>#VALUE!</v>
      </c>
      <c r="FR80" t="e">
        <v>#VALUE!</v>
      </c>
      <c r="FS80" t="e">
        <v>#VALUE!</v>
      </c>
      <c r="FT80" t="e">
        <v>#VALUE!</v>
      </c>
      <c r="FU80" t="e">
        <v>#VALUE!</v>
      </c>
      <c r="FV80" t="e">
        <v>#VALUE!</v>
      </c>
      <c r="FW80" t="e">
        <v>#VALUE!</v>
      </c>
      <c r="FX80" t="e">
        <v>#VALUE!</v>
      </c>
      <c r="FY80" t="e">
        <v>#VALUE!</v>
      </c>
      <c r="FZ80" t="e">
        <v>#VALUE!</v>
      </c>
      <c r="GA80" t="e">
        <v>#VALUE!</v>
      </c>
      <c r="GB80" t="e">
        <v>#VALUE!</v>
      </c>
      <c r="GC80" t="e">
        <v>#VALUE!</v>
      </c>
      <c r="GD80" t="e">
        <v>#VALUE!</v>
      </c>
      <c r="GE80" t="e">
        <v>#VALUE!</v>
      </c>
      <c r="GF80" t="e">
        <v>#VALUE!</v>
      </c>
      <c r="GG80" t="e">
        <v>#VALUE!</v>
      </c>
      <c r="GH80" t="e">
        <v>#VALUE!</v>
      </c>
      <c r="GI80">
        <v>0</v>
      </c>
      <c r="GJ80" t="e">
        <v>#VALUE!</v>
      </c>
      <c r="GK80" t="e">
        <v>#VALUE!</v>
      </c>
      <c r="GL80" t="e">
        <v>#VALUE!</v>
      </c>
      <c r="GM80" t="e">
        <v>#VALUE!</v>
      </c>
      <c r="GN80" t="e">
        <v>#VALUE!</v>
      </c>
      <c r="GO80" t="e">
        <v>#VALUE!</v>
      </c>
      <c r="GP80" t="e">
        <v>#VALUE!</v>
      </c>
      <c r="GQ80" t="e">
        <v>#VALUE!</v>
      </c>
      <c r="GR80" t="e">
        <v>#VALUE!</v>
      </c>
      <c r="GS80" t="e">
        <v>#VALUE!</v>
      </c>
      <c r="GT80" t="e">
        <v>#VALUE!</v>
      </c>
      <c r="GU80" t="e">
        <v>#VALUE!</v>
      </c>
      <c r="GV80" t="e">
        <v>#VALUE!</v>
      </c>
      <c r="GW80" t="e">
        <v>#VALUE!</v>
      </c>
      <c r="GX80" t="e">
        <v>#VALUE!</v>
      </c>
      <c r="GY80" t="e">
        <v>#VALUE!</v>
      </c>
      <c r="GZ80" t="e">
        <v>#VALUE!</v>
      </c>
      <c r="HA80" t="e">
        <v>#VALUE!</v>
      </c>
      <c r="HB80">
        <v>0</v>
      </c>
      <c r="HC80" t="e">
        <v>#VALUE!</v>
      </c>
      <c r="HD80" t="e">
        <v>#VALUE!</v>
      </c>
      <c r="HE80" t="e">
        <v>#VALUE!</v>
      </c>
      <c r="HF80" t="e">
        <v>#VALUE!</v>
      </c>
      <c r="HG80" t="e">
        <v>#VALUE!</v>
      </c>
      <c r="HH80" t="e">
        <v>#VALUE!</v>
      </c>
      <c r="HI80" t="e">
        <v>#VALUE!</v>
      </c>
      <c r="HJ80" t="e">
        <v>#VALUE!</v>
      </c>
      <c r="HK80" t="e">
        <v>#VALUE!</v>
      </c>
      <c r="HL80" t="e">
        <v>#VALUE!</v>
      </c>
      <c r="HM80" t="e">
        <v>#VALUE!</v>
      </c>
      <c r="HN80" t="e">
        <v>#VALUE!</v>
      </c>
      <c r="HO80" t="e">
        <v>#VALUE!</v>
      </c>
      <c r="HP80" t="e">
        <v>#VALUE!</v>
      </c>
      <c r="HQ80" t="e">
        <v>#VALUE!</v>
      </c>
      <c r="HR80" t="e">
        <v>#VALUE!</v>
      </c>
      <c r="HS80" t="e">
        <v>#VALUE!</v>
      </c>
      <c r="HT80" t="e">
        <v>#VALUE!</v>
      </c>
      <c r="HU80">
        <v>0</v>
      </c>
      <c r="HV80" t="e">
        <v>#VALUE!</v>
      </c>
      <c r="HW80" t="e">
        <v>#VALUE!</v>
      </c>
      <c r="HX80" t="e">
        <v>#VALUE!</v>
      </c>
      <c r="HY80" t="e">
        <v>#VALUE!</v>
      </c>
      <c r="HZ80" t="e">
        <v>#VALUE!</v>
      </c>
      <c r="IA80" t="e">
        <v>#VALUE!</v>
      </c>
      <c r="IB80" t="e">
        <v>#VALUE!</v>
      </c>
      <c r="IC80" t="e">
        <v>#VALUE!</v>
      </c>
      <c r="ID80" t="e">
        <v>#VALUE!</v>
      </c>
      <c r="IE80" t="e">
        <v>#VALUE!</v>
      </c>
      <c r="IF80" t="e">
        <v>#VALUE!</v>
      </c>
      <c r="IG80" t="e">
        <v>#VALUE!</v>
      </c>
      <c r="IH80" t="e">
        <v>#VALUE!</v>
      </c>
      <c r="II80" t="e">
        <v>#VALUE!</v>
      </c>
      <c r="IJ80" t="e">
        <v>#VALUE!</v>
      </c>
      <c r="IK80" t="e">
        <v>#VALUE!</v>
      </c>
      <c r="IL80" t="e">
        <v>#VALUE!</v>
      </c>
      <c r="IM80" t="e">
        <v>#VALUE!</v>
      </c>
      <c r="IN80">
        <v>0</v>
      </c>
      <c r="IO80" t="e">
        <v>#VALUE!</v>
      </c>
      <c r="IP80" t="e">
        <v>#VALUE!</v>
      </c>
      <c r="IQ80" t="e">
        <v>#VALUE!</v>
      </c>
      <c r="IR80" t="e">
        <v>#VALUE!</v>
      </c>
      <c r="IS80" t="e">
        <v>#VALUE!</v>
      </c>
      <c r="IT80" t="e">
        <v>#VALUE!</v>
      </c>
      <c r="IU80" t="e">
        <v>#VALUE!</v>
      </c>
      <c r="IV80" t="e">
        <v>#VALUE!</v>
      </c>
    </row>
    <row r="81" spans="1:256" x14ac:dyDescent="0.25">
      <c r="A81" t="e">
        <v>#VALUE!</v>
      </c>
      <c r="B81" t="e">
        <v>#VALUE!</v>
      </c>
      <c r="C81" t="e">
        <v>#VALUE!</v>
      </c>
      <c r="D81" t="e">
        <v>#VALUE!</v>
      </c>
      <c r="E81" t="e">
        <v>#VALUE!</v>
      </c>
      <c r="F81" t="e">
        <v>#VALUE!</v>
      </c>
      <c r="G81" t="e">
        <v>#VALUE!</v>
      </c>
      <c r="H81" t="e">
        <v>#VALUE!</v>
      </c>
      <c r="I81" t="e">
        <v>#VALUE!</v>
      </c>
      <c r="J81" t="e">
        <v>#VALUE!</v>
      </c>
      <c r="K81">
        <v>0</v>
      </c>
      <c r="L81" t="e">
        <v>#VALUE!</v>
      </c>
      <c r="M81" t="e">
        <v>#VALUE!</v>
      </c>
      <c r="N81" t="e">
        <v>#VALUE!</v>
      </c>
      <c r="O81" t="e">
        <v>#VALUE!</v>
      </c>
      <c r="P81" t="e">
        <v>#VALUE!</v>
      </c>
      <c r="Q81" t="e">
        <v>#VALUE!</v>
      </c>
      <c r="R81" t="e">
        <v>#VALUE!</v>
      </c>
      <c r="S81" t="e">
        <v>#VALUE!</v>
      </c>
      <c r="T81" t="e">
        <v>#VALUE!</v>
      </c>
      <c r="U81" t="e">
        <v>#VALUE!</v>
      </c>
      <c r="V81" t="e">
        <v>#VALUE!</v>
      </c>
      <c r="W81" t="e">
        <v>#VALUE!</v>
      </c>
      <c r="X81" t="e">
        <v>#VALUE!</v>
      </c>
      <c r="Y81" t="e">
        <v>#VALUE!</v>
      </c>
      <c r="Z81" t="e">
        <v>#VALUE!</v>
      </c>
      <c r="AA81" t="e">
        <v>#VALUE!</v>
      </c>
      <c r="AB81" t="e">
        <v>#VALUE!</v>
      </c>
      <c r="AC81" t="e">
        <v>#VALUE!</v>
      </c>
      <c r="AD81">
        <v>0</v>
      </c>
      <c r="AE81" t="e">
        <v>#VALUE!</v>
      </c>
      <c r="AF81" t="e">
        <v>#VALUE!</v>
      </c>
      <c r="AG81" t="e">
        <v>#VALUE!</v>
      </c>
      <c r="AH81" t="e">
        <v>#VALUE!</v>
      </c>
      <c r="AI81" t="e">
        <v>#VALUE!</v>
      </c>
      <c r="AJ81" t="e">
        <v>#VALUE!</v>
      </c>
      <c r="AK81" t="e">
        <v>#VALUE!</v>
      </c>
      <c r="AL81" t="e">
        <v>#VALUE!</v>
      </c>
      <c r="AM81" t="e">
        <v>#VALUE!</v>
      </c>
      <c r="AN81" t="e">
        <v>#VALUE!</v>
      </c>
      <c r="AO81" t="e">
        <v>#VALUE!</v>
      </c>
      <c r="AP81" t="e">
        <v>#VALUE!</v>
      </c>
      <c r="AQ81" t="e">
        <v>#VALUE!</v>
      </c>
      <c r="AR81" t="e">
        <v>#VALUE!</v>
      </c>
      <c r="AS81" t="e">
        <v>#VALUE!</v>
      </c>
      <c r="AT81" t="e">
        <v>#VALUE!</v>
      </c>
      <c r="AU81" t="e">
        <v>#VALUE!</v>
      </c>
      <c r="AV81" t="e">
        <v>#VALUE!</v>
      </c>
      <c r="AW81">
        <v>0</v>
      </c>
      <c r="AX81" t="e">
        <v>#VALUE!</v>
      </c>
      <c r="AY81" t="e">
        <v>#VALUE!</v>
      </c>
      <c r="AZ81" t="e">
        <v>#VALUE!</v>
      </c>
      <c r="BA81" t="e">
        <v>#VALUE!</v>
      </c>
      <c r="BB81" t="e">
        <v>#VALUE!</v>
      </c>
      <c r="BC81" t="e">
        <v>#VALUE!</v>
      </c>
      <c r="BD81" t="e">
        <v>#VALUE!</v>
      </c>
      <c r="BE81" t="e">
        <v>#VALUE!</v>
      </c>
      <c r="BF81" t="e">
        <v>#VALUE!</v>
      </c>
      <c r="BG81" t="e">
        <v>#VALUE!</v>
      </c>
      <c r="BH81" t="e">
        <v>#VALUE!</v>
      </c>
      <c r="BI81" t="e">
        <v>#VALUE!</v>
      </c>
      <c r="BJ81" t="e">
        <v>#VALUE!</v>
      </c>
      <c r="BK81" t="e">
        <v>#VALUE!</v>
      </c>
      <c r="BL81" t="e">
        <v>#VALUE!</v>
      </c>
      <c r="BM81" t="e">
        <v>#VALUE!</v>
      </c>
      <c r="BN81" t="e">
        <v>#VALUE!</v>
      </c>
      <c r="BO81" t="e">
        <v>#VALUE!</v>
      </c>
      <c r="BP81">
        <v>0</v>
      </c>
      <c r="BQ81" t="e">
        <v>#VALUE!</v>
      </c>
      <c r="BR81" t="e">
        <v>#VALUE!</v>
      </c>
      <c r="BS81" t="e">
        <v>#VALUE!</v>
      </c>
      <c r="BT81" t="e">
        <v>#VALUE!</v>
      </c>
      <c r="BU81" t="e">
        <v>#VALUE!</v>
      </c>
      <c r="BV81" t="e">
        <v>#VALUE!</v>
      </c>
      <c r="BW81" t="e">
        <v>#VALUE!</v>
      </c>
      <c r="BX81" t="e">
        <v>#VALUE!</v>
      </c>
      <c r="BY81" t="e">
        <v>#VALUE!</v>
      </c>
      <c r="BZ81" t="e">
        <v>#VALUE!</v>
      </c>
      <c r="CA81" t="e">
        <v>#VALUE!</v>
      </c>
      <c r="CB81" t="e">
        <v>#VALUE!</v>
      </c>
      <c r="CC81" t="e">
        <v>#VALUE!</v>
      </c>
      <c r="CD81" t="e">
        <v>#VALUE!</v>
      </c>
      <c r="CE81" t="e">
        <v>#VALUE!</v>
      </c>
      <c r="CF81" t="e">
        <v>#VALUE!</v>
      </c>
      <c r="CG81" t="e">
        <v>#VALUE!</v>
      </c>
      <c r="CH81" t="e">
        <v>#VALUE!</v>
      </c>
      <c r="CI81">
        <v>0</v>
      </c>
      <c r="CJ81" t="e">
        <v>#VALUE!</v>
      </c>
      <c r="CK81" t="e">
        <v>#VALUE!</v>
      </c>
      <c r="CL81" t="e">
        <v>#VALUE!</v>
      </c>
      <c r="CM81" t="e">
        <v>#VALUE!</v>
      </c>
      <c r="CN81" t="e">
        <v>#VALUE!</v>
      </c>
      <c r="CO81" t="e">
        <v>#VALUE!</v>
      </c>
      <c r="CP81" t="e">
        <v>#VALUE!</v>
      </c>
      <c r="CQ81" t="e">
        <v>#VALUE!</v>
      </c>
      <c r="CR81" t="e">
        <v>#VALUE!</v>
      </c>
      <c r="CS81" t="e">
        <v>#VALUE!</v>
      </c>
      <c r="CT81" t="e">
        <v>#VALUE!</v>
      </c>
      <c r="CU81" t="e">
        <v>#VALUE!</v>
      </c>
      <c r="CV81" t="e">
        <v>#VALUE!</v>
      </c>
      <c r="CW81" t="e">
        <v>#VALUE!</v>
      </c>
      <c r="CX81" t="e">
        <v>#VALUE!</v>
      </c>
      <c r="CY81" t="e">
        <v>#VALUE!</v>
      </c>
      <c r="CZ81" t="e">
        <v>#VALUE!</v>
      </c>
      <c r="DA81" t="e">
        <v>#VALUE!</v>
      </c>
      <c r="DB81">
        <v>0</v>
      </c>
      <c r="DC81" t="e">
        <v>#VALUE!</v>
      </c>
      <c r="DD81" t="e">
        <v>#VALUE!</v>
      </c>
      <c r="DE81" t="e">
        <v>#VALUE!</v>
      </c>
      <c r="DF81" t="e">
        <v>#VALUE!</v>
      </c>
      <c r="DG81" t="e">
        <v>#VALUE!</v>
      </c>
      <c r="DH81" t="e">
        <v>#VALUE!</v>
      </c>
      <c r="DI81" t="e">
        <v>#VALUE!</v>
      </c>
      <c r="DJ81" t="e">
        <v>#VALUE!</v>
      </c>
      <c r="DK81" t="e">
        <v>#VALUE!</v>
      </c>
      <c r="DL81" t="e">
        <v>#VALUE!</v>
      </c>
      <c r="DM81" t="e">
        <v>#VALUE!</v>
      </c>
      <c r="DN81" t="e">
        <v>#VALUE!</v>
      </c>
      <c r="DO81" t="e">
        <v>#VALUE!</v>
      </c>
      <c r="DP81" t="e">
        <v>#VALUE!</v>
      </c>
      <c r="DQ81" t="e">
        <v>#VALUE!</v>
      </c>
      <c r="DR81" t="e">
        <v>#VALUE!</v>
      </c>
      <c r="DS81" t="e">
        <v>#VALUE!</v>
      </c>
      <c r="DT81" t="e">
        <v>#VALUE!</v>
      </c>
      <c r="DU81">
        <v>0</v>
      </c>
      <c r="DV81" t="e">
        <v>#VALUE!</v>
      </c>
      <c r="DW81" t="e">
        <v>#VALUE!</v>
      </c>
      <c r="DX81" t="e">
        <v>#VALUE!</v>
      </c>
      <c r="DY81" t="e">
        <v>#VALUE!</v>
      </c>
      <c r="DZ81" t="e">
        <v>#VALUE!</v>
      </c>
      <c r="EA81" t="e">
        <v>#VALUE!</v>
      </c>
      <c r="EB81" t="e">
        <v>#VALUE!</v>
      </c>
      <c r="EC81" t="e">
        <v>#VALUE!</v>
      </c>
      <c r="ED81" t="e">
        <v>#VALUE!</v>
      </c>
      <c r="EE81" t="e">
        <v>#VALUE!</v>
      </c>
      <c r="EF81" t="e">
        <v>#VALUE!</v>
      </c>
      <c r="EG81" t="e">
        <v>#VALUE!</v>
      </c>
      <c r="EH81" t="e">
        <v>#VALUE!</v>
      </c>
      <c r="EI81" t="e">
        <v>#VALUE!</v>
      </c>
      <c r="EJ81" t="e">
        <v>#VALUE!</v>
      </c>
      <c r="EK81" t="e">
        <v>#VALUE!</v>
      </c>
      <c r="EL81" t="e">
        <v>#VALUE!</v>
      </c>
      <c r="EM81" t="e">
        <v>#VALUE!</v>
      </c>
      <c r="EN81">
        <v>0</v>
      </c>
      <c r="EO81" t="e">
        <v>#VALUE!</v>
      </c>
      <c r="EP81" t="e">
        <v>#VALUE!</v>
      </c>
      <c r="EQ81" t="e">
        <v>#VALUE!</v>
      </c>
      <c r="ER81" t="e">
        <v>#VALUE!</v>
      </c>
      <c r="ES81" t="e">
        <v>#VALUE!</v>
      </c>
      <c r="ET81" t="e">
        <v>#VALUE!</v>
      </c>
      <c r="EU81" t="e">
        <v>#VALUE!</v>
      </c>
      <c r="EV81" t="e">
        <v>#VALUE!</v>
      </c>
      <c r="EW81" t="e">
        <v>#VALUE!</v>
      </c>
      <c r="EX81" t="e">
        <v>#VALUE!</v>
      </c>
      <c r="EY81" t="e">
        <v>#VALUE!</v>
      </c>
      <c r="EZ81" t="e">
        <v>#VALUE!</v>
      </c>
      <c r="FA81" t="e">
        <v>#VALUE!</v>
      </c>
      <c r="FB81" t="e">
        <v>#VALUE!</v>
      </c>
      <c r="FC81" t="e">
        <v>#VALUE!</v>
      </c>
      <c r="FD81" t="e">
        <v>#VALUE!</v>
      </c>
      <c r="FE81" t="e">
        <v>#VALUE!</v>
      </c>
      <c r="FF81" t="e">
        <v>#VALUE!</v>
      </c>
      <c r="FG81">
        <v>0</v>
      </c>
      <c r="FH81" t="e">
        <v>#VALUE!</v>
      </c>
      <c r="FI81" t="e">
        <v>#VALUE!</v>
      </c>
      <c r="FJ81" t="e">
        <v>#VALUE!</v>
      </c>
      <c r="FK81" t="e">
        <v>#VALUE!</v>
      </c>
      <c r="FL81" t="e">
        <v>#VALUE!</v>
      </c>
      <c r="FM81" t="e">
        <v>#VALUE!</v>
      </c>
      <c r="FN81" t="e">
        <v>#VALUE!</v>
      </c>
      <c r="FO81" t="e">
        <v>#VALUE!</v>
      </c>
      <c r="FP81" t="e">
        <v>#VALUE!</v>
      </c>
      <c r="FQ81" t="e">
        <v>#VALUE!</v>
      </c>
      <c r="FR81" t="e">
        <v>#VALUE!</v>
      </c>
      <c r="FS81" t="e">
        <v>#VALUE!</v>
      </c>
      <c r="FT81" t="e">
        <v>#VALUE!</v>
      </c>
      <c r="FU81" t="e">
        <v>#VALUE!</v>
      </c>
      <c r="FV81" t="e">
        <v>#VALUE!</v>
      </c>
      <c r="FW81" t="e">
        <v>#VALUE!</v>
      </c>
      <c r="FX81" t="e">
        <v>#VALUE!</v>
      </c>
      <c r="FY81" t="e">
        <v>#VALUE!</v>
      </c>
      <c r="FZ81">
        <v>0</v>
      </c>
      <c r="GA81" t="e">
        <v>#VALUE!</v>
      </c>
      <c r="GB81" t="e">
        <v>#VALUE!</v>
      </c>
      <c r="GC81" t="e">
        <v>#VALUE!</v>
      </c>
      <c r="GD81" t="e">
        <v>#VALUE!</v>
      </c>
      <c r="GE81" t="e">
        <v>#VALUE!</v>
      </c>
      <c r="GF81" t="e">
        <v>#VALUE!</v>
      </c>
      <c r="GG81" t="e">
        <v>#VALUE!</v>
      </c>
      <c r="GH81" t="e">
        <v>#VALUE!</v>
      </c>
      <c r="GI81" t="e">
        <v>#VALUE!</v>
      </c>
      <c r="GJ81" t="e">
        <v>#VALUE!</v>
      </c>
      <c r="GK81" t="e">
        <v>#VALUE!</v>
      </c>
      <c r="GL81" t="e">
        <v>#VALUE!</v>
      </c>
      <c r="GM81" t="e">
        <v>#VALUE!</v>
      </c>
      <c r="GN81" t="e">
        <v>#VALUE!</v>
      </c>
      <c r="GO81" t="e">
        <v>#VALUE!</v>
      </c>
      <c r="GP81" t="e">
        <v>#VALUE!</v>
      </c>
      <c r="GQ81" t="e">
        <v>#VALUE!</v>
      </c>
      <c r="GR81" t="e">
        <v>#VALUE!</v>
      </c>
      <c r="GS81">
        <v>0</v>
      </c>
      <c r="GT81" t="e">
        <v>#VALUE!</v>
      </c>
      <c r="GU81" t="e">
        <v>#VALUE!</v>
      </c>
      <c r="GV81" t="e">
        <v>#VALUE!</v>
      </c>
      <c r="GW81" t="e">
        <v>#VALUE!</v>
      </c>
      <c r="GX81" t="e">
        <v>#VALUE!</v>
      </c>
      <c r="GY81" t="e">
        <v>#VALUE!</v>
      </c>
      <c r="GZ81" t="e">
        <v>#VALUE!</v>
      </c>
      <c r="HA81" t="e">
        <v>#VALUE!</v>
      </c>
      <c r="HB81" t="e">
        <v>#VALUE!</v>
      </c>
      <c r="HC81" t="e">
        <v>#VALUE!</v>
      </c>
      <c r="HD81" t="e">
        <v>#VALUE!</v>
      </c>
      <c r="HE81" t="e">
        <v>#VALUE!</v>
      </c>
      <c r="HF81" t="e">
        <v>#VALUE!</v>
      </c>
      <c r="HG81" t="e">
        <v>#VALUE!</v>
      </c>
      <c r="HH81" t="e">
        <v>#VALUE!</v>
      </c>
      <c r="HI81" t="e">
        <v>#VALUE!</v>
      </c>
      <c r="HJ81" t="e">
        <v>#VALUE!</v>
      </c>
      <c r="HK81" t="e">
        <v>#VALUE!</v>
      </c>
      <c r="HL81">
        <v>0</v>
      </c>
      <c r="HM81" t="e">
        <v>#VALUE!</v>
      </c>
      <c r="HN81" t="e">
        <v>#VALUE!</v>
      </c>
      <c r="HO81" t="e">
        <v>#VALUE!</v>
      </c>
      <c r="HP81" t="e">
        <v>#VALUE!</v>
      </c>
      <c r="HQ81" t="e">
        <v>#VALUE!</v>
      </c>
      <c r="HR81" t="e">
        <v>#VALUE!</v>
      </c>
      <c r="HS81" t="e">
        <v>#VALUE!</v>
      </c>
      <c r="HT81" t="e">
        <v>#VALUE!</v>
      </c>
      <c r="HU81" t="e">
        <v>#VALUE!</v>
      </c>
      <c r="HV81" t="e">
        <v>#VALUE!</v>
      </c>
      <c r="HW81" t="e">
        <v>#VALUE!</v>
      </c>
      <c r="HX81" t="e">
        <v>#VALUE!</v>
      </c>
      <c r="HY81" t="e">
        <v>#VALUE!</v>
      </c>
      <c r="HZ81" t="e">
        <v>#VALUE!</v>
      </c>
      <c r="IA81" t="e">
        <v>#VALUE!</v>
      </c>
      <c r="IB81" t="e">
        <v>#VALUE!</v>
      </c>
      <c r="IC81" t="e">
        <v>#VALUE!</v>
      </c>
      <c r="ID81" t="e">
        <v>#VALUE!</v>
      </c>
      <c r="IE81">
        <v>0</v>
      </c>
      <c r="IF81" t="e">
        <v>#VALUE!</v>
      </c>
      <c r="IG81" t="e">
        <v>#VALUE!</v>
      </c>
      <c r="IH81" t="e">
        <v>#VALUE!</v>
      </c>
      <c r="II81" t="e">
        <v>#VALUE!</v>
      </c>
      <c r="IJ81" t="e">
        <v>#VALUE!</v>
      </c>
      <c r="IK81" t="e">
        <v>#VALUE!</v>
      </c>
      <c r="IL81" t="e">
        <v>#VALUE!</v>
      </c>
      <c r="IM81" t="e">
        <v>#VALUE!</v>
      </c>
      <c r="IN81" t="e">
        <v>#VALUE!</v>
      </c>
      <c r="IO81" t="e">
        <v>#VALUE!</v>
      </c>
      <c r="IP81" t="e">
        <v>#VALUE!</v>
      </c>
      <c r="IQ81" t="e">
        <v>#VALUE!</v>
      </c>
      <c r="IR81" t="e">
        <v>#VALUE!</v>
      </c>
      <c r="IS81" t="e">
        <v>#VALUE!</v>
      </c>
      <c r="IT81" t="e">
        <v>#VALUE!</v>
      </c>
      <c r="IU81" t="e">
        <v>#VALUE!</v>
      </c>
      <c r="IV81" t="e">
        <v>#VALUE!</v>
      </c>
    </row>
    <row r="82" spans="1:256" x14ac:dyDescent="0.25">
      <c r="A82" t="e">
        <v>#VALUE!</v>
      </c>
      <c r="B82">
        <v>0</v>
      </c>
      <c r="C82" t="e">
        <v>#VALUE!</v>
      </c>
      <c r="D82" t="e">
        <v>#VALUE!</v>
      </c>
      <c r="E82" t="e">
        <v>#VALUE!</v>
      </c>
      <c r="F82" t="e">
        <v>#VALUE!</v>
      </c>
      <c r="G82" t="e">
        <v>#VALUE!</v>
      </c>
      <c r="H82" t="e">
        <v>#VALUE!</v>
      </c>
      <c r="I82" t="e">
        <v>#VALUE!</v>
      </c>
      <c r="J82" t="e">
        <v>#VALUE!</v>
      </c>
      <c r="K82" t="e">
        <v>#VALUE!</v>
      </c>
      <c r="L82" t="e">
        <v>#VALUE!</v>
      </c>
      <c r="M82" t="e">
        <v>#VALUE!</v>
      </c>
      <c r="N82" t="e">
        <v>#VALUE!</v>
      </c>
      <c r="O82" t="e">
        <v>#VALUE!</v>
      </c>
      <c r="P82" t="e">
        <v>#VALUE!</v>
      </c>
      <c r="Q82" t="e">
        <v>#VALUE!</v>
      </c>
      <c r="R82" t="e">
        <v>#VALUE!</v>
      </c>
      <c r="S82" t="e">
        <v>#VALUE!</v>
      </c>
      <c r="T82" t="e">
        <v>#VALUE!</v>
      </c>
      <c r="U82">
        <v>0</v>
      </c>
      <c r="V82" t="e">
        <v>#VALUE!</v>
      </c>
      <c r="W82" t="e">
        <v>#VALUE!</v>
      </c>
      <c r="X82" t="e">
        <v>#VALUE!</v>
      </c>
      <c r="Y82" t="e">
        <v>#VALUE!</v>
      </c>
      <c r="Z82" t="e">
        <v>#VALUE!</v>
      </c>
      <c r="AA82" t="e">
        <v>#VALUE!</v>
      </c>
      <c r="AB82" t="e">
        <v>#VALUE!</v>
      </c>
      <c r="AC82" t="e">
        <v>#VALUE!</v>
      </c>
      <c r="AD82" t="e">
        <v>#VALUE!</v>
      </c>
      <c r="AE82" t="e">
        <v>#VALUE!</v>
      </c>
      <c r="AF82" t="e">
        <v>#VALUE!</v>
      </c>
      <c r="AG82" t="e">
        <v>#VALUE!</v>
      </c>
      <c r="AH82" t="e">
        <v>#VALUE!</v>
      </c>
      <c r="AI82" t="e">
        <v>#VALUE!</v>
      </c>
      <c r="AJ82" t="e">
        <v>#VALUE!</v>
      </c>
      <c r="AK82" t="e">
        <v>#VALUE!</v>
      </c>
      <c r="AL82" t="e">
        <v>#VALUE!</v>
      </c>
      <c r="AM82" t="e">
        <v>#VALUE!</v>
      </c>
      <c r="AN82">
        <v>0</v>
      </c>
      <c r="AO82" t="e">
        <v>#VALUE!</v>
      </c>
      <c r="AP82" t="e">
        <v>#VALUE!</v>
      </c>
      <c r="AQ82" t="e">
        <v>#VALUE!</v>
      </c>
      <c r="AR82" t="e">
        <v>#VALUE!</v>
      </c>
      <c r="AS82" t="e">
        <v>#VALUE!</v>
      </c>
      <c r="AT82" t="e">
        <v>#VALUE!</v>
      </c>
      <c r="AU82" t="e">
        <v>#VALUE!</v>
      </c>
      <c r="AV82" t="e">
        <v>#VALUE!</v>
      </c>
      <c r="AW82" t="e">
        <v>#VALUE!</v>
      </c>
      <c r="AX82" t="e">
        <v>#VALUE!</v>
      </c>
      <c r="AY82" t="e">
        <v>#VALUE!</v>
      </c>
      <c r="AZ82" t="e">
        <v>#VALUE!</v>
      </c>
      <c r="BA82" t="e">
        <v>#VALUE!</v>
      </c>
      <c r="BB82" t="e">
        <v>#VALUE!</v>
      </c>
      <c r="BC82" t="e">
        <v>#VALUE!</v>
      </c>
      <c r="BD82" t="e">
        <v>#VALUE!</v>
      </c>
      <c r="BE82" t="e">
        <v>#VALUE!</v>
      </c>
      <c r="BF82" t="e">
        <v>#VALUE!</v>
      </c>
      <c r="BG82">
        <v>0</v>
      </c>
      <c r="BH82" t="e">
        <v>#VALUE!</v>
      </c>
      <c r="BI82" t="e">
        <v>#VALUE!</v>
      </c>
      <c r="BJ82" t="e">
        <v>#VALUE!</v>
      </c>
      <c r="BK82" t="e">
        <v>#VALUE!</v>
      </c>
      <c r="BL82" t="e">
        <v>#VALUE!</v>
      </c>
      <c r="BM82" t="e">
        <v>#VALUE!</v>
      </c>
      <c r="BN82" t="e">
        <v>#VALUE!</v>
      </c>
      <c r="BO82" t="e">
        <v>#VALUE!</v>
      </c>
      <c r="BP82" t="e">
        <v>#VALUE!</v>
      </c>
      <c r="BQ82" t="e">
        <v>#VALUE!</v>
      </c>
      <c r="BR82" t="e">
        <v>#VALUE!</v>
      </c>
      <c r="BS82" t="e">
        <v>#VALUE!</v>
      </c>
      <c r="BT82" t="e">
        <v>#VALUE!</v>
      </c>
      <c r="BU82" t="e">
        <v>#VALUE!</v>
      </c>
      <c r="BV82" t="e">
        <v>#VALUE!</v>
      </c>
      <c r="BW82" t="e">
        <v>#VALUE!</v>
      </c>
      <c r="BX82" t="e">
        <v>#VALUE!</v>
      </c>
      <c r="BY82" t="e">
        <v>#VALUE!</v>
      </c>
      <c r="BZ82">
        <v>0</v>
      </c>
      <c r="CA82" t="e">
        <v>#VALUE!</v>
      </c>
      <c r="CB82" t="e">
        <v>#VALUE!</v>
      </c>
      <c r="CC82" t="e">
        <v>#VALUE!</v>
      </c>
      <c r="CD82" t="e">
        <v>#VALUE!</v>
      </c>
      <c r="CE82" t="e">
        <v>#VALUE!</v>
      </c>
      <c r="CF82" t="e">
        <v>#VALUE!</v>
      </c>
      <c r="CG82" t="e">
        <v>#VALUE!</v>
      </c>
      <c r="CH82" t="e">
        <v>#VALUE!</v>
      </c>
      <c r="CI82" t="e">
        <v>#VALUE!</v>
      </c>
      <c r="CJ82" t="e">
        <v>#VALUE!</v>
      </c>
      <c r="CK82" t="e">
        <v>#VALUE!</v>
      </c>
      <c r="CL82" t="e">
        <v>#VALUE!</v>
      </c>
      <c r="CM82" t="e">
        <v>#VALUE!</v>
      </c>
      <c r="CN82" t="e">
        <v>#VALUE!</v>
      </c>
      <c r="CO82" t="e">
        <v>#VALUE!</v>
      </c>
      <c r="CP82" t="e">
        <v>#VALUE!</v>
      </c>
      <c r="CQ82" t="e">
        <v>#VALUE!</v>
      </c>
      <c r="CR82" t="e">
        <v>#VALUE!</v>
      </c>
      <c r="CS82">
        <v>0</v>
      </c>
      <c r="CT82" t="e">
        <v>#VALUE!</v>
      </c>
      <c r="CU82" t="e">
        <v>#VALUE!</v>
      </c>
      <c r="CV82" t="e">
        <v>#VALUE!</v>
      </c>
      <c r="CW82" t="e">
        <v>#VALUE!</v>
      </c>
      <c r="CX82" t="e">
        <v>#VALUE!</v>
      </c>
      <c r="CY82" t="e">
        <v>#VALUE!</v>
      </c>
      <c r="CZ82" t="e">
        <v>#VALUE!</v>
      </c>
      <c r="DA82" t="e">
        <v>#VALUE!</v>
      </c>
      <c r="DB82" t="e">
        <v>#VALUE!</v>
      </c>
      <c r="DC82" t="e">
        <v>#VALUE!</v>
      </c>
      <c r="DD82" t="e">
        <v>#VALUE!</v>
      </c>
      <c r="DE82" t="e">
        <v>#VALUE!</v>
      </c>
      <c r="DF82" t="e">
        <v>#VALUE!</v>
      </c>
      <c r="DG82" t="e">
        <v>#VALUE!</v>
      </c>
      <c r="DH82" t="e">
        <v>#VALUE!</v>
      </c>
      <c r="DI82" t="e">
        <v>#VALUE!</v>
      </c>
      <c r="DJ82" t="e">
        <v>#VALUE!</v>
      </c>
      <c r="DK82" t="e">
        <v>#VALUE!</v>
      </c>
      <c r="DL82">
        <v>0</v>
      </c>
      <c r="DM82" t="e">
        <v>#VALUE!</v>
      </c>
      <c r="DN82" t="e">
        <v>#VALUE!</v>
      </c>
      <c r="DO82" t="e">
        <v>#VALUE!</v>
      </c>
      <c r="DP82" t="e">
        <v>#VALUE!</v>
      </c>
      <c r="DQ82" t="e">
        <v>#VALUE!</v>
      </c>
      <c r="DR82" t="e">
        <v>#VALUE!</v>
      </c>
      <c r="DS82" t="e">
        <v>#VALUE!</v>
      </c>
      <c r="DT82" t="e">
        <v>#VALUE!</v>
      </c>
      <c r="DU82" t="e">
        <v>#VALUE!</v>
      </c>
      <c r="DV82" t="e">
        <v>#VALUE!</v>
      </c>
      <c r="DW82" t="e">
        <v>#VALUE!</v>
      </c>
      <c r="DX82" t="e">
        <v>#VALUE!</v>
      </c>
      <c r="DY82" t="e">
        <v>#VALUE!</v>
      </c>
      <c r="DZ82" t="e">
        <v>#VALUE!</v>
      </c>
      <c r="EA82" t="e">
        <v>#VALUE!</v>
      </c>
      <c r="EB82" t="e">
        <v>#VALUE!</v>
      </c>
      <c r="EC82" t="e">
        <v>#VALUE!</v>
      </c>
      <c r="ED82" t="e">
        <v>#VALUE!</v>
      </c>
      <c r="EE82">
        <v>0</v>
      </c>
      <c r="EF82" t="e">
        <v>#VALUE!</v>
      </c>
      <c r="EG82" t="e">
        <v>#VALUE!</v>
      </c>
      <c r="EH82" t="e">
        <v>#VALUE!</v>
      </c>
      <c r="EI82" t="e">
        <v>#VALUE!</v>
      </c>
      <c r="EJ82" t="e">
        <v>#VALUE!</v>
      </c>
      <c r="EK82" t="e">
        <v>#VALUE!</v>
      </c>
      <c r="EL82" t="e">
        <v>#VALUE!</v>
      </c>
      <c r="EM82" t="e">
        <v>#VALUE!</v>
      </c>
      <c r="EN82" t="e">
        <v>#VALUE!</v>
      </c>
      <c r="EO82" t="e">
        <v>#VALUE!</v>
      </c>
      <c r="EP82" t="e">
        <v>#VALUE!</v>
      </c>
      <c r="EQ82" t="e">
        <v>#VALUE!</v>
      </c>
      <c r="ER82" t="e">
        <v>#VALUE!</v>
      </c>
      <c r="ES82" t="e">
        <v>#VALUE!</v>
      </c>
      <c r="ET82" t="e">
        <v>#VALUE!</v>
      </c>
      <c r="EU82" t="e">
        <v>#VALUE!</v>
      </c>
      <c r="EV82" t="e">
        <v>#VALUE!</v>
      </c>
      <c r="EW82" t="e">
        <v>#VALUE!</v>
      </c>
      <c r="EX82">
        <v>0</v>
      </c>
      <c r="EY82" t="e">
        <v>#VALUE!</v>
      </c>
      <c r="EZ82" t="e">
        <v>#VALUE!</v>
      </c>
      <c r="FA82" t="e">
        <v>#VALUE!</v>
      </c>
      <c r="FB82" t="e">
        <v>#VALUE!</v>
      </c>
      <c r="FC82" t="e">
        <v>#VALUE!</v>
      </c>
      <c r="FD82" t="e">
        <v>#VALUE!</v>
      </c>
      <c r="FE82" t="e">
        <v>#VALUE!</v>
      </c>
      <c r="FF82" t="e">
        <v>#VALUE!</v>
      </c>
      <c r="FG82" t="e">
        <v>#VALUE!</v>
      </c>
      <c r="FH82" t="e">
        <v>#VALUE!</v>
      </c>
      <c r="FI82" t="e">
        <v>#VALUE!</v>
      </c>
      <c r="FJ82" t="e">
        <v>#VALUE!</v>
      </c>
      <c r="FK82" t="e">
        <v>#VALUE!</v>
      </c>
      <c r="FL82" t="e">
        <v>#VALUE!</v>
      </c>
      <c r="FM82" t="e">
        <v>#VALUE!</v>
      </c>
      <c r="FN82" t="e">
        <v>#VALUE!</v>
      </c>
      <c r="FO82" t="e">
        <v>#VALUE!</v>
      </c>
      <c r="FP82" t="e">
        <v>#VALUE!</v>
      </c>
      <c r="FQ82">
        <v>0</v>
      </c>
      <c r="FR82" t="e">
        <v>#VALUE!</v>
      </c>
      <c r="FS82" t="e">
        <v>#VALUE!</v>
      </c>
      <c r="FT82" t="e">
        <v>#VALUE!</v>
      </c>
      <c r="FU82" t="e">
        <v>#VALUE!</v>
      </c>
      <c r="FV82" t="e">
        <v>#VALUE!</v>
      </c>
      <c r="FW82" t="e">
        <v>#VALUE!</v>
      </c>
      <c r="FX82" t="e">
        <v>#VALUE!</v>
      </c>
      <c r="FY82" t="e">
        <v>#VALUE!</v>
      </c>
      <c r="FZ82" t="e">
        <v>#VALUE!</v>
      </c>
      <c r="GA82" t="e">
        <v>#VALUE!</v>
      </c>
      <c r="GB82" t="e">
        <v>#VALUE!</v>
      </c>
      <c r="GC82" t="e">
        <v>#VALUE!</v>
      </c>
      <c r="GD82" t="e">
        <v>#VALUE!</v>
      </c>
      <c r="GE82" t="e">
        <v>#VALUE!</v>
      </c>
      <c r="GF82" t="e">
        <v>#VALUE!</v>
      </c>
      <c r="GG82" t="e">
        <v>#VALUE!</v>
      </c>
      <c r="GH82" t="e">
        <v>#VALUE!</v>
      </c>
      <c r="GI82" t="e">
        <v>#VALUE!</v>
      </c>
      <c r="GJ82">
        <v>0</v>
      </c>
      <c r="GK82" t="e">
        <v>#VALUE!</v>
      </c>
      <c r="GL82" t="e">
        <v>#VALUE!</v>
      </c>
      <c r="GM82" t="e">
        <v>#VALUE!</v>
      </c>
      <c r="GN82" t="e">
        <v>#VALUE!</v>
      </c>
      <c r="GO82" t="e">
        <v>#VALUE!</v>
      </c>
      <c r="GP82" t="e">
        <v>#VALUE!</v>
      </c>
      <c r="GQ82" t="e">
        <v>#VALUE!</v>
      </c>
      <c r="GR82" t="e">
        <v>#VALUE!</v>
      </c>
      <c r="GS82" t="e">
        <v>#VALUE!</v>
      </c>
      <c r="GT82" t="e">
        <v>#VALUE!</v>
      </c>
      <c r="GU82" t="e">
        <v>#VALUE!</v>
      </c>
      <c r="GV82" t="e">
        <v>#VALUE!</v>
      </c>
      <c r="GW82" t="e">
        <v>#VALUE!</v>
      </c>
      <c r="GX82" t="e">
        <v>#VALUE!</v>
      </c>
      <c r="GY82" t="e">
        <v>#VALUE!</v>
      </c>
      <c r="GZ82" t="e">
        <v>#VALUE!</v>
      </c>
      <c r="HA82" t="e">
        <v>#VALUE!</v>
      </c>
      <c r="HB82" t="e">
        <v>#VALUE!</v>
      </c>
      <c r="HC82">
        <v>0</v>
      </c>
      <c r="HD82" t="e">
        <v>#VALUE!</v>
      </c>
      <c r="HE82" t="e">
        <v>#VALUE!</v>
      </c>
      <c r="HF82" t="e">
        <v>#VALUE!</v>
      </c>
      <c r="HG82" t="e">
        <v>#VALUE!</v>
      </c>
      <c r="HH82" t="e">
        <v>#VALUE!</v>
      </c>
      <c r="HI82" t="e">
        <v>#VALUE!</v>
      </c>
      <c r="HJ82" t="e">
        <v>#VALUE!</v>
      </c>
      <c r="HK82" t="e">
        <v>#VALUE!</v>
      </c>
      <c r="HL82" t="e">
        <v>#VALUE!</v>
      </c>
      <c r="HM82" t="e">
        <v>#VALUE!</v>
      </c>
      <c r="HN82" t="e">
        <v>#VALUE!</v>
      </c>
      <c r="HO82" t="e">
        <v>#VALUE!</v>
      </c>
      <c r="HP82" t="e">
        <v>#VALUE!</v>
      </c>
      <c r="HQ82" t="e">
        <v>#VALUE!</v>
      </c>
      <c r="HR82" t="e">
        <v>#VALUE!</v>
      </c>
      <c r="HS82" t="e">
        <v>#VALUE!</v>
      </c>
      <c r="HT82" t="e">
        <v>#VALUE!</v>
      </c>
      <c r="HU82" t="e">
        <v>#VALUE!</v>
      </c>
      <c r="HV82">
        <v>0</v>
      </c>
      <c r="HW82" t="e">
        <v>#VALUE!</v>
      </c>
      <c r="HX82" t="e">
        <v>#VALUE!</v>
      </c>
      <c r="HY82" t="e">
        <v>#VALUE!</v>
      </c>
      <c r="HZ82" t="e">
        <v>#VALUE!</v>
      </c>
      <c r="IA82" t="e">
        <v>#VALUE!</v>
      </c>
      <c r="IB82" t="e">
        <v>#VALUE!</v>
      </c>
      <c r="IC82" t="e">
        <v>#VALUE!</v>
      </c>
      <c r="ID82" t="e">
        <v>#VALUE!</v>
      </c>
      <c r="IE82" t="e">
        <v>#VALUE!</v>
      </c>
      <c r="IF82" t="e">
        <v>#VALUE!</v>
      </c>
      <c r="IG82" t="e">
        <v>#VALUE!</v>
      </c>
      <c r="IH82" t="e">
        <v>#VALUE!</v>
      </c>
      <c r="II82" t="e">
        <v>#VALUE!</v>
      </c>
      <c r="IJ82" t="e">
        <v>#VALUE!</v>
      </c>
      <c r="IK82" t="e">
        <v>#VALUE!</v>
      </c>
      <c r="IL82" t="e">
        <v>#VALUE!</v>
      </c>
      <c r="IM82" t="e">
        <v>#VALUE!</v>
      </c>
      <c r="IN82" t="e">
        <v>#VALUE!</v>
      </c>
      <c r="IO82">
        <v>0</v>
      </c>
      <c r="IP82" t="e">
        <v>#VALUE!</v>
      </c>
      <c r="IQ82" t="e">
        <v>#VALUE!</v>
      </c>
      <c r="IR82" t="e">
        <v>#VALUE!</v>
      </c>
      <c r="IS82" t="e">
        <v>#VALUE!</v>
      </c>
      <c r="IT82" t="e">
        <v>#VALUE!</v>
      </c>
      <c r="IU82" t="e">
        <v>#VALUE!</v>
      </c>
      <c r="IV82" t="e">
        <v>#VALUE!</v>
      </c>
    </row>
    <row r="83" spans="1:256" x14ac:dyDescent="0.25">
      <c r="A83" t="e">
        <v>#VALUE!</v>
      </c>
      <c r="B83" t="e">
        <v>#VALUE!</v>
      </c>
      <c r="C83" t="e">
        <v>#VALUE!</v>
      </c>
      <c r="D83" t="e">
        <v>#VALUE!</v>
      </c>
      <c r="E83" t="e">
        <v>#VALUE!</v>
      </c>
      <c r="F83" t="e">
        <v>#VALUE!</v>
      </c>
      <c r="G83" t="e">
        <v>#VALUE!</v>
      </c>
      <c r="H83" t="e">
        <v>#VALUE!</v>
      </c>
      <c r="I83" t="e">
        <v>#VALUE!</v>
      </c>
      <c r="J83" t="e">
        <v>#VALUE!</v>
      </c>
      <c r="K83" t="e">
        <v>#VALUE!</v>
      </c>
      <c r="L83">
        <v>0</v>
      </c>
      <c r="M83" t="e">
        <v>#VALUE!</v>
      </c>
      <c r="N83" t="e">
        <v>#VALUE!</v>
      </c>
      <c r="O83" t="e">
        <v>#VALUE!</v>
      </c>
      <c r="P83" t="e">
        <v>#VALUE!</v>
      </c>
      <c r="Q83" t="e">
        <v>#VALUE!</v>
      </c>
      <c r="R83" t="e">
        <v>#VALUE!</v>
      </c>
      <c r="S83" t="e">
        <v>#VALUE!</v>
      </c>
      <c r="T83" t="e">
        <v>#VALUE!</v>
      </c>
      <c r="U83" t="e">
        <v>#VALUE!</v>
      </c>
      <c r="V83" t="e">
        <v>#VALUE!</v>
      </c>
      <c r="W83" t="e">
        <v>#VALUE!</v>
      </c>
      <c r="X83" t="e">
        <v>#VALUE!</v>
      </c>
      <c r="Y83" t="e">
        <v>#VALUE!</v>
      </c>
      <c r="Z83" t="e">
        <v>#VALUE!</v>
      </c>
      <c r="AA83" t="e">
        <v>#VALUE!</v>
      </c>
      <c r="AB83" t="e">
        <v>#VALUE!</v>
      </c>
      <c r="AC83" t="e">
        <v>#VALUE!</v>
      </c>
      <c r="AD83" t="e">
        <v>#VALUE!</v>
      </c>
      <c r="AE83">
        <v>0</v>
      </c>
      <c r="AF83" t="e">
        <v>#VALUE!</v>
      </c>
      <c r="AG83" t="e">
        <v>#VALUE!</v>
      </c>
      <c r="AH83" t="e">
        <v>#VALUE!</v>
      </c>
      <c r="AI83" t="e">
        <v>#VALUE!</v>
      </c>
      <c r="AJ83" t="e">
        <v>#VALUE!</v>
      </c>
      <c r="AK83" t="e">
        <v>#VALUE!</v>
      </c>
      <c r="AL83" t="e">
        <v>#VALUE!</v>
      </c>
      <c r="AM83" t="e">
        <v>#VALUE!</v>
      </c>
      <c r="AN83" t="e">
        <v>#VALUE!</v>
      </c>
      <c r="AO83" t="e">
        <v>#VALUE!</v>
      </c>
      <c r="AP83" t="e">
        <v>#VALUE!</v>
      </c>
      <c r="AQ83" t="e">
        <v>#VALUE!</v>
      </c>
      <c r="AR83" t="e">
        <v>#VALUE!</v>
      </c>
      <c r="AS83" t="e">
        <v>#VALUE!</v>
      </c>
      <c r="AT83" t="e">
        <v>#VALUE!</v>
      </c>
      <c r="AU83" t="e">
        <v>#VALUE!</v>
      </c>
      <c r="AV83" t="e">
        <v>#VALUE!</v>
      </c>
      <c r="AW83" t="e">
        <v>#VALUE!</v>
      </c>
      <c r="AX83">
        <v>0</v>
      </c>
      <c r="AY83" t="e">
        <v>#VALUE!</v>
      </c>
      <c r="AZ83" t="e">
        <v>#VALUE!</v>
      </c>
      <c r="BA83" t="e">
        <v>#VALUE!</v>
      </c>
      <c r="BB83" t="e">
        <v>#VALUE!</v>
      </c>
      <c r="BC83" t="e">
        <v>#VALUE!</v>
      </c>
      <c r="BD83" t="e">
        <v>#VALUE!</v>
      </c>
      <c r="BE83" t="e">
        <v>#VALUE!</v>
      </c>
      <c r="BF83" t="e">
        <v>#VALUE!</v>
      </c>
      <c r="BG83" t="e">
        <v>#VALUE!</v>
      </c>
      <c r="BH83" t="e">
        <v>#VALUE!</v>
      </c>
      <c r="BI83" t="e">
        <v>#VALUE!</v>
      </c>
      <c r="BJ83" t="e">
        <v>#VALUE!</v>
      </c>
      <c r="BK83" t="e">
        <v>#VALUE!</v>
      </c>
      <c r="BL83" t="e">
        <v>#VALUE!</v>
      </c>
      <c r="BM83" t="e">
        <v>#VALUE!</v>
      </c>
      <c r="BN83" t="e">
        <v>#VALUE!</v>
      </c>
      <c r="BO83" t="e">
        <v>#VALUE!</v>
      </c>
      <c r="BP83" t="e">
        <v>#VALUE!</v>
      </c>
      <c r="BQ83">
        <v>0</v>
      </c>
      <c r="BR83" t="e">
        <v>#VALUE!</v>
      </c>
      <c r="BS83" t="e">
        <v>#VALUE!</v>
      </c>
      <c r="BT83" t="e">
        <v>#VALUE!</v>
      </c>
      <c r="BU83" t="e">
        <v>#VALUE!</v>
      </c>
      <c r="BV83" t="e">
        <v>#VALUE!</v>
      </c>
      <c r="BW83" t="e">
        <v>#VALUE!</v>
      </c>
      <c r="BX83" t="e">
        <v>#VALUE!</v>
      </c>
      <c r="BY83" t="e">
        <v>#VALUE!</v>
      </c>
      <c r="BZ83" t="e">
        <v>#VALUE!</v>
      </c>
      <c r="CA83" t="e">
        <v>#VALUE!</v>
      </c>
      <c r="CB83" t="e">
        <v>#VALUE!</v>
      </c>
      <c r="CC83" t="e">
        <v>#VALUE!</v>
      </c>
      <c r="CD83" t="e">
        <v>#VALUE!</v>
      </c>
      <c r="CE83" t="e">
        <v>#VALUE!</v>
      </c>
      <c r="CF83" t="e">
        <v>#VALUE!</v>
      </c>
      <c r="CG83" t="e">
        <v>#VALUE!</v>
      </c>
      <c r="CH83" t="e">
        <v>#VALUE!</v>
      </c>
      <c r="CI83" t="e">
        <v>#VALUE!</v>
      </c>
      <c r="CJ83">
        <v>0</v>
      </c>
      <c r="CK83" t="e">
        <v>#VALUE!</v>
      </c>
      <c r="CL83" t="e">
        <v>#VALUE!</v>
      </c>
      <c r="CM83" t="e">
        <v>#VALUE!</v>
      </c>
      <c r="CN83" t="e">
        <v>#VALUE!</v>
      </c>
      <c r="CO83" t="e">
        <v>#VALUE!</v>
      </c>
      <c r="CP83" t="e">
        <v>#VALUE!</v>
      </c>
      <c r="CQ83" t="e">
        <v>#VALUE!</v>
      </c>
      <c r="CR83" t="e">
        <v>#VALUE!</v>
      </c>
      <c r="CS83" t="e">
        <v>#VALUE!</v>
      </c>
      <c r="CT83" t="e">
        <v>#VALUE!</v>
      </c>
      <c r="CU83" t="e">
        <v>#VALUE!</v>
      </c>
      <c r="CV83" t="e">
        <v>#VALUE!</v>
      </c>
      <c r="CW83" t="e">
        <v>#VALUE!</v>
      </c>
      <c r="CX83" t="e">
        <v>#VALUE!</v>
      </c>
      <c r="CY83" t="e">
        <v>#VALUE!</v>
      </c>
      <c r="CZ83" t="e">
        <v>#VALUE!</v>
      </c>
      <c r="DA83" t="e">
        <v>#VALUE!</v>
      </c>
      <c r="DB83" t="e">
        <v>#VALUE!</v>
      </c>
      <c r="DC83">
        <v>0</v>
      </c>
      <c r="DD83" t="e">
        <v>#VALUE!</v>
      </c>
      <c r="DE83" t="e">
        <v>#VALUE!</v>
      </c>
      <c r="DF83" t="e">
        <v>#VALUE!</v>
      </c>
      <c r="DG83" t="e">
        <v>#VALUE!</v>
      </c>
      <c r="DH83" t="e">
        <v>#VALUE!</v>
      </c>
      <c r="DI83" t="e">
        <v>#VALUE!</v>
      </c>
      <c r="DJ83" t="e">
        <v>#VALUE!</v>
      </c>
      <c r="DK83" t="e">
        <v>#VALUE!</v>
      </c>
      <c r="DL83" t="e">
        <v>#VALUE!</v>
      </c>
      <c r="DM83" t="e">
        <v>#VALUE!</v>
      </c>
      <c r="DN83" t="e">
        <v>#VALUE!</v>
      </c>
      <c r="DO83" t="e">
        <v>#VALUE!</v>
      </c>
      <c r="DP83" t="e">
        <v>#VALUE!</v>
      </c>
      <c r="DQ83" t="e">
        <v>#VALUE!</v>
      </c>
      <c r="DR83" t="e">
        <v>#VALUE!</v>
      </c>
      <c r="DS83" t="e">
        <v>#VALUE!</v>
      </c>
      <c r="DT83" t="e">
        <v>#VALUE!</v>
      </c>
      <c r="DU83" t="e">
        <v>#VALUE!</v>
      </c>
      <c r="DV83">
        <v>0</v>
      </c>
      <c r="DW83" t="e">
        <v>#VALUE!</v>
      </c>
      <c r="DX83" t="e">
        <v>#VALUE!</v>
      </c>
      <c r="DY83" t="e">
        <v>#VALUE!</v>
      </c>
      <c r="DZ83" t="e">
        <v>#VALUE!</v>
      </c>
      <c r="EA83" t="e">
        <v>#VALUE!</v>
      </c>
      <c r="EB83" t="e">
        <v>#VALUE!</v>
      </c>
      <c r="EC83" t="e">
        <v>#VALUE!</v>
      </c>
      <c r="ED83" t="e">
        <v>#VALUE!</v>
      </c>
      <c r="EE83" t="e">
        <v>#VALUE!</v>
      </c>
      <c r="EF83" t="e">
        <v>#VALUE!</v>
      </c>
      <c r="EG83" t="e">
        <v>#VALUE!</v>
      </c>
      <c r="EH83" t="e">
        <v>#VALUE!</v>
      </c>
      <c r="EI83" t="e">
        <v>#VALUE!</v>
      </c>
      <c r="EJ83" t="e">
        <v>#VALUE!</v>
      </c>
      <c r="EK83" t="e">
        <v>#VALUE!</v>
      </c>
      <c r="EL83" t="e">
        <v>#VALUE!</v>
      </c>
      <c r="EM83" t="e">
        <v>#VALUE!</v>
      </c>
      <c r="EN83" t="e">
        <v>#VALUE!</v>
      </c>
      <c r="EO83">
        <v>0</v>
      </c>
      <c r="EP83" t="e">
        <v>#VALUE!</v>
      </c>
      <c r="EQ83" t="e">
        <v>#VALUE!</v>
      </c>
      <c r="ER83" t="e">
        <v>#VALUE!</v>
      </c>
      <c r="ES83" t="e">
        <v>#VALUE!</v>
      </c>
      <c r="ET83" t="e">
        <v>#VALUE!</v>
      </c>
      <c r="EU83" t="e">
        <v>#VALUE!</v>
      </c>
      <c r="EV83" t="e">
        <v>#VALUE!</v>
      </c>
      <c r="EW83" t="e">
        <v>#VALUE!</v>
      </c>
      <c r="EX83" t="e">
        <v>#VALUE!</v>
      </c>
      <c r="EY83" t="e">
        <v>#VALUE!</v>
      </c>
      <c r="EZ83" t="e">
        <v>#VALUE!</v>
      </c>
      <c r="FA83" t="e">
        <v>#VALUE!</v>
      </c>
      <c r="FB83" t="e">
        <v>#VALUE!</v>
      </c>
      <c r="FC83" t="e">
        <v>#VALUE!</v>
      </c>
      <c r="FD83" t="e">
        <v>#VALUE!</v>
      </c>
      <c r="FE83" t="e">
        <v>#VALUE!</v>
      </c>
      <c r="FF83" t="e">
        <v>#VALUE!</v>
      </c>
      <c r="FG83" t="e">
        <v>#VALUE!</v>
      </c>
      <c r="FH83">
        <v>0</v>
      </c>
      <c r="FI83" t="e">
        <v>#VALUE!</v>
      </c>
      <c r="FJ83" t="e">
        <v>#VALUE!</v>
      </c>
      <c r="FK83" t="e">
        <v>#VALUE!</v>
      </c>
      <c r="FL83" t="e">
        <v>#VALUE!</v>
      </c>
      <c r="FM83" t="e">
        <v>#VALUE!</v>
      </c>
      <c r="FN83" t="e">
        <v>#VALUE!</v>
      </c>
      <c r="FO83" t="e">
        <v>#VALUE!</v>
      </c>
      <c r="FP83" t="e">
        <v>#VALUE!</v>
      </c>
      <c r="FQ83" t="e">
        <v>#VALUE!</v>
      </c>
      <c r="FR83" t="e">
        <v>#VALUE!</v>
      </c>
      <c r="FS83" t="e">
        <v>#VALUE!</v>
      </c>
      <c r="FT83" t="e">
        <v>#VALUE!</v>
      </c>
      <c r="FU83" t="e">
        <v>#VALUE!</v>
      </c>
      <c r="FV83" t="e">
        <v>#VALUE!</v>
      </c>
      <c r="FW83" t="e">
        <v>#VALUE!</v>
      </c>
      <c r="FX83" t="e">
        <v>#VALUE!</v>
      </c>
      <c r="FY83" t="e">
        <v>#VALUE!</v>
      </c>
      <c r="FZ83" t="e">
        <v>#VALUE!</v>
      </c>
      <c r="GA83">
        <v>0</v>
      </c>
      <c r="GB83" t="e">
        <v>#VALUE!</v>
      </c>
      <c r="GC83" t="e">
        <v>#VALUE!</v>
      </c>
      <c r="GD83" t="e">
        <v>#VALUE!</v>
      </c>
      <c r="GE83" t="e">
        <v>#VALUE!</v>
      </c>
      <c r="GF83" t="e">
        <v>#VALUE!</v>
      </c>
      <c r="GG83" t="e">
        <v>#VALUE!</v>
      </c>
      <c r="GH83" t="e">
        <v>#VALUE!</v>
      </c>
      <c r="GI83" t="e">
        <v>#VALUE!</v>
      </c>
      <c r="GJ83" t="e">
        <v>#VALUE!</v>
      </c>
      <c r="GK83" t="e">
        <v>#VALUE!</v>
      </c>
      <c r="GL83" t="e">
        <v>#VALUE!</v>
      </c>
      <c r="GM83" t="e">
        <v>#VALUE!</v>
      </c>
      <c r="GN83" t="e">
        <v>#VALUE!</v>
      </c>
      <c r="GO83" t="e">
        <v>#VALUE!</v>
      </c>
      <c r="GP83" t="e">
        <v>#VALUE!</v>
      </c>
      <c r="GQ83" t="e">
        <v>#VALUE!</v>
      </c>
      <c r="GR83" t="e">
        <v>#VALUE!</v>
      </c>
      <c r="GS83" t="e">
        <v>#VALUE!</v>
      </c>
      <c r="GT83">
        <v>0</v>
      </c>
      <c r="GU83" t="e">
        <v>#VALUE!</v>
      </c>
      <c r="GV83" t="e">
        <v>#VALUE!</v>
      </c>
      <c r="GW83" t="e">
        <v>#VALUE!</v>
      </c>
      <c r="GX83" t="e">
        <v>#VALUE!</v>
      </c>
      <c r="GY83" t="e">
        <v>#VALUE!</v>
      </c>
      <c r="GZ83" t="e">
        <v>#VALUE!</v>
      </c>
      <c r="HA83" t="e">
        <v>#VALUE!</v>
      </c>
      <c r="HB83" t="e">
        <v>#VALUE!</v>
      </c>
      <c r="HC83" t="e">
        <v>#VALUE!</v>
      </c>
      <c r="HD83" t="e">
        <v>#VALUE!</v>
      </c>
      <c r="HE83" t="e">
        <v>#VALUE!</v>
      </c>
      <c r="HF83" t="e">
        <v>#VALUE!</v>
      </c>
      <c r="HG83" t="e">
        <v>#VALUE!</v>
      </c>
      <c r="HH83" t="e">
        <v>#VALUE!</v>
      </c>
      <c r="HI83" t="e">
        <v>#VALUE!</v>
      </c>
      <c r="HJ83" t="e">
        <v>#VALUE!</v>
      </c>
      <c r="HK83" t="e">
        <v>#VALUE!</v>
      </c>
      <c r="HL83" t="e">
        <v>#VALUE!</v>
      </c>
      <c r="HM83">
        <v>0</v>
      </c>
      <c r="HN83" t="e">
        <v>#VALUE!</v>
      </c>
      <c r="HO83" t="e">
        <v>#VALUE!</v>
      </c>
      <c r="HP83" t="e">
        <v>#VALUE!</v>
      </c>
      <c r="HQ83" t="e">
        <v>#VALUE!</v>
      </c>
      <c r="HR83" t="e">
        <v>#VALUE!</v>
      </c>
      <c r="HS83" t="e">
        <v>#VALUE!</v>
      </c>
      <c r="HT83" t="e">
        <v>#VALUE!</v>
      </c>
      <c r="HU83" t="e">
        <v>#VALUE!</v>
      </c>
      <c r="HV83" t="e">
        <v>#VALUE!</v>
      </c>
      <c r="HW83" t="e">
        <v>#VALUE!</v>
      </c>
      <c r="HX83" t="e">
        <v>#VALUE!</v>
      </c>
      <c r="HY83" t="e">
        <v>#VALUE!</v>
      </c>
      <c r="HZ83" t="e">
        <v>#VALUE!</v>
      </c>
      <c r="IA83" t="e">
        <v>#VALUE!</v>
      </c>
      <c r="IB83" t="e">
        <v>#VALUE!</v>
      </c>
      <c r="IC83" t="e">
        <v>#VALUE!</v>
      </c>
      <c r="ID83" t="e">
        <v>#VALUE!</v>
      </c>
      <c r="IE83" t="e">
        <v>#VALUE!</v>
      </c>
      <c r="IF83">
        <v>0</v>
      </c>
      <c r="IG83" t="e">
        <v>#VALUE!</v>
      </c>
      <c r="IH83" t="e">
        <v>#VALUE!</v>
      </c>
      <c r="II83" t="e">
        <v>#VALUE!</v>
      </c>
      <c r="IJ83" t="e">
        <v>#VALUE!</v>
      </c>
      <c r="IK83" t="e">
        <v>#VALUE!</v>
      </c>
      <c r="IL83" t="e">
        <v>#VALUE!</v>
      </c>
      <c r="IM83" t="e">
        <v>#VALUE!</v>
      </c>
      <c r="IN83" t="e">
        <v>#VALUE!</v>
      </c>
      <c r="IO83" t="e">
        <v>#VALUE!</v>
      </c>
      <c r="IP83" t="e">
        <v>#VALUE!</v>
      </c>
      <c r="IQ83" t="e">
        <v>#VALUE!</v>
      </c>
      <c r="IR83" t="e">
        <v>#VALUE!</v>
      </c>
      <c r="IS83" t="e">
        <v>#VALUE!</v>
      </c>
      <c r="IT83" t="e">
        <v>#VALUE!</v>
      </c>
      <c r="IU83" t="e">
        <v>#VALUE!</v>
      </c>
      <c r="IV83" t="e">
        <v>#VALUE!</v>
      </c>
    </row>
    <row r="84" spans="1:256" x14ac:dyDescent="0.25">
      <c r="A84" t="e">
        <v>#VALUE!</v>
      </c>
      <c r="B84" t="e">
        <v>#VALUE!</v>
      </c>
      <c r="C84">
        <v>0</v>
      </c>
      <c r="D84" t="e">
        <v>#VALUE!</v>
      </c>
      <c r="E84" t="e">
        <v>#VALUE!</v>
      </c>
      <c r="F84" t="e">
        <v>#VALUE!</v>
      </c>
      <c r="G84" t="e">
        <v>#VALUE!</v>
      </c>
      <c r="H84" t="e">
        <v>#VALUE!</v>
      </c>
      <c r="I84" t="e">
        <v>#VALUE!</v>
      </c>
      <c r="J84" t="e">
        <v>#VALUE!</v>
      </c>
      <c r="K84" t="e">
        <v>#VALUE!</v>
      </c>
      <c r="L84" t="e">
        <v>#VALUE!</v>
      </c>
      <c r="M84" t="e">
        <v>#VALUE!</v>
      </c>
      <c r="N84" t="e">
        <v>#VALUE!</v>
      </c>
      <c r="O84" t="e">
        <v>#VALUE!</v>
      </c>
      <c r="P84" t="e">
        <v>#VALUE!</v>
      </c>
      <c r="Q84" t="e">
        <v>#VALUE!</v>
      </c>
      <c r="R84" t="e">
        <v>#VALUE!</v>
      </c>
      <c r="S84" t="e">
        <v>#VALUE!</v>
      </c>
      <c r="T84" t="e">
        <v>#VALUE!</v>
      </c>
      <c r="U84" t="e">
        <v>#VALUE!</v>
      </c>
      <c r="V84">
        <v>0</v>
      </c>
      <c r="W84" t="e">
        <v>#VALUE!</v>
      </c>
      <c r="X84" t="e">
        <v>#VALUE!</v>
      </c>
      <c r="Y84" t="e">
        <v>#VALUE!</v>
      </c>
      <c r="Z84" t="e">
        <v>#VALUE!</v>
      </c>
      <c r="AA84" t="e">
        <v>#VALUE!</v>
      </c>
      <c r="AB84" t="e">
        <v>#VALUE!</v>
      </c>
      <c r="AC84" t="e">
        <v>#VALUE!</v>
      </c>
      <c r="AD84" t="e">
        <v>#VALUE!</v>
      </c>
      <c r="AE84" t="e">
        <v>#VALUE!</v>
      </c>
      <c r="AF84" t="e">
        <v>#VALUE!</v>
      </c>
      <c r="AG84" t="e">
        <v>#VALUE!</v>
      </c>
      <c r="AH84" t="e">
        <v>#VALUE!</v>
      </c>
      <c r="AI84" t="e">
        <v>#VALUE!</v>
      </c>
      <c r="AJ84" t="e">
        <v>#VALUE!</v>
      </c>
      <c r="AK84" t="e">
        <v>#VALUE!</v>
      </c>
      <c r="AL84" t="e">
        <v>#VALUE!</v>
      </c>
      <c r="AM84" t="e">
        <v>#VALUE!</v>
      </c>
      <c r="AN84" t="e">
        <v>#VALUE!</v>
      </c>
      <c r="AO84">
        <v>0</v>
      </c>
      <c r="AP84" t="e">
        <v>#VALUE!</v>
      </c>
      <c r="AQ84" t="e">
        <v>#VALUE!</v>
      </c>
      <c r="AR84" t="e">
        <v>#VALUE!</v>
      </c>
      <c r="AS84" t="e">
        <v>#VALUE!</v>
      </c>
      <c r="AT84" t="e">
        <v>#VALUE!</v>
      </c>
      <c r="AU84" t="e">
        <v>#VALUE!</v>
      </c>
      <c r="AV84" t="e">
        <v>#VALUE!</v>
      </c>
      <c r="AW84" t="e">
        <v>#VALUE!</v>
      </c>
      <c r="AX84" t="e">
        <v>#VALUE!</v>
      </c>
      <c r="AY84" t="e">
        <v>#VALUE!</v>
      </c>
      <c r="AZ84" t="e">
        <v>#VALUE!</v>
      </c>
      <c r="BA84" t="e">
        <v>#VALUE!</v>
      </c>
      <c r="BB84" t="e">
        <v>#VALUE!</v>
      </c>
      <c r="BC84" t="e">
        <v>#VALUE!</v>
      </c>
      <c r="BD84" t="e">
        <v>#VALUE!</v>
      </c>
      <c r="BE84" t="e">
        <v>#VALUE!</v>
      </c>
      <c r="BF84" t="e">
        <v>#VALUE!</v>
      </c>
      <c r="BG84" t="e">
        <v>#VALUE!</v>
      </c>
      <c r="BH84">
        <v>0</v>
      </c>
      <c r="BI84" t="e">
        <v>#VALUE!</v>
      </c>
      <c r="BJ84" t="e">
        <v>#VALUE!</v>
      </c>
      <c r="BK84" t="e">
        <v>#VALUE!</v>
      </c>
      <c r="BL84" t="e">
        <v>#VALUE!</v>
      </c>
      <c r="BM84" t="e">
        <v>#VALUE!</v>
      </c>
      <c r="BN84" t="e">
        <v>#VALUE!</v>
      </c>
      <c r="BO84" t="e">
        <v>#VALUE!</v>
      </c>
      <c r="BP84" t="e">
        <v>#VALUE!</v>
      </c>
      <c r="BQ84" t="e">
        <v>#VALUE!</v>
      </c>
      <c r="BR84" t="e">
        <v>#VALUE!</v>
      </c>
      <c r="BS84" t="e">
        <v>#VALUE!</v>
      </c>
      <c r="BT84" t="e">
        <v>#VALUE!</v>
      </c>
      <c r="BU84" t="e">
        <v>#VALUE!</v>
      </c>
      <c r="BV84" t="e">
        <v>#VALUE!</v>
      </c>
      <c r="BW84" t="e">
        <v>#VALUE!</v>
      </c>
      <c r="BX84" t="e">
        <v>#VALUE!</v>
      </c>
      <c r="BY84" t="e">
        <v>#VALUE!</v>
      </c>
      <c r="BZ84" t="e">
        <v>#VALUE!</v>
      </c>
      <c r="CA84">
        <v>0</v>
      </c>
      <c r="CB84" t="e">
        <v>#VALUE!</v>
      </c>
      <c r="CC84" t="e">
        <v>#VALUE!</v>
      </c>
      <c r="CD84" t="e">
        <v>#VALUE!</v>
      </c>
      <c r="CE84" t="e">
        <v>#VALUE!</v>
      </c>
      <c r="CF84" t="e">
        <v>#VALUE!</v>
      </c>
      <c r="CG84" t="e">
        <v>#VALUE!</v>
      </c>
      <c r="CH84" t="e">
        <v>#VALUE!</v>
      </c>
      <c r="CI84" t="e">
        <v>#VALUE!</v>
      </c>
      <c r="CJ84" t="e">
        <v>#VALUE!</v>
      </c>
      <c r="CK84" t="e">
        <v>#VALUE!</v>
      </c>
      <c r="CL84" t="e">
        <v>#VALUE!</v>
      </c>
      <c r="CM84" t="e">
        <v>#VALUE!</v>
      </c>
      <c r="CN84" t="e">
        <v>#VALUE!</v>
      </c>
      <c r="CO84" t="e">
        <v>#VALUE!</v>
      </c>
      <c r="CP84" t="e">
        <v>#VALUE!</v>
      </c>
      <c r="CQ84" t="e">
        <v>#VALUE!</v>
      </c>
      <c r="CR84" t="e">
        <v>#VALUE!</v>
      </c>
      <c r="CS84" t="e">
        <v>#VALUE!</v>
      </c>
      <c r="CT84">
        <v>0</v>
      </c>
      <c r="CU84" t="e">
        <v>#VALUE!</v>
      </c>
      <c r="CV84" t="e">
        <v>#VALUE!</v>
      </c>
      <c r="CW84" t="e">
        <v>#VALUE!</v>
      </c>
      <c r="CX84" t="e">
        <v>#VALUE!</v>
      </c>
      <c r="CY84" t="e">
        <v>#VALUE!</v>
      </c>
      <c r="CZ84" t="e">
        <v>#VALUE!</v>
      </c>
      <c r="DA84" t="e">
        <v>#VALUE!</v>
      </c>
      <c r="DB84" t="e">
        <v>#VALUE!</v>
      </c>
      <c r="DC84" t="e">
        <v>#VALUE!</v>
      </c>
      <c r="DD84" t="e">
        <v>#VALUE!</v>
      </c>
      <c r="DE84" t="e">
        <v>#VALUE!</v>
      </c>
      <c r="DF84" t="e">
        <v>#VALUE!</v>
      </c>
      <c r="DG84" t="e">
        <v>#VALUE!</v>
      </c>
      <c r="DH84" t="e">
        <v>#VALUE!</v>
      </c>
      <c r="DI84" t="e">
        <v>#VALUE!</v>
      </c>
      <c r="DJ84" t="e">
        <v>#VALUE!</v>
      </c>
      <c r="DK84" t="e">
        <v>#VALUE!</v>
      </c>
      <c r="DL84" t="e">
        <v>#VALUE!</v>
      </c>
      <c r="DM84">
        <v>0</v>
      </c>
      <c r="DN84" t="e">
        <v>#VALUE!</v>
      </c>
      <c r="DO84" t="e">
        <v>#VALUE!</v>
      </c>
      <c r="DP84" t="e">
        <v>#VALUE!</v>
      </c>
      <c r="DQ84" t="e">
        <v>#VALUE!</v>
      </c>
      <c r="DR84" t="e">
        <v>#VALUE!</v>
      </c>
      <c r="DS84" t="e">
        <v>#VALUE!</v>
      </c>
      <c r="DT84" t="e">
        <v>#VALUE!</v>
      </c>
      <c r="DU84" t="e">
        <v>#VALUE!</v>
      </c>
      <c r="DV84" t="e">
        <v>#VALUE!</v>
      </c>
      <c r="DW84" t="e">
        <v>#VALUE!</v>
      </c>
      <c r="DX84" t="e">
        <v>#VALUE!</v>
      </c>
      <c r="DY84" t="e">
        <v>#VALUE!</v>
      </c>
      <c r="DZ84" t="e">
        <v>#VALUE!</v>
      </c>
      <c r="EA84" t="e">
        <v>#VALUE!</v>
      </c>
      <c r="EB84" t="e">
        <v>#VALUE!</v>
      </c>
      <c r="EC84" t="e">
        <v>#VALUE!</v>
      </c>
      <c r="ED84" t="e">
        <v>#VALUE!</v>
      </c>
      <c r="EE84" t="e">
        <v>#VALUE!</v>
      </c>
      <c r="EF84">
        <v>0</v>
      </c>
      <c r="EG84" t="e">
        <v>#VALUE!</v>
      </c>
      <c r="EH84" t="e">
        <v>#VALUE!</v>
      </c>
      <c r="EI84" t="e">
        <v>#VALUE!</v>
      </c>
      <c r="EJ84" t="e">
        <v>#VALUE!</v>
      </c>
      <c r="EK84" t="e">
        <v>#VALUE!</v>
      </c>
      <c r="EL84" t="e">
        <v>#VALUE!</v>
      </c>
      <c r="EM84" t="e">
        <v>#VALUE!</v>
      </c>
      <c r="EN84" t="e">
        <v>#VALUE!</v>
      </c>
      <c r="EO84" t="e">
        <v>#VALUE!</v>
      </c>
      <c r="EP84" t="e">
        <v>#VALUE!</v>
      </c>
      <c r="EQ84" t="e">
        <v>#VALUE!</v>
      </c>
      <c r="ER84" t="e">
        <v>#VALUE!</v>
      </c>
      <c r="ES84" t="e">
        <v>#VALUE!</v>
      </c>
      <c r="ET84" t="e">
        <v>#VALUE!</v>
      </c>
      <c r="EU84" t="e">
        <v>#VALUE!</v>
      </c>
      <c r="EV84" t="e">
        <v>#VALUE!</v>
      </c>
      <c r="EW84" t="e">
        <v>#VALUE!</v>
      </c>
      <c r="EX84" t="e">
        <v>#VALUE!</v>
      </c>
      <c r="EY84">
        <v>0</v>
      </c>
      <c r="EZ84" t="e">
        <v>#VALUE!</v>
      </c>
      <c r="FA84" t="e">
        <v>#VALUE!</v>
      </c>
      <c r="FB84" t="e">
        <v>#VALUE!</v>
      </c>
      <c r="FC84" t="e">
        <v>#VALUE!</v>
      </c>
      <c r="FD84" t="e">
        <v>#VALUE!</v>
      </c>
      <c r="FE84" t="e">
        <v>#VALUE!</v>
      </c>
      <c r="FF84" t="e">
        <v>#VALUE!</v>
      </c>
      <c r="FG84" t="e">
        <v>#VALUE!</v>
      </c>
      <c r="FH84" t="e">
        <v>#VALUE!</v>
      </c>
      <c r="FI84" t="e">
        <v>#VALUE!</v>
      </c>
      <c r="FJ84" t="e">
        <v>#VALUE!</v>
      </c>
      <c r="FK84" t="e">
        <v>#VALUE!</v>
      </c>
      <c r="FL84" t="e">
        <v>#VALUE!</v>
      </c>
      <c r="FM84" t="e">
        <v>#VALUE!</v>
      </c>
      <c r="FN84" t="e">
        <v>#VALUE!</v>
      </c>
      <c r="FO84" t="e">
        <v>#VALUE!</v>
      </c>
      <c r="FP84" t="e">
        <v>#VALUE!</v>
      </c>
      <c r="FQ84" t="e">
        <v>#VALUE!</v>
      </c>
      <c r="FR84">
        <v>0</v>
      </c>
      <c r="FS84" t="e">
        <v>#VALUE!</v>
      </c>
      <c r="FT84" t="e">
        <v>#VALUE!</v>
      </c>
      <c r="FU84" t="e">
        <v>#VALUE!</v>
      </c>
      <c r="FV84" t="e">
        <v>#VALUE!</v>
      </c>
      <c r="FW84" t="e">
        <v>#VALUE!</v>
      </c>
      <c r="FX84" t="e">
        <v>#VALUE!</v>
      </c>
      <c r="FY84" t="e">
        <v>#VALUE!</v>
      </c>
      <c r="FZ84" t="e">
        <v>#VALUE!</v>
      </c>
      <c r="GA84" t="e">
        <v>#VALUE!</v>
      </c>
      <c r="GB84" t="e">
        <v>#VALUE!</v>
      </c>
      <c r="GC84" t="e">
        <v>#VALUE!</v>
      </c>
      <c r="GD84" t="e">
        <v>#VALUE!</v>
      </c>
      <c r="GE84" t="e">
        <v>#VALUE!</v>
      </c>
      <c r="GF84" t="e">
        <v>#VALUE!</v>
      </c>
      <c r="GG84" t="e">
        <v>#VALUE!</v>
      </c>
      <c r="GH84" t="e">
        <v>#VALUE!</v>
      </c>
      <c r="GI84" t="e">
        <v>#VALUE!</v>
      </c>
      <c r="GJ84" t="e">
        <v>#VALUE!</v>
      </c>
      <c r="GK84">
        <v>0</v>
      </c>
      <c r="GL84" t="e">
        <v>#VALUE!</v>
      </c>
      <c r="GM84" t="e">
        <v>#VALUE!</v>
      </c>
      <c r="GN84" t="e">
        <v>#VALUE!</v>
      </c>
      <c r="GO84" t="e">
        <v>#VALUE!</v>
      </c>
      <c r="GP84" t="e">
        <v>#VALUE!</v>
      </c>
      <c r="GQ84" t="e">
        <v>#VALUE!</v>
      </c>
      <c r="GR84" t="e">
        <v>#VALUE!</v>
      </c>
      <c r="GS84" t="e">
        <v>#VALUE!</v>
      </c>
      <c r="GT84" t="e">
        <v>#VALUE!</v>
      </c>
      <c r="GU84" t="e">
        <v>#VALUE!</v>
      </c>
      <c r="GV84" t="e">
        <v>#VALUE!</v>
      </c>
      <c r="GW84" t="e">
        <v>#VALUE!</v>
      </c>
      <c r="GX84" t="e">
        <v>#VALUE!</v>
      </c>
      <c r="GY84" t="e">
        <v>#VALUE!</v>
      </c>
      <c r="GZ84" t="e">
        <v>#VALUE!</v>
      </c>
      <c r="HA84" t="e">
        <v>#VALUE!</v>
      </c>
      <c r="HB84" t="e">
        <v>#VALUE!</v>
      </c>
      <c r="HC84" t="e">
        <v>#VALUE!</v>
      </c>
      <c r="HD84">
        <v>0</v>
      </c>
      <c r="HE84" t="e">
        <v>#VALUE!</v>
      </c>
      <c r="HF84" t="e">
        <v>#VALUE!</v>
      </c>
      <c r="HG84" t="e">
        <v>#VALUE!</v>
      </c>
      <c r="HH84" t="e">
        <v>#VALUE!</v>
      </c>
      <c r="HI84" t="e">
        <v>#VALUE!</v>
      </c>
      <c r="HJ84" t="e">
        <v>#VALUE!</v>
      </c>
      <c r="HK84" t="e">
        <v>#VALUE!</v>
      </c>
      <c r="HL84" t="e">
        <v>#VALUE!</v>
      </c>
      <c r="HM84" t="e">
        <v>#VALUE!</v>
      </c>
      <c r="HN84" t="e">
        <v>#VALUE!</v>
      </c>
      <c r="HO84" t="e">
        <v>#VALUE!</v>
      </c>
      <c r="HP84" t="e">
        <v>#VALUE!</v>
      </c>
      <c r="HQ84" t="e">
        <v>#VALUE!</v>
      </c>
      <c r="HR84" t="e">
        <v>#VALUE!</v>
      </c>
      <c r="HS84" t="e">
        <v>#VALUE!</v>
      </c>
      <c r="HT84" t="e">
        <v>#VALUE!</v>
      </c>
      <c r="HU84" t="e">
        <v>#VALUE!</v>
      </c>
      <c r="HV84" t="e">
        <v>#VALUE!</v>
      </c>
      <c r="HW84">
        <v>0</v>
      </c>
      <c r="HX84" t="e">
        <v>#VALUE!</v>
      </c>
      <c r="HY84" t="e">
        <v>#VALUE!</v>
      </c>
      <c r="HZ84" t="e">
        <v>#VALUE!</v>
      </c>
      <c r="IA84" t="e">
        <v>#VALUE!</v>
      </c>
      <c r="IB84" t="e">
        <v>#VALUE!</v>
      </c>
      <c r="IC84" t="e">
        <v>#VALUE!</v>
      </c>
      <c r="ID84" t="e">
        <v>#VALUE!</v>
      </c>
      <c r="IE84" t="e">
        <v>#VALUE!</v>
      </c>
      <c r="IF84" t="e">
        <v>#VALUE!</v>
      </c>
      <c r="IG84" t="e">
        <v>#VALUE!</v>
      </c>
      <c r="IH84" t="e">
        <v>#VALUE!</v>
      </c>
      <c r="II84" t="e">
        <v>#VALUE!</v>
      </c>
      <c r="IJ84" t="e">
        <v>#VALUE!</v>
      </c>
      <c r="IK84" t="e">
        <v>#VALUE!</v>
      </c>
      <c r="IL84" t="e">
        <v>#VALUE!</v>
      </c>
      <c r="IM84" t="e">
        <v>#VALUE!</v>
      </c>
      <c r="IN84" t="e">
        <v>#VALUE!</v>
      </c>
      <c r="IO84" t="e">
        <v>#VALUE!</v>
      </c>
      <c r="IP84">
        <v>0</v>
      </c>
      <c r="IQ84" t="e">
        <v>#VALUE!</v>
      </c>
      <c r="IR84" t="e">
        <v>#VALUE!</v>
      </c>
      <c r="IS84" t="e">
        <v>#VALUE!</v>
      </c>
      <c r="IT84" t="e">
        <v>#VALUE!</v>
      </c>
      <c r="IU84" t="e">
        <v>#VALUE!</v>
      </c>
      <c r="IV84" t="e">
        <v>#VALUE!</v>
      </c>
    </row>
    <row r="85" spans="1:256" x14ac:dyDescent="0.25">
      <c r="A85" t="e">
        <v>#VALUE!</v>
      </c>
      <c r="B85" t="e">
        <v>#VALUE!</v>
      </c>
      <c r="C85" t="e">
        <v>#VALUE!</v>
      </c>
      <c r="D85" t="e">
        <v>#VALUE!</v>
      </c>
      <c r="E85" t="e">
        <v>#VALUE!</v>
      </c>
      <c r="F85" t="e">
        <v>#VALUE!</v>
      </c>
      <c r="G85" t="e">
        <v>#VALUE!</v>
      </c>
      <c r="H85" t="e">
        <v>#VALUE!</v>
      </c>
      <c r="I85" t="e">
        <v>#VALUE!</v>
      </c>
      <c r="J85" t="e">
        <v>#VALUE!</v>
      </c>
      <c r="K85" t="e">
        <v>#VALUE!</v>
      </c>
      <c r="L85" t="e">
        <v>#VALUE!</v>
      </c>
      <c r="M85">
        <v>0</v>
      </c>
      <c r="N85" t="e">
        <v>#VALUE!</v>
      </c>
      <c r="O85" t="e">
        <v>#VALUE!</v>
      </c>
      <c r="P85" t="e">
        <v>#VALUE!</v>
      </c>
      <c r="Q85" t="e">
        <v>#VALUE!</v>
      </c>
      <c r="R85" t="e">
        <v>#VALUE!</v>
      </c>
      <c r="S85" t="e">
        <v>#VALUE!</v>
      </c>
      <c r="T85" t="e">
        <v>#VALUE!</v>
      </c>
      <c r="U85" t="e">
        <v>#VALUE!</v>
      </c>
      <c r="V85" t="e">
        <v>#VALUE!</v>
      </c>
      <c r="W85" t="e">
        <v>#VALUE!</v>
      </c>
      <c r="X85" t="e">
        <v>#VALUE!</v>
      </c>
      <c r="Y85" t="e">
        <v>#VALUE!</v>
      </c>
      <c r="Z85" t="e">
        <v>#VALUE!</v>
      </c>
      <c r="AA85" t="e">
        <v>#VALUE!</v>
      </c>
      <c r="AB85" t="e">
        <v>#VALUE!</v>
      </c>
      <c r="AC85" t="e">
        <v>#VALUE!</v>
      </c>
      <c r="AD85" t="e">
        <v>#VALUE!</v>
      </c>
      <c r="AE85" t="e">
        <v>#VALUE!</v>
      </c>
      <c r="AF85">
        <v>0</v>
      </c>
      <c r="AG85" t="e">
        <v>#VALUE!</v>
      </c>
      <c r="AH85" t="e">
        <v>#VALUE!</v>
      </c>
      <c r="AI85" t="e">
        <v>#VALUE!</v>
      </c>
      <c r="AJ85" t="e">
        <v>#VALUE!</v>
      </c>
      <c r="AK85" t="e">
        <v>#VALUE!</v>
      </c>
      <c r="AL85" t="e">
        <v>#VALUE!</v>
      </c>
      <c r="AM85" t="e">
        <v>#VALUE!</v>
      </c>
      <c r="AN85" t="e">
        <v>#VALUE!</v>
      </c>
      <c r="AO85" t="e">
        <v>#VALUE!</v>
      </c>
      <c r="AP85" t="e">
        <v>#VALUE!</v>
      </c>
      <c r="AQ85" t="e">
        <v>#VALUE!</v>
      </c>
      <c r="AR85" t="e">
        <v>#VALUE!</v>
      </c>
      <c r="AS85" t="e">
        <v>#VALUE!</v>
      </c>
      <c r="AT85" t="e">
        <v>#VALUE!</v>
      </c>
      <c r="AU85" t="e">
        <v>#VALUE!</v>
      </c>
      <c r="AV85" t="e">
        <v>#VALUE!</v>
      </c>
      <c r="AW85" t="e">
        <v>#VALUE!</v>
      </c>
      <c r="AX85" t="e">
        <v>#VALUE!</v>
      </c>
      <c r="AY85">
        <v>0</v>
      </c>
      <c r="AZ85" t="e">
        <v>#VALUE!</v>
      </c>
      <c r="BA85" t="e">
        <v>#VALUE!</v>
      </c>
      <c r="BB85" t="e">
        <v>#VALUE!</v>
      </c>
      <c r="BC85" t="e">
        <v>#VALUE!</v>
      </c>
      <c r="BD85" t="e">
        <v>#VALUE!</v>
      </c>
      <c r="BE85" t="e">
        <v>#VALUE!</v>
      </c>
      <c r="BF85" t="e">
        <v>#VALUE!</v>
      </c>
      <c r="BG85" t="e">
        <v>#VALUE!</v>
      </c>
      <c r="BH85" t="e">
        <v>#VALUE!</v>
      </c>
      <c r="BI85" t="e">
        <v>#VALUE!</v>
      </c>
      <c r="BJ85" t="e">
        <v>#VALUE!</v>
      </c>
      <c r="BK85" t="e">
        <v>#VALUE!</v>
      </c>
      <c r="BL85" t="e">
        <v>#VALUE!</v>
      </c>
      <c r="BM85" t="e">
        <v>#VALUE!</v>
      </c>
      <c r="BN85" t="e">
        <v>#VALUE!</v>
      </c>
      <c r="BO85" t="e">
        <v>#VALUE!</v>
      </c>
      <c r="BP85" t="e">
        <v>#VALUE!</v>
      </c>
      <c r="BQ85" t="e">
        <v>#VALUE!</v>
      </c>
      <c r="BR85">
        <v>0</v>
      </c>
      <c r="BS85" t="e">
        <v>#VALUE!</v>
      </c>
      <c r="BT85" t="e">
        <v>#VALUE!</v>
      </c>
      <c r="BU85" t="e">
        <v>#VALUE!</v>
      </c>
      <c r="BV85" t="e">
        <v>#VALUE!</v>
      </c>
      <c r="BW85" t="e">
        <v>#VALUE!</v>
      </c>
      <c r="BX85" t="e">
        <v>#VALUE!</v>
      </c>
      <c r="BY85" t="e">
        <v>#VALUE!</v>
      </c>
      <c r="BZ85" t="e">
        <v>#VALUE!</v>
      </c>
      <c r="CA85" t="e">
        <v>#VALUE!</v>
      </c>
      <c r="CB85" t="e">
        <v>#VALUE!</v>
      </c>
      <c r="CC85" t="e">
        <v>#VALUE!</v>
      </c>
      <c r="CD85" t="e">
        <v>#VALUE!</v>
      </c>
      <c r="CE85" t="e">
        <v>#VALUE!</v>
      </c>
      <c r="CF85" t="e">
        <v>#VALUE!</v>
      </c>
      <c r="CG85" t="e">
        <v>#VALUE!</v>
      </c>
      <c r="CH85" t="e">
        <v>#VALUE!</v>
      </c>
      <c r="CI85" t="e">
        <v>#VALUE!</v>
      </c>
      <c r="CJ85" t="e">
        <v>#VALUE!</v>
      </c>
      <c r="CK85">
        <v>0</v>
      </c>
      <c r="CL85">
        <v>0</v>
      </c>
      <c r="CM85">
        <v>0</v>
      </c>
      <c r="CN85">
        <v>0</v>
      </c>
      <c r="CO85">
        <v>0</v>
      </c>
      <c r="CP85">
        <v>0</v>
      </c>
      <c r="CQ85">
        <v>0</v>
      </c>
      <c r="CR85">
        <v>0</v>
      </c>
      <c r="CS85">
        <v>0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0</v>
      </c>
      <c r="CZ85">
        <v>0</v>
      </c>
      <c r="DA85">
        <v>0</v>
      </c>
      <c r="DB85">
        <v>0</v>
      </c>
      <c r="DC85">
        <v>0</v>
      </c>
      <c r="DD85" t="e">
        <v>#VALUE!</v>
      </c>
      <c r="DE85" t="e">
        <v>#VALUE!</v>
      </c>
      <c r="DF85" t="e">
        <v>#VALUE!</v>
      </c>
      <c r="DG85" t="e">
        <v>#VALUE!</v>
      </c>
      <c r="DH85" t="e">
        <v>#VALUE!</v>
      </c>
      <c r="DI85" t="e">
        <v>#VALUE!</v>
      </c>
      <c r="DJ85" t="e">
        <v>#VALUE!</v>
      </c>
      <c r="DK85" t="e">
        <v>#VALUE!</v>
      </c>
      <c r="DL85" t="e">
        <v>#VALUE!</v>
      </c>
      <c r="DM85" t="e">
        <v>#VALUE!</v>
      </c>
      <c r="DN85" t="e">
        <v>#VALUE!</v>
      </c>
      <c r="DO85" t="e">
        <v>#VALUE!</v>
      </c>
      <c r="DP85" t="e">
        <v>#VALUE!</v>
      </c>
      <c r="DQ85" t="e">
        <v>#VALUE!</v>
      </c>
      <c r="DR85" t="e">
        <v>#VALUE!</v>
      </c>
      <c r="DS85" t="e">
        <v>#VALUE!</v>
      </c>
      <c r="DT85" t="e">
        <v>#VALUE!</v>
      </c>
      <c r="DU85" t="e">
        <v>#VALUE!</v>
      </c>
      <c r="DV85">
        <v>0</v>
      </c>
      <c r="DW85" t="e">
        <v>#VALUE!</v>
      </c>
      <c r="DX85" t="e">
        <v>#VALUE!</v>
      </c>
      <c r="DY85" t="e">
        <v>#VALUE!</v>
      </c>
      <c r="DZ85" t="e">
        <v>#VALUE!</v>
      </c>
      <c r="EA85" t="e">
        <v>#VALUE!</v>
      </c>
      <c r="EB85" t="e">
        <v>#VALUE!</v>
      </c>
      <c r="EC85" t="e">
        <v>#VALUE!</v>
      </c>
      <c r="ED85" t="e">
        <v>#VALUE!</v>
      </c>
      <c r="EE85" t="e">
        <v>#VALUE!</v>
      </c>
      <c r="EF85" t="e">
        <v>#VALUE!</v>
      </c>
      <c r="EG85" t="e">
        <v>#VALUE!</v>
      </c>
      <c r="EH85" t="e">
        <v>#VALUE!</v>
      </c>
      <c r="EI85" t="e">
        <v>#VALUE!</v>
      </c>
      <c r="EJ85" t="e">
        <v>#VALUE!</v>
      </c>
      <c r="EK85" t="e">
        <v>#VALUE!</v>
      </c>
      <c r="EL85" t="e">
        <v>#VALUE!</v>
      </c>
      <c r="EM85" t="e">
        <v>#VALUE!</v>
      </c>
      <c r="EN85" t="e">
        <v>#VALUE!</v>
      </c>
      <c r="EO85">
        <v>0</v>
      </c>
      <c r="EP85" t="e">
        <v>#VALUE!</v>
      </c>
      <c r="EQ85" t="e">
        <v>#VALUE!</v>
      </c>
      <c r="ER85" t="e">
        <v>#VALUE!</v>
      </c>
      <c r="ES85" t="e">
        <v>#VALUE!</v>
      </c>
      <c r="ET85" t="e">
        <v>#VALUE!</v>
      </c>
      <c r="EU85" t="e">
        <v>#VALUE!</v>
      </c>
      <c r="EV85" t="e">
        <v>#VALUE!</v>
      </c>
      <c r="EW85" t="e">
        <v>#VALUE!</v>
      </c>
      <c r="EX85" t="e">
        <v>#VALUE!</v>
      </c>
      <c r="EY85" t="e">
        <v>#VALUE!</v>
      </c>
      <c r="EZ85" t="e">
        <v>#VALUE!</v>
      </c>
      <c r="FA85" t="e">
        <v>#VALUE!</v>
      </c>
      <c r="FB85" t="e">
        <v>#VALUE!</v>
      </c>
      <c r="FC85" t="e">
        <v>#VALUE!</v>
      </c>
      <c r="FD85" t="e">
        <v>#VALUE!</v>
      </c>
      <c r="FE85" t="e">
        <v>#VALUE!</v>
      </c>
      <c r="FF85" t="e">
        <v>#VALUE!</v>
      </c>
      <c r="FG85" t="e">
        <v>#VALUE!</v>
      </c>
      <c r="FH85">
        <v>0</v>
      </c>
      <c r="FI85" t="e">
        <v>#VALUE!</v>
      </c>
      <c r="FJ85" t="e">
        <v>#VALUE!</v>
      </c>
      <c r="FK85" t="e">
        <v>#VALUE!</v>
      </c>
      <c r="FL85" t="e">
        <v>#VALUE!</v>
      </c>
      <c r="FM85" t="e">
        <v>#VALUE!</v>
      </c>
      <c r="FN85" t="e">
        <v>#VALUE!</v>
      </c>
      <c r="FO85" t="e">
        <v>#VALUE!</v>
      </c>
      <c r="FP85" t="e">
        <v>#VALUE!</v>
      </c>
      <c r="FQ85" t="e">
        <v>#VALUE!</v>
      </c>
      <c r="FR85" t="e">
        <v>#VALUE!</v>
      </c>
      <c r="FS85" t="e">
        <v>#VALUE!</v>
      </c>
      <c r="FT85" t="e">
        <v>#VALUE!</v>
      </c>
      <c r="FU85" t="e">
        <v>#VALUE!</v>
      </c>
      <c r="FV85" t="e">
        <v>#VALUE!</v>
      </c>
      <c r="FW85" t="e">
        <v>#VALUE!</v>
      </c>
      <c r="FX85" t="e">
        <v>#VALUE!</v>
      </c>
      <c r="FY85" t="e">
        <v>#VALUE!</v>
      </c>
      <c r="FZ85" t="e">
        <v>#VALUE!</v>
      </c>
      <c r="GA85">
        <v>0</v>
      </c>
      <c r="GB85" t="e">
        <v>#VALUE!</v>
      </c>
      <c r="GC85" t="e">
        <v>#VALUE!</v>
      </c>
      <c r="GD85" t="e">
        <v>#VALUE!</v>
      </c>
      <c r="GE85" t="e">
        <v>#VALUE!</v>
      </c>
      <c r="GF85" t="e">
        <v>#VALUE!</v>
      </c>
      <c r="GG85" t="e">
        <v>#VALUE!</v>
      </c>
      <c r="GH85" t="e">
        <v>#VALUE!</v>
      </c>
      <c r="GI85" t="e">
        <v>#VALUE!</v>
      </c>
      <c r="GJ85" t="e">
        <v>#VALUE!</v>
      </c>
      <c r="GK85" t="e">
        <v>#VALUE!</v>
      </c>
      <c r="GL85" t="e">
        <v>#VALUE!</v>
      </c>
      <c r="GM85" t="e">
        <v>#VALUE!</v>
      </c>
      <c r="GN85" t="e">
        <v>#VALUE!</v>
      </c>
      <c r="GO85" t="e">
        <v>#VALUE!</v>
      </c>
      <c r="GP85" t="e">
        <v>#VALUE!</v>
      </c>
      <c r="GQ85" t="e">
        <v>#VALUE!</v>
      </c>
      <c r="GR85" t="e">
        <v>#VALUE!</v>
      </c>
      <c r="GS85" t="e">
        <v>#VALUE!</v>
      </c>
      <c r="GT85">
        <v>0</v>
      </c>
      <c r="GU85" t="e">
        <v>#VALUE!</v>
      </c>
      <c r="GV85" t="e">
        <v>#VALUE!</v>
      </c>
      <c r="GW85" t="e">
        <v>#VALUE!</v>
      </c>
      <c r="GX85" t="e">
        <v>#VALUE!</v>
      </c>
      <c r="GY85" t="e">
        <v>#VALUE!</v>
      </c>
      <c r="GZ85" t="e">
        <v>#VALUE!</v>
      </c>
      <c r="HA85" t="e">
        <v>#VALUE!</v>
      </c>
      <c r="HB85" t="e">
        <v>#VALUE!</v>
      </c>
      <c r="HC85" t="e">
        <v>#VALUE!</v>
      </c>
      <c r="HD85" t="e">
        <v>#VALUE!</v>
      </c>
      <c r="HE85" t="e">
        <v>#VALUE!</v>
      </c>
      <c r="HF85" t="e">
        <v>#VALUE!</v>
      </c>
      <c r="HG85" t="e">
        <v>#VALUE!</v>
      </c>
      <c r="HH85" t="e">
        <v>#VALUE!</v>
      </c>
      <c r="HI85" t="e">
        <v>#VALUE!</v>
      </c>
      <c r="HJ85" t="e">
        <v>#VALUE!</v>
      </c>
      <c r="HK85" t="e">
        <v>#VALUE!</v>
      </c>
      <c r="HL85" t="e">
        <v>#VALUE!</v>
      </c>
      <c r="HM85">
        <v>0</v>
      </c>
      <c r="HN85" t="e">
        <v>#VALUE!</v>
      </c>
      <c r="HO85" t="e">
        <v>#VALUE!</v>
      </c>
      <c r="HP85" t="e">
        <v>#VALUE!</v>
      </c>
      <c r="HQ85" t="e">
        <v>#VALUE!</v>
      </c>
      <c r="HR85" t="e">
        <v>#VALUE!</v>
      </c>
      <c r="HS85" t="e">
        <v>#VALUE!</v>
      </c>
      <c r="HT85" t="e">
        <v>#VALUE!</v>
      </c>
      <c r="HU85" t="e">
        <v>#VALUE!</v>
      </c>
      <c r="HV85" t="e">
        <v>#VALUE!</v>
      </c>
      <c r="HW85" t="e">
        <v>#VALUE!</v>
      </c>
      <c r="HX85" t="e">
        <v>#VALUE!</v>
      </c>
      <c r="HY85" t="e">
        <v>#VALUE!</v>
      </c>
      <c r="HZ85" t="e">
        <v>#VALUE!</v>
      </c>
      <c r="IA85" t="e">
        <v>#VALUE!</v>
      </c>
      <c r="IB85" t="e">
        <v>#VALUE!</v>
      </c>
      <c r="IC85" t="e">
        <v>#VALUE!</v>
      </c>
      <c r="ID85" t="e">
        <v>#VALUE!</v>
      </c>
      <c r="IE85" t="e">
        <v>#VALUE!</v>
      </c>
      <c r="IF85">
        <v>0</v>
      </c>
      <c r="IG85" t="e">
        <v>#VALUE!</v>
      </c>
      <c r="IH85" t="e">
        <v>#VALUE!</v>
      </c>
      <c r="II85" t="e">
        <v>#VALUE!</v>
      </c>
      <c r="IJ85" t="e">
        <v>#VALUE!</v>
      </c>
      <c r="IK85" t="e">
        <v>#VALUE!</v>
      </c>
      <c r="IL85" t="e">
        <v>#VALUE!</v>
      </c>
      <c r="IM85" t="e">
        <v>#VALUE!</v>
      </c>
      <c r="IN85" t="e">
        <v>#VALUE!</v>
      </c>
      <c r="IO85" t="e">
        <v>#VALUE!</v>
      </c>
      <c r="IP85" t="e">
        <v>#VALUE!</v>
      </c>
      <c r="IQ85" t="e">
        <v>#VALUE!</v>
      </c>
      <c r="IR85" t="e">
        <v>#VALUE!</v>
      </c>
      <c r="IS85" t="e">
        <v>#VALUE!</v>
      </c>
      <c r="IT85" t="e">
        <v>#VALUE!</v>
      </c>
      <c r="IU85" t="e">
        <v>#VALUE!</v>
      </c>
      <c r="IV85" t="e">
        <v>#VALUE!</v>
      </c>
    </row>
    <row r="86" spans="1:256" x14ac:dyDescent="0.25">
      <c r="A86" t="e">
        <v>#VALUE!</v>
      </c>
      <c r="B86" t="e">
        <v>#VALUE!</v>
      </c>
      <c r="C86">
        <v>0</v>
      </c>
      <c r="D86" t="e">
        <v>#VALUE!</v>
      </c>
      <c r="E86" t="e">
        <v>#VALUE!</v>
      </c>
      <c r="F86" t="e">
        <v>#VALUE!</v>
      </c>
      <c r="G86" t="e">
        <v>#VALUE!</v>
      </c>
      <c r="H86" t="e">
        <v>#VALUE!</v>
      </c>
      <c r="I86" t="e">
        <v>#VALUE!</v>
      </c>
      <c r="J86" t="e">
        <v>#VALUE!</v>
      </c>
      <c r="K86" t="e">
        <v>#VALUE!</v>
      </c>
      <c r="L86" t="e">
        <v>#VALUE!</v>
      </c>
      <c r="M86" t="e">
        <v>#VALUE!</v>
      </c>
      <c r="N86" t="e">
        <v>#VALUE!</v>
      </c>
      <c r="O86" t="e">
        <v>#VALUE!</v>
      </c>
      <c r="P86" t="e">
        <v>#VALUE!</v>
      </c>
      <c r="Q86" t="e">
        <v>#VALUE!</v>
      </c>
      <c r="R86" t="e">
        <v>#VALUE!</v>
      </c>
      <c r="S86" t="e">
        <v>#VALUE!</v>
      </c>
      <c r="T86" t="e">
        <v>#VALUE!</v>
      </c>
      <c r="U86" t="e">
        <v>#VALUE!</v>
      </c>
      <c r="V86">
        <v>0</v>
      </c>
      <c r="W86" t="e">
        <v>#VALUE!</v>
      </c>
      <c r="X86" t="e">
        <v>#VALUE!</v>
      </c>
      <c r="Y86" t="e">
        <v>#VALUE!</v>
      </c>
      <c r="Z86" t="e">
        <v>#VALUE!</v>
      </c>
      <c r="AA86" t="e">
        <v>#VALUE!</v>
      </c>
      <c r="AB86" t="e">
        <v>#VALUE!</v>
      </c>
      <c r="AC86" t="e">
        <v>#VALUE!</v>
      </c>
      <c r="AD86" t="e">
        <v>#VALUE!</v>
      </c>
      <c r="AE86" t="e">
        <v>#VALUE!</v>
      </c>
      <c r="AF86" t="e">
        <v>#VALUE!</v>
      </c>
      <c r="AG86" t="e">
        <v>#VALUE!</v>
      </c>
      <c r="AH86" t="e">
        <v>#VALUE!</v>
      </c>
      <c r="AI86" t="e">
        <v>#VALUE!</v>
      </c>
      <c r="AJ86" t="e">
        <v>#VALUE!</v>
      </c>
      <c r="AK86" t="e">
        <v>#VALUE!</v>
      </c>
      <c r="AL86" t="e">
        <v>#VALUE!</v>
      </c>
      <c r="AM86" t="e">
        <v>#VALUE!</v>
      </c>
      <c r="AN86" t="e">
        <v>#VALUE!</v>
      </c>
      <c r="AO86">
        <v>0</v>
      </c>
      <c r="AP86" t="e">
        <v>#VALUE!</v>
      </c>
      <c r="AQ86" t="e">
        <v>#VALUE!</v>
      </c>
      <c r="AR86" t="e">
        <v>#VALUE!</v>
      </c>
      <c r="AS86" t="e">
        <v>#VALUE!</v>
      </c>
      <c r="AT86" t="e">
        <v>#VALUE!</v>
      </c>
      <c r="AU86" t="e">
        <v>#VALUE!</v>
      </c>
      <c r="AV86" t="e">
        <v>#VALUE!</v>
      </c>
      <c r="AW86" t="e">
        <v>#VALUE!</v>
      </c>
      <c r="AX86" t="e">
        <v>#VALUE!</v>
      </c>
      <c r="AY86" t="e">
        <v>#VALUE!</v>
      </c>
      <c r="AZ86" t="e">
        <v>#VALUE!</v>
      </c>
      <c r="BA86" t="e">
        <v>#VALUE!</v>
      </c>
      <c r="BB86" t="e">
        <v>#VALUE!</v>
      </c>
      <c r="BC86" t="e">
        <v>#VALUE!</v>
      </c>
      <c r="BD86" t="e">
        <v>#VALUE!</v>
      </c>
      <c r="BE86" t="e">
        <v>#VALUE!</v>
      </c>
      <c r="BF86" t="e">
        <v>#VALUE!</v>
      </c>
      <c r="BG86" t="e">
        <v>#VALUE!</v>
      </c>
      <c r="BH86">
        <v>0</v>
      </c>
      <c r="BI86" t="e">
        <v>#VALUE!</v>
      </c>
      <c r="BJ86" t="e">
        <v>#VALUE!</v>
      </c>
      <c r="BK86" t="e">
        <v>#VALUE!</v>
      </c>
      <c r="BL86" t="e">
        <v>#VALUE!</v>
      </c>
      <c r="BM86" t="e">
        <v>#VALUE!</v>
      </c>
      <c r="BN86" t="e">
        <v>#VALUE!</v>
      </c>
      <c r="BO86" t="e">
        <v>#VALUE!</v>
      </c>
      <c r="BP86" t="e">
        <v>#VALUE!</v>
      </c>
      <c r="BQ86" t="e">
        <v>#VALUE!</v>
      </c>
      <c r="BR86" t="e">
        <v>#VALUE!</v>
      </c>
      <c r="BS86" t="e">
        <v>#VALUE!</v>
      </c>
      <c r="BT86" t="e">
        <v>#VALUE!</v>
      </c>
      <c r="BU86" t="e">
        <v>#VALUE!</v>
      </c>
      <c r="BV86" t="e">
        <v>#VALUE!</v>
      </c>
      <c r="BW86" t="e">
        <v>#VALUE!</v>
      </c>
      <c r="BX86" t="e">
        <v>#VALUE!</v>
      </c>
      <c r="BY86" t="e">
        <v>#VALUE!</v>
      </c>
      <c r="BZ86" t="e">
        <v>#VALUE!</v>
      </c>
      <c r="CA86">
        <v>0</v>
      </c>
      <c r="CB86" t="e">
        <v>#VALUE!</v>
      </c>
      <c r="CC86" t="e">
        <v>#VALUE!</v>
      </c>
      <c r="CD86" t="e">
        <v>#VALUE!</v>
      </c>
      <c r="CE86" t="e">
        <v>#VALUE!</v>
      </c>
      <c r="CF86" t="e">
        <v>#VALUE!</v>
      </c>
      <c r="CG86" t="e">
        <v>#VALUE!</v>
      </c>
      <c r="CH86" t="e">
        <v>#VALUE!</v>
      </c>
      <c r="CI86" t="e">
        <v>#VALUE!</v>
      </c>
      <c r="CJ86" t="e">
        <v>#VALUE!</v>
      </c>
      <c r="CK86" t="e">
        <v>#VALUE!</v>
      </c>
      <c r="CL86" t="e">
        <v>#VALUE!</v>
      </c>
      <c r="CM86" t="e">
        <v>#VALUE!</v>
      </c>
      <c r="CN86" t="e">
        <v>#VALUE!</v>
      </c>
      <c r="CO86" t="e">
        <v>#VALUE!</v>
      </c>
      <c r="CP86" t="e">
        <v>#VALUE!</v>
      </c>
      <c r="CQ86" t="e">
        <v>#VALUE!</v>
      </c>
      <c r="CR86" t="e">
        <v>#VALUE!</v>
      </c>
      <c r="CS86" t="e">
        <v>#VALUE!</v>
      </c>
      <c r="CT86">
        <v>0</v>
      </c>
      <c r="CU86" t="e">
        <v>#VALUE!</v>
      </c>
      <c r="CV86" t="e">
        <v>#VALUE!</v>
      </c>
      <c r="CW86" t="e">
        <v>#VALUE!</v>
      </c>
      <c r="CX86" t="e">
        <v>#VALUE!</v>
      </c>
      <c r="CY86" t="e">
        <v>#VALUE!</v>
      </c>
      <c r="CZ86" t="e">
        <v>#VALUE!</v>
      </c>
      <c r="DA86" t="e">
        <v>#VALUE!</v>
      </c>
      <c r="DB86" t="e">
        <v>#VALUE!</v>
      </c>
      <c r="DC86" t="e">
        <v>#VALUE!</v>
      </c>
      <c r="DD86" t="e">
        <v>#VALUE!</v>
      </c>
      <c r="DE86" t="e">
        <v>#VALUE!</v>
      </c>
      <c r="DF86" t="e">
        <v>#VALUE!</v>
      </c>
      <c r="DG86" t="e">
        <v>#VALUE!</v>
      </c>
      <c r="DH86" t="e">
        <v>#VALUE!</v>
      </c>
      <c r="DI86" t="e">
        <v>#VALUE!</v>
      </c>
      <c r="DJ86" t="e">
        <v>#VALUE!</v>
      </c>
      <c r="DK86" t="e">
        <v>#VALUE!</v>
      </c>
      <c r="DL86" t="e">
        <v>#VALUE!</v>
      </c>
      <c r="DM86">
        <v>0</v>
      </c>
      <c r="DN86" t="e">
        <v>#VALUE!</v>
      </c>
      <c r="DO86" t="e">
        <v>#VALUE!</v>
      </c>
      <c r="DP86" t="e">
        <v>#VALUE!</v>
      </c>
      <c r="DQ86" t="e">
        <v>#VALUE!</v>
      </c>
      <c r="DR86" t="e">
        <v>#VALUE!</v>
      </c>
      <c r="DS86" t="e">
        <v>#VALUE!</v>
      </c>
      <c r="DT86" t="e">
        <v>#VALUE!</v>
      </c>
      <c r="DU86" t="e">
        <v>#VALUE!</v>
      </c>
      <c r="DV86" t="e">
        <v>#VALUE!</v>
      </c>
      <c r="DW86" t="e">
        <v>#VALUE!</v>
      </c>
      <c r="DX86" t="e">
        <v>#VALUE!</v>
      </c>
      <c r="DY86" t="e">
        <v>#VALUE!</v>
      </c>
      <c r="DZ86" t="e">
        <v>#VALUE!</v>
      </c>
      <c r="EA86" t="e">
        <v>#VALUE!</v>
      </c>
      <c r="EB86" t="e">
        <v>#VALUE!</v>
      </c>
      <c r="EC86" t="e">
        <v>#VALUE!</v>
      </c>
      <c r="ED86" t="e">
        <v>#VALUE!</v>
      </c>
      <c r="EE86" t="e">
        <v>#VALUE!</v>
      </c>
      <c r="EF86">
        <v>0</v>
      </c>
      <c r="EG86" t="e">
        <v>#VALUE!</v>
      </c>
      <c r="EH86" t="e">
        <v>#VALUE!</v>
      </c>
      <c r="EI86" t="e">
        <v>#VALUE!</v>
      </c>
      <c r="EJ86" t="e">
        <v>#VALUE!</v>
      </c>
      <c r="EK86" t="e">
        <v>#VALUE!</v>
      </c>
      <c r="EL86" t="e">
        <v>#VALUE!</v>
      </c>
      <c r="EM86" t="e">
        <v>#VALUE!</v>
      </c>
      <c r="EN86" t="e">
        <v>#VALUE!</v>
      </c>
      <c r="EO86" t="e">
        <v>#VALUE!</v>
      </c>
      <c r="EP86" t="e">
        <v>#VALUE!</v>
      </c>
      <c r="EQ86" t="e">
        <v>#VALUE!</v>
      </c>
      <c r="ER86" t="e">
        <v>#VALUE!</v>
      </c>
      <c r="ES86" t="e">
        <v>#VALUE!</v>
      </c>
      <c r="ET86" t="e">
        <v>#VALUE!</v>
      </c>
      <c r="EU86" t="e">
        <v>#VALUE!</v>
      </c>
      <c r="EV86" t="e">
        <v>#VALUE!</v>
      </c>
      <c r="EW86" t="e">
        <v>#VALUE!</v>
      </c>
      <c r="EX86" t="e">
        <v>#VALUE!</v>
      </c>
      <c r="EY86">
        <v>0</v>
      </c>
      <c r="EZ86" t="e">
        <v>#VALUE!</v>
      </c>
      <c r="FA86" t="e">
        <v>#VALUE!</v>
      </c>
      <c r="FB86" t="e">
        <v>#VALUE!</v>
      </c>
      <c r="FC86" t="e">
        <v>#VALUE!</v>
      </c>
      <c r="FD86" t="e">
        <v>#VALUE!</v>
      </c>
      <c r="FE86" t="e">
        <v>#VALUE!</v>
      </c>
      <c r="FF86" t="e">
        <v>#VALUE!</v>
      </c>
      <c r="FG86" t="e">
        <v>#VALUE!</v>
      </c>
      <c r="FH86" t="e">
        <v>#VALUE!</v>
      </c>
      <c r="FI86" t="e">
        <v>#VALUE!</v>
      </c>
      <c r="FJ86" t="e">
        <v>#VALUE!</v>
      </c>
      <c r="FK86" t="e">
        <v>#VALUE!</v>
      </c>
      <c r="FL86" t="e">
        <v>#VALUE!</v>
      </c>
      <c r="FM86" t="e">
        <v>#VALUE!</v>
      </c>
      <c r="FN86" t="e">
        <v>#VALUE!</v>
      </c>
      <c r="FO86" t="e">
        <v>#VALUE!</v>
      </c>
      <c r="FP86" t="e">
        <v>#VALUE!</v>
      </c>
      <c r="FQ86" t="e">
        <v>#VALUE!</v>
      </c>
      <c r="FR86">
        <v>0</v>
      </c>
      <c r="FS86" t="e">
        <v>#VALUE!</v>
      </c>
      <c r="FT86" t="e">
        <v>#VALUE!</v>
      </c>
      <c r="FU86" t="e">
        <v>#VALUE!</v>
      </c>
      <c r="FV86" t="e">
        <v>#VALUE!</v>
      </c>
      <c r="FW86" t="e">
        <v>#VALUE!</v>
      </c>
      <c r="FX86" t="e">
        <v>#VALUE!</v>
      </c>
      <c r="FY86" t="e">
        <v>#VALUE!</v>
      </c>
      <c r="FZ86" t="e">
        <v>#VALUE!</v>
      </c>
      <c r="GA86" t="e">
        <v>#VALUE!</v>
      </c>
      <c r="GB86" t="e">
        <v>#VALUE!</v>
      </c>
      <c r="GC86" t="e">
        <v>#VALUE!</v>
      </c>
      <c r="GD86" t="e">
        <v>#VALUE!</v>
      </c>
      <c r="GE86" t="e">
        <v>#VALUE!</v>
      </c>
      <c r="GF86" t="e">
        <v>#VALUE!</v>
      </c>
      <c r="GG86" t="e">
        <v>#VALUE!</v>
      </c>
      <c r="GH86" t="e">
        <v>#VALUE!</v>
      </c>
      <c r="GI86" t="e">
        <v>#VALUE!</v>
      </c>
      <c r="GJ86" t="e">
        <v>#VALUE!</v>
      </c>
      <c r="GK86">
        <v>0</v>
      </c>
      <c r="GL86" t="e">
        <v>#VALUE!</v>
      </c>
      <c r="GM86" t="e">
        <v>#VALUE!</v>
      </c>
      <c r="GN86" t="e">
        <v>#VALUE!</v>
      </c>
      <c r="GO86" t="e">
        <v>#VALUE!</v>
      </c>
      <c r="GP86" t="e">
        <v>#VALUE!</v>
      </c>
      <c r="GQ86" t="e">
        <v>#VALUE!</v>
      </c>
      <c r="GR86" t="e">
        <v>#VALUE!</v>
      </c>
      <c r="GS86" t="e">
        <v>#VALUE!</v>
      </c>
      <c r="GT86" t="e">
        <v>#VALUE!</v>
      </c>
      <c r="GU86" t="e">
        <v>#VALUE!</v>
      </c>
      <c r="GV86" t="e">
        <v>#VALUE!</v>
      </c>
      <c r="GW86" t="e">
        <v>#VALUE!</v>
      </c>
      <c r="GX86" t="e">
        <v>#VALUE!</v>
      </c>
      <c r="GY86" t="e">
        <v>#VALUE!</v>
      </c>
      <c r="GZ86" t="e">
        <v>#VALUE!</v>
      </c>
      <c r="HA86" t="e">
        <v>#VALUE!</v>
      </c>
      <c r="HB86" t="e">
        <v>#VALUE!</v>
      </c>
      <c r="HC86" t="e">
        <v>#VALUE!</v>
      </c>
      <c r="HD86">
        <v>0</v>
      </c>
      <c r="HE86" t="e">
        <v>#VALUE!</v>
      </c>
      <c r="HF86" t="e">
        <v>#VALUE!</v>
      </c>
      <c r="HG86" t="e">
        <v>#VALUE!</v>
      </c>
      <c r="HH86" t="e">
        <v>#VALUE!</v>
      </c>
      <c r="HI86" t="e">
        <v>#VALUE!</v>
      </c>
      <c r="HJ86" t="e">
        <v>#VALUE!</v>
      </c>
      <c r="HK86" t="e">
        <v>#VALUE!</v>
      </c>
      <c r="HL86" t="e">
        <v>#VALUE!</v>
      </c>
      <c r="HM86" t="e">
        <v>#VALUE!</v>
      </c>
      <c r="HN86" t="e">
        <v>#VALUE!</v>
      </c>
      <c r="HO86" t="e">
        <v>#VALUE!</v>
      </c>
      <c r="HP86" t="e">
        <v>#VALUE!</v>
      </c>
      <c r="HQ86" t="e">
        <v>#VALUE!</v>
      </c>
      <c r="HR86" t="e">
        <v>#VALUE!</v>
      </c>
      <c r="HS86" t="e">
        <v>#VALUE!</v>
      </c>
      <c r="HT86" t="e">
        <v>#VALUE!</v>
      </c>
      <c r="HU86" t="e">
        <v>#VALUE!</v>
      </c>
      <c r="HV86" t="e">
        <v>#VALUE!</v>
      </c>
      <c r="HW86">
        <v>0</v>
      </c>
      <c r="HX86" t="e">
        <v>#VALUE!</v>
      </c>
      <c r="HY86" t="e">
        <v>#VALUE!</v>
      </c>
      <c r="HZ86" t="e">
        <v>#VALUE!</v>
      </c>
      <c r="IA86" t="e">
        <v>#VALUE!</v>
      </c>
      <c r="IB86" t="e">
        <v>#VALUE!</v>
      </c>
      <c r="IC86" t="e">
        <v>#VALUE!</v>
      </c>
      <c r="ID86" t="e">
        <v>#VALUE!</v>
      </c>
      <c r="IE86" t="e">
        <v>#VALUE!</v>
      </c>
      <c r="IF86" t="e">
        <v>#VALUE!</v>
      </c>
      <c r="IG86" t="e">
        <v>#VALUE!</v>
      </c>
      <c r="IH86" t="e">
        <v>#VALUE!</v>
      </c>
      <c r="II86" t="e">
        <v>#VALUE!</v>
      </c>
      <c r="IJ86" t="e">
        <v>#VALUE!</v>
      </c>
      <c r="IK86" t="e">
        <v>#VALUE!</v>
      </c>
      <c r="IL86" t="e">
        <v>#VALUE!</v>
      </c>
      <c r="IM86" t="e">
        <v>#VALUE!</v>
      </c>
      <c r="IN86" t="e">
        <v>#VALUE!</v>
      </c>
      <c r="IO86" t="e">
        <v>#VALUE!</v>
      </c>
      <c r="IP86">
        <v>0</v>
      </c>
      <c r="IQ86" t="e">
        <v>#VALUE!</v>
      </c>
      <c r="IR86" t="e">
        <v>#VALUE!</v>
      </c>
      <c r="IS86" t="e">
        <v>#VALUE!</v>
      </c>
      <c r="IT86" t="e">
        <v>#VALUE!</v>
      </c>
      <c r="IU86" t="e">
        <v>#VALUE!</v>
      </c>
      <c r="IV86" t="e">
        <v>#VALUE!</v>
      </c>
    </row>
    <row r="87" spans="1:256" x14ac:dyDescent="0.25">
      <c r="A87" t="e">
        <v>#VALUE!</v>
      </c>
      <c r="B87" t="e">
        <v>#VALUE!</v>
      </c>
      <c r="C87" t="e">
        <v>#VALUE!</v>
      </c>
      <c r="D87" t="e">
        <v>#VALUE!</v>
      </c>
      <c r="E87" t="e">
        <v>#VALUE!</v>
      </c>
      <c r="F87" t="e">
        <v>#VALUE!</v>
      </c>
      <c r="G87" t="e">
        <v>#VALUE!</v>
      </c>
      <c r="H87" t="e">
        <v>#VALUE!</v>
      </c>
      <c r="I87" t="e">
        <v>#VALUE!</v>
      </c>
      <c r="J87" t="e">
        <v>#VALUE!</v>
      </c>
      <c r="K87" t="e">
        <v>#VALUE!</v>
      </c>
      <c r="L87" t="e">
        <v>#VALUE!</v>
      </c>
      <c r="M87">
        <v>0</v>
      </c>
      <c r="N87" t="e">
        <v>#VALUE!</v>
      </c>
      <c r="O87" t="e">
        <v>#VALUE!</v>
      </c>
      <c r="P87" t="e">
        <v>#VALUE!</v>
      </c>
      <c r="Q87" t="e">
        <v>#VALUE!</v>
      </c>
      <c r="R87" t="e">
        <v>#VALUE!</v>
      </c>
      <c r="S87" t="e">
        <v>#VALUE!</v>
      </c>
      <c r="T87" t="e">
        <v>#VALUE!</v>
      </c>
      <c r="U87" t="e">
        <v>#VALUE!</v>
      </c>
      <c r="V87" t="e">
        <v>#VALUE!</v>
      </c>
      <c r="W87" t="e">
        <v>#VALUE!</v>
      </c>
      <c r="X87" t="e">
        <v>#VALUE!</v>
      </c>
      <c r="Y87" t="e">
        <v>#VALUE!</v>
      </c>
      <c r="Z87" t="e">
        <v>#VALUE!</v>
      </c>
      <c r="AA87" t="e">
        <v>#VALUE!</v>
      </c>
      <c r="AB87" t="e">
        <v>#VALUE!</v>
      </c>
      <c r="AC87" t="e">
        <v>#VALUE!</v>
      </c>
      <c r="AD87" t="e">
        <v>#VALUE!</v>
      </c>
      <c r="AE87" t="e">
        <v>#VALUE!</v>
      </c>
      <c r="AF87">
        <v>0</v>
      </c>
      <c r="AG87" t="e">
        <v>#VALUE!</v>
      </c>
      <c r="AH87" t="e">
        <v>#VALUE!</v>
      </c>
      <c r="AI87" t="e">
        <v>#VALUE!</v>
      </c>
      <c r="AJ87" t="e">
        <v>#VALUE!</v>
      </c>
      <c r="AK87" t="e">
        <v>#VALUE!</v>
      </c>
      <c r="AL87" t="e">
        <v>#VALUE!</v>
      </c>
      <c r="AM87" t="e">
        <v>#VALUE!</v>
      </c>
      <c r="AN87" t="e">
        <v>#VALUE!</v>
      </c>
      <c r="AO87" t="e">
        <v>#VALUE!</v>
      </c>
      <c r="AP87" t="e">
        <v>#VALUE!</v>
      </c>
      <c r="AQ87" t="e">
        <v>#VALUE!</v>
      </c>
      <c r="AR87" t="e">
        <v>#VALUE!</v>
      </c>
      <c r="AS87" t="e">
        <v>#VALUE!</v>
      </c>
      <c r="AT87" t="e">
        <v>#VALUE!</v>
      </c>
      <c r="AU87" t="e">
        <v>#VALUE!</v>
      </c>
      <c r="AV87" t="e">
        <v>#VALUE!</v>
      </c>
      <c r="AW87" t="e">
        <v>#VALUE!</v>
      </c>
      <c r="AX87" t="e">
        <v>#VALUE!</v>
      </c>
      <c r="AY87">
        <v>0</v>
      </c>
      <c r="AZ87" t="e">
        <v>#VALUE!</v>
      </c>
      <c r="BA87" t="e">
        <v>#VALUE!</v>
      </c>
      <c r="BB87" t="e">
        <v>#VALUE!</v>
      </c>
      <c r="BC87" t="e">
        <v>#VALUE!</v>
      </c>
      <c r="BD87" t="e">
        <v>#VALUE!</v>
      </c>
      <c r="BE87" t="e">
        <v>#VALUE!</v>
      </c>
      <c r="BF87" t="e">
        <v>#VALUE!</v>
      </c>
      <c r="BG87" t="e">
        <v>#VALUE!</v>
      </c>
      <c r="BH87" t="e">
        <v>#VALUE!</v>
      </c>
      <c r="BI87" t="e">
        <v>#VALUE!</v>
      </c>
      <c r="BJ87" t="e">
        <v>#VALUE!</v>
      </c>
      <c r="BK87" t="e">
        <v>#VALUE!</v>
      </c>
      <c r="BL87" t="e">
        <v>#VALUE!</v>
      </c>
      <c r="BM87" t="e">
        <v>#VALUE!</v>
      </c>
      <c r="BN87" t="e">
        <v>#VALUE!</v>
      </c>
      <c r="BO87" t="e">
        <v>#VALUE!</v>
      </c>
      <c r="BP87" t="e">
        <v>#VALUE!</v>
      </c>
      <c r="BQ87" t="e">
        <v>#VALUE!</v>
      </c>
      <c r="BR87">
        <v>0</v>
      </c>
      <c r="BS87" t="e">
        <v>#VALUE!</v>
      </c>
      <c r="BT87" t="e">
        <v>#VALUE!</v>
      </c>
      <c r="BU87" t="e">
        <v>#VALUE!</v>
      </c>
      <c r="BV87" t="e">
        <v>#VALUE!</v>
      </c>
      <c r="BW87" t="e">
        <v>#VALUE!</v>
      </c>
      <c r="BX87" t="e">
        <v>#VALUE!</v>
      </c>
      <c r="BY87" t="e">
        <v>#VALUE!</v>
      </c>
      <c r="BZ87" t="e">
        <v>#VALUE!</v>
      </c>
      <c r="CA87" t="e">
        <v>#VALUE!</v>
      </c>
      <c r="CB87" t="e">
        <v>#VALUE!</v>
      </c>
      <c r="CC87" t="e">
        <v>#VALUE!</v>
      </c>
      <c r="CD87" t="e">
        <v>#VALUE!</v>
      </c>
      <c r="CE87" t="e">
        <v>#VALUE!</v>
      </c>
      <c r="CF87" t="e">
        <v>#VALUE!</v>
      </c>
      <c r="CG87" t="e">
        <v>#VALUE!</v>
      </c>
      <c r="CH87" t="e">
        <v>#VALUE!</v>
      </c>
      <c r="CI87" t="e">
        <v>#VALUE!</v>
      </c>
      <c r="CJ87" t="e">
        <v>#VALUE!</v>
      </c>
      <c r="CK87">
        <v>0</v>
      </c>
      <c r="CL87" t="e">
        <v>#VALUE!</v>
      </c>
      <c r="CM87" t="e">
        <v>#VALUE!</v>
      </c>
      <c r="CN87" t="e">
        <v>#VALUE!</v>
      </c>
      <c r="CO87" t="e">
        <v>#VALUE!</v>
      </c>
      <c r="CP87" t="e">
        <v>#VALUE!</v>
      </c>
      <c r="CQ87" t="e">
        <v>#VALUE!</v>
      </c>
      <c r="CR87" t="e">
        <v>#VALUE!</v>
      </c>
      <c r="CS87" t="e">
        <v>#VALUE!</v>
      </c>
      <c r="CT87" t="e">
        <v>#VALUE!</v>
      </c>
      <c r="CU87" t="e">
        <v>#VALUE!</v>
      </c>
      <c r="CV87" t="e">
        <v>#VALUE!</v>
      </c>
      <c r="CW87" t="e">
        <v>#VALUE!</v>
      </c>
      <c r="CX87" t="e">
        <v>#VALUE!</v>
      </c>
      <c r="CY87" t="e">
        <v>#VALUE!</v>
      </c>
      <c r="CZ87" t="e">
        <v>#VALUE!</v>
      </c>
      <c r="DA87" t="e">
        <v>#VALUE!</v>
      </c>
      <c r="DB87" t="e">
        <v>#VALUE!</v>
      </c>
      <c r="DC87" t="e">
        <v>#VALUE!</v>
      </c>
      <c r="DD87">
        <v>0</v>
      </c>
      <c r="DE87" t="e">
        <v>#VALUE!</v>
      </c>
      <c r="DF87" t="e">
        <v>#VALUE!</v>
      </c>
      <c r="DG87" t="e">
        <v>#VALUE!</v>
      </c>
      <c r="DH87" t="e">
        <v>#VALUE!</v>
      </c>
      <c r="DI87" t="e">
        <v>#VALUE!</v>
      </c>
      <c r="DJ87" t="e">
        <v>#VALUE!</v>
      </c>
      <c r="DK87" t="e">
        <v>#VALUE!</v>
      </c>
      <c r="DL87" t="e">
        <v>#VALUE!</v>
      </c>
      <c r="DM87" t="e">
        <v>#VALUE!</v>
      </c>
      <c r="DN87" t="e">
        <v>#VALUE!</v>
      </c>
      <c r="DO87" t="e">
        <v>#VALUE!</v>
      </c>
      <c r="DP87" t="e">
        <v>#VALUE!</v>
      </c>
      <c r="DQ87" t="e">
        <v>#VALUE!</v>
      </c>
      <c r="DR87" t="e">
        <v>#VALUE!</v>
      </c>
      <c r="DS87" t="e">
        <v>#VALUE!</v>
      </c>
      <c r="DT87" t="e">
        <v>#VALUE!</v>
      </c>
      <c r="DU87" t="e">
        <v>#VALUE!</v>
      </c>
      <c r="DV87" t="e">
        <v>#VALUE!</v>
      </c>
      <c r="DW87">
        <v>0</v>
      </c>
      <c r="DX87" t="e">
        <v>#VALUE!</v>
      </c>
      <c r="DY87" t="e">
        <v>#VALUE!</v>
      </c>
      <c r="DZ87" t="e">
        <v>#VALUE!</v>
      </c>
      <c r="EA87" t="e">
        <v>#VALUE!</v>
      </c>
      <c r="EB87" t="e">
        <v>#VALUE!</v>
      </c>
      <c r="EC87" t="e">
        <v>#VALUE!</v>
      </c>
      <c r="ED87" t="e">
        <v>#VALUE!</v>
      </c>
      <c r="EE87" t="e">
        <v>#VALUE!</v>
      </c>
      <c r="EF87" t="e">
        <v>#VALUE!</v>
      </c>
      <c r="EG87" t="e">
        <v>#VALUE!</v>
      </c>
      <c r="EH87" t="e">
        <v>#VALUE!</v>
      </c>
      <c r="EI87" t="e">
        <v>#VALUE!</v>
      </c>
      <c r="EJ87" t="e">
        <v>#VALUE!</v>
      </c>
      <c r="EK87" t="e">
        <v>#VALUE!</v>
      </c>
      <c r="EL87" t="e">
        <v>#VALUE!</v>
      </c>
      <c r="EM87" t="e">
        <v>#VALUE!</v>
      </c>
      <c r="EN87" t="e">
        <v>#VALUE!</v>
      </c>
      <c r="EO87" t="e">
        <v>#VALUE!</v>
      </c>
      <c r="EP87">
        <v>0</v>
      </c>
      <c r="EQ87" t="e">
        <v>#VALUE!</v>
      </c>
      <c r="ER87" t="e">
        <v>#VALUE!</v>
      </c>
      <c r="ES87" t="e">
        <v>#VALUE!</v>
      </c>
      <c r="ET87" t="e">
        <v>#VALUE!</v>
      </c>
      <c r="EU87" t="e">
        <v>#VALUE!</v>
      </c>
      <c r="EV87" t="e">
        <v>#VALUE!</v>
      </c>
      <c r="EW87" t="e">
        <v>#VALUE!</v>
      </c>
      <c r="EX87" t="e">
        <v>#VALUE!</v>
      </c>
      <c r="EY87" t="e">
        <v>#VALUE!</v>
      </c>
      <c r="EZ87" t="e">
        <v>#VALUE!</v>
      </c>
      <c r="FA87" t="e">
        <v>#VALUE!</v>
      </c>
      <c r="FB87" t="e">
        <v>#VALUE!</v>
      </c>
      <c r="FC87" t="e">
        <v>#VALUE!</v>
      </c>
      <c r="FD87" t="e">
        <v>#VALUE!</v>
      </c>
      <c r="FE87" t="e">
        <v>#VALUE!</v>
      </c>
      <c r="FF87" t="e">
        <v>#VALUE!</v>
      </c>
      <c r="FG87" t="e">
        <v>#VALUE!</v>
      </c>
      <c r="FH87" t="e">
        <v>#VALUE!</v>
      </c>
      <c r="FI87">
        <v>0</v>
      </c>
      <c r="FJ87" t="e">
        <v>#VALUE!</v>
      </c>
      <c r="FK87" t="e">
        <v>#VALUE!</v>
      </c>
      <c r="FL87" t="e">
        <v>#VALUE!</v>
      </c>
      <c r="FM87" t="e">
        <v>#VALUE!</v>
      </c>
      <c r="FN87" t="e">
        <v>#VALUE!</v>
      </c>
      <c r="FO87" t="e">
        <v>#VALUE!</v>
      </c>
      <c r="FP87" t="e">
        <v>#VALUE!</v>
      </c>
      <c r="FQ87" t="e">
        <v>#VALUE!</v>
      </c>
      <c r="FR87" t="e">
        <v>#VALUE!</v>
      </c>
      <c r="FS87" t="e">
        <v>#VALUE!</v>
      </c>
      <c r="FT87" t="e">
        <v>#VALUE!</v>
      </c>
      <c r="FU87" t="e">
        <v>#VALUE!</v>
      </c>
      <c r="FV87" t="e">
        <v>#VALUE!</v>
      </c>
      <c r="FW87" t="e">
        <v>#VALUE!</v>
      </c>
      <c r="FX87" t="e">
        <v>#VALUE!</v>
      </c>
      <c r="FY87" t="e">
        <v>#VALUE!</v>
      </c>
      <c r="FZ87" t="e">
        <v>#VALUE!</v>
      </c>
      <c r="GA87" t="e">
        <v>#VALUE!</v>
      </c>
      <c r="GB87">
        <v>0</v>
      </c>
      <c r="GC87" t="e">
        <v>#VALUE!</v>
      </c>
      <c r="GD87" t="e">
        <v>#VALUE!</v>
      </c>
      <c r="GE87" t="e">
        <v>#VALUE!</v>
      </c>
      <c r="GF87" t="e">
        <v>#VALUE!</v>
      </c>
      <c r="GG87" t="e">
        <v>#VALUE!</v>
      </c>
      <c r="GH87" t="e">
        <v>#VALUE!</v>
      </c>
      <c r="GI87" t="e">
        <v>#VALUE!</v>
      </c>
      <c r="GJ87" t="e">
        <v>#VALUE!</v>
      </c>
      <c r="GK87" t="e">
        <v>#VALUE!</v>
      </c>
      <c r="GL87" t="e">
        <v>#VALUE!</v>
      </c>
      <c r="GM87" t="e">
        <v>#VALUE!</v>
      </c>
      <c r="GN87" t="e">
        <v>#VALUE!</v>
      </c>
      <c r="GO87" t="e">
        <v>#VALUE!</v>
      </c>
      <c r="GP87" t="e">
        <v>#VALUE!</v>
      </c>
      <c r="GQ87" t="e">
        <v>#VALUE!</v>
      </c>
      <c r="GR87" t="e">
        <v>#VALUE!</v>
      </c>
      <c r="GS87" t="e">
        <v>#VALUE!</v>
      </c>
      <c r="GT87" t="e">
        <v>#VALUE!</v>
      </c>
      <c r="GU87">
        <v>0</v>
      </c>
      <c r="GV87" t="e">
        <v>#VALUE!</v>
      </c>
      <c r="GW87" t="e">
        <v>#VALUE!</v>
      </c>
      <c r="GX87" t="e">
        <v>#VALUE!</v>
      </c>
      <c r="GY87" t="e">
        <v>#VALUE!</v>
      </c>
      <c r="GZ87" t="e">
        <v>#VALUE!</v>
      </c>
      <c r="HA87" t="e">
        <v>#VALUE!</v>
      </c>
      <c r="HB87" t="e">
        <v>#VALUE!</v>
      </c>
      <c r="HC87" t="e">
        <v>#VALUE!</v>
      </c>
      <c r="HD87" t="e">
        <v>#VALUE!</v>
      </c>
      <c r="HE87" t="e">
        <v>#VALUE!</v>
      </c>
      <c r="HF87" t="e">
        <v>#VALUE!</v>
      </c>
      <c r="HG87" t="e">
        <v>#VALUE!</v>
      </c>
      <c r="HH87" t="e">
        <v>#VALUE!</v>
      </c>
      <c r="HI87" t="e">
        <v>#VALUE!</v>
      </c>
      <c r="HJ87" t="e">
        <v>#VALUE!</v>
      </c>
      <c r="HK87" t="e">
        <v>#VALUE!</v>
      </c>
      <c r="HL87" t="e">
        <v>#VALUE!</v>
      </c>
      <c r="HM87" t="e">
        <v>#VALUE!</v>
      </c>
      <c r="HN87">
        <v>0</v>
      </c>
      <c r="HO87" t="e">
        <v>#VALUE!</v>
      </c>
      <c r="HP87" t="e">
        <v>#VALUE!</v>
      </c>
      <c r="HQ87" t="e">
        <v>#VALUE!</v>
      </c>
      <c r="HR87" t="e">
        <v>#VALUE!</v>
      </c>
      <c r="HS87" t="e">
        <v>#VALUE!</v>
      </c>
      <c r="HT87" t="e">
        <v>#VALUE!</v>
      </c>
      <c r="HU87" t="e">
        <v>#VALUE!</v>
      </c>
      <c r="HV87" t="e">
        <v>#VALUE!</v>
      </c>
      <c r="HW87" t="e">
        <v>#VALUE!</v>
      </c>
      <c r="HX87" t="e">
        <v>#VALUE!</v>
      </c>
      <c r="HY87" t="e">
        <v>#VALUE!</v>
      </c>
      <c r="HZ87" t="e">
        <v>#VALUE!</v>
      </c>
      <c r="IA87" t="e">
        <v>#VALUE!</v>
      </c>
      <c r="IB87" t="e">
        <v>#VALUE!</v>
      </c>
      <c r="IC87" t="e">
        <v>#VALUE!</v>
      </c>
      <c r="ID87" t="e">
        <v>#VALUE!</v>
      </c>
      <c r="IE87" t="e">
        <v>#VALUE!</v>
      </c>
      <c r="IF87" t="e">
        <v>#VALUE!</v>
      </c>
      <c r="IG87">
        <v>0</v>
      </c>
      <c r="IH87" t="e">
        <v>#VALUE!</v>
      </c>
      <c r="II87" t="e">
        <v>#VALUE!</v>
      </c>
      <c r="IJ87" t="e">
        <v>#VALUE!</v>
      </c>
      <c r="IK87" t="e">
        <v>#VALUE!</v>
      </c>
      <c r="IL87" t="e">
        <v>#VALUE!</v>
      </c>
      <c r="IM87" t="e">
        <v>#VALUE!</v>
      </c>
      <c r="IN87" t="e">
        <v>#VALUE!</v>
      </c>
      <c r="IO87" t="e">
        <v>#VALUE!</v>
      </c>
      <c r="IP87" t="e">
        <v>#VALUE!</v>
      </c>
      <c r="IQ87" t="e">
        <v>#VALUE!</v>
      </c>
      <c r="IR87" t="e">
        <v>#VALUE!</v>
      </c>
      <c r="IS87" t="e">
        <v>#VALUE!</v>
      </c>
      <c r="IT87" t="e">
        <v>#VALUE!</v>
      </c>
      <c r="IU87" t="e">
        <v>#VALUE!</v>
      </c>
      <c r="IV87" t="e">
        <v>#VALUE!</v>
      </c>
    </row>
    <row r="88" spans="1:256" x14ac:dyDescent="0.25">
      <c r="A88" t="e">
        <v>#VALUE!</v>
      </c>
      <c r="B88" t="e">
        <v>#VALUE!</v>
      </c>
      <c r="C88" t="e">
        <v>#VALUE!</v>
      </c>
      <c r="D88">
        <v>0</v>
      </c>
      <c r="E88" t="e">
        <v>#VALUE!</v>
      </c>
      <c r="F88" t="e">
        <v>#VALUE!</v>
      </c>
      <c r="G88" t="e">
        <v>#VALUE!</v>
      </c>
      <c r="H88" t="e">
        <v>#VALUE!</v>
      </c>
      <c r="I88" t="e">
        <v>#VALUE!</v>
      </c>
      <c r="J88" t="e">
        <v>#VALUE!</v>
      </c>
      <c r="K88" t="e">
        <v>#VALUE!</v>
      </c>
      <c r="L88" t="e">
        <v>#VALUE!</v>
      </c>
      <c r="M88" t="e">
        <v>#VALUE!</v>
      </c>
      <c r="N88" t="e">
        <v>#VALUE!</v>
      </c>
      <c r="O88" t="e">
        <v>#VALUE!</v>
      </c>
      <c r="P88" t="e">
        <v>#VALUE!</v>
      </c>
      <c r="Q88" t="e">
        <v>#VALUE!</v>
      </c>
      <c r="R88" t="e">
        <v>#VALUE!</v>
      </c>
      <c r="S88" t="e">
        <v>#VALUE!</v>
      </c>
      <c r="T88" t="e">
        <v>#VALUE!</v>
      </c>
      <c r="U88" t="e">
        <v>#VALUE!</v>
      </c>
      <c r="V88" t="e">
        <v>#VALUE!</v>
      </c>
      <c r="W88">
        <v>0</v>
      </c>
      <c r="X88" t="e">
        <v>#VALUE!</v>
      </c>
      <c r="Y88" t="e">
        <v>#VALUE!</v>
      </c>
      <c r="Z88" t="e">
        <v>#VALUE!</v>
      </c>
      <c r="AA88" t="e">
        <v>#VALUE!</v>
      </c>
      <c r="AB88" t="e">
        <v>#VALUE!</v>
      </c>
      <c r="AC88" t="e">
        <v>#VALUE!</v>
      </c>
      <c r="AD88" t="e">
        <v>#VALUE!</v>
      </c>
      <c r="AE88" t="e">
        <v>#VALUE!</v>
      </c>
      <c r="AF88" t="e">
        <v>#VALUE!</v>
      </c>
      <c r="AG88" t="e">
        <v>#VALUE!</v>
      </c>
      <c r="AH88" t="e">
        <v>#VALUE!</v>
      </c>
      <c r="AI88" t="e">
        <v>#VALUE!</v>
      </c>
      <c r="AJ88" t="e">
        <v>#VALUE!</v>
      </c>
      <c r="AK88" t="e">
        <v>#VALUE!</v>
      </c>
      <c r="AL88" t="e">
        <v>#VALUE!</v>
      </c>
      <c r="AM88" t="e">
        <v>#VALUE!</v>
      </c>
      <c r="AN88" t="e">
        <v>#VALUE!</v>
      </c>
      <c r="AO88" t="e">
        <v>#VALUE!</v>
      </c>
      <c r="AP88">
        <v>0</v>
      </c>
      <c r="AQ88" t="e">
        <v>#VALUE!</v>
      </c>
      <c r="AR88" t="e">
        <v>#VALUE!</v>
      </c>
      <c r="AS88" t="e">
        <v>#VALUE!</v>
      </c>
      <c r="AT88" t="e">
        <v>#VALUE!</v>
      </c>
      <c r="AU88" t="e">
        <v>#VALUE!</v>
      </c>
      <c r="AV88" t="e">
        <v>#VALUE!</v>
      </c>
      <c r="AW88" t="e">
        <v>#VALUE!</v>
      </c>
      <c r="AX88" t="e">
        <v>#VALUE!</v>
      </c>
      <c r="AY88" t="e">
        <v>#VALUE!</v>
      </c>
      <c r="AZ88" t="e">
        <v>#VALUE!</v>
      </c>
      <c r="BA88" t="e">
        <v>#VALUE!</v>
      </c>
      <c r="BB88" t="e">
        <v>#VALUE!</v>
      </c>
      <c r="BC88" t="e">
        <v>#VALUE!</v>
      </c>
      <c r="BD88" t="e">
        <v>#VALUE!</v>
      </c>
      <c r="BE88" t="e">
        <v>#VALUE!</v>
      </c>
      <c r="BF88" t="e">
        <v>#VALUE!</v>
      </c>
      <c r="BG88" t="e">
        <v>#VALUE!</v>
      </c>
      <c r="BH88" t="e">
        <v>#VALUE!</v>
      </c>
      <c r="BI88">
        <v>0</v>
      </c>
      <c r="BJ88" t="e">
        <v>#VALUE!</v>
      </c>
      <c r="BK88" t="e">
        <v>#VALUE!</v>
      </c>
      <c r="BL88" t="e">
        <v>#VALUE!</v>
      </c>
      <c r="BM88" t="e">
        <v>#VALUE!</v>
      </c>
      <c r="BN88" t="e">
        <v>#VALUE!</v>
      </c>
      <c r="BO88" t="e">
        <v>#VALUE!</v>
      </c>
      <c r="BP88" t="e">
        <v>#VALUE!</v>
      </c>
      <c r="BQ88" t="e">
        <v>#VALUE!</v>
      </c>
      <c r="BR88" t="e">
        <v>#VALUE!</v>
      </c>
      <c r="BS88" t="e">
        <v>#VALUE!</v>
      </c>
      <c r="BT88" t="e">
        <v>#VALUE!</v>
      </c>
      <c r="BU88" t="e">
        <v>#VALUE!</v>
      </c>
      <c r="BV88" t="e">
        <v>#VALUE!</v>
      </c>
      <c r="BW88" t="e">
        <v>#VALUE!</v>
      </c>
      <c r="BX88" t="e">
        <v>#VALUE!</v>
      </c>
      <c r="BY88" t="e">
        <v>#VALUE!</v>
      </c>
      <c r="BZ88" t="e">
        <v>#VALUE!</v>
      </c>
      <c r="CA88" t="e">
        <v>#VALUE!</v>
      </c>
      <c r="CB88">
        <v>0</v>
      </c>
      <c r="CC88" t="e">
        <v>#VALUE!</v>
      </c>
      <c r="CD88" t="e">
        <v>#VALUE!</v>
      </c>
      <c r="CE88" t="e">
        <v>#VALUE!</v>
      </c>
      <c r="CF88" t="e">
        <v>#VALUE!</v>
      </c>
      <c r="CG88" t="e">
        <v>#VALUE!</v>
      </c>
      <c r="CH88" t="e">
        <v>#VALUE!</v>
      </c>
      <c r="CI88" t="e">
        <v>#VALUE!</v>
      </c>
      <c r="CJ88" t="e">
        <v>#VALUE!</v>
      </c>
      <c r="CK88" t="e">
        <v>#VALUE!</v>
      </c>
      <c r="CL88" t="e">
        <v>#VALUE!</v>
      </c>
      <c r="CM88" t="e">
        <v>#VALUE!</v>
      </c>
      <c r="CN88" t="e">
        <v>#VALUE!</v>
      </c>
      <c r="CO88" t="e">
        <v>#VALUE!</v>
      </c>
      <c r="CP88" t="e">
        <v>#VALUE!</v>
      </c>
      <c r="CQ88" t="e">
        <v>#VALUE!</v>
      </c>
      <c r="CR88" t="e">
        <v>#VALUE!</v>
      </c>
      <c r="CS88" t="e">
        <v>#VALUE!</v>
      </c>
      <c r="CT88" t="e">
        <v>#VALUE!</v>
      </c>
      <c r="CU88">
        <v>0</v>
      </c>
      <c r="CV88" t="e">
        <v>#VALUE!</v>
      </c>
      <c r="CW88" t="e">
        <v>#VALUE!</v>
      </c>
      <c r="CX88" t="e">
        <v>#VALUE!</v>
      </c>
      <c r="CY88" t="e">
        <v>#VALUE!</v>
      </c>
      <c r="CZ88" t="e">
        <v>#VALUE!</v>
      </c>
      <c r="DA88" t="e">
        <v>#VALUE!</v>
      </c>
      <c r="DB88" t="e">
        <v>#VALUE!</v>
      </c>
      <c r="DC88" t="e">
        <v>#VALUE!</v>
      </c>
      <c r="DD88" t="e">
        <v>#VALUE!</v>
      </c>
      <c r="DE88" t="e">
        <v>#VALUE!</v>
      </c>
      <c r="DF88" t="e">
        <v>#VALUE!</v>
      </c>
      <c r="DG88" t="e">
        <v>#VALUE!</v>
      </c>
      <c r="DH88" t="e">
        <v>#VALUE!</v>
      </c>
      <c r="DI88" t="e">
        <v>#VALUE!</v>
      </c>
      <c r="DJ88" t="e">
        <v>#VALUE!</v>
      </c>
      <c r="DK88" t="e">
        <v>#VALUE!</v>
      </c>
      <c r="DL88" t="e">
        <v>#VALUE!</v>
      </c>
      <c r="DM88" t="e">
        <v>#VALUE!</v>
      </c>
      <c r="DN88">
        <v>0</v>
      </c>
      <c r="DO88" t="e">
        <v>#VALUE!</v>
      </c>
      <c r="DP88" t="e">
        <v>#VALUE!</v>
      </c>
      <c r="DQ88" t="e">
        <v>#VALUE!</v>
      </c>
      <c r="DR88" t="e">
        <v>#VALUE!</v>
      </c>
      <c r="DS88" t="e">
        <v>#VALUE!</v>
      </c>
      <c r="DT88" t="e">
        <v>#VALUE!</v>
      </c>
      <c r="DU88" t="e">
        <v>#VALUE!</v>
      </c>
      <c r="DV88" t="e">
        <v>#VALUE!</v>
      </c>
      <c r="DW88" t="e">
        <v>#VALUE!</v>
      </c>
      <c r="DX88" t="e">
        <v>#VALUE!</v>
      </c>
      <c r="DY88" t="e">
        <v>#VALUE!</v>
      </c>
      <c r="DZ88" t="e">
        <v>#VALUE!</v>
      </c>
      <c r="EA88" t="e">
        <v>#VALUE!</v>
      </c>
      <c r="EB88" t="e">
        <v>#VALUE!</v>
      </c>
      <c r="EC88" t="e">
        <v>#VALUE!</v>
      </c>
      <c r="ED88" t="e">
        <v>#VALUE!</v>
      </c>
      <c r="EE88" t="e">
        <v>#VALUE!</v>
      </c>
      <c r="EF88" t="e">
        <v>#VALUE!</v>
      </c>
      <c r="EG88">
        <v>0</v>
      </c>
      <c r="EH88" t="e">
        <v>#VALUE!</v>
      </c>
      <c r="EI88" t="e">
        <v>#VALUE!</v>
      </c>
      <c r="EJ88" t="e">
        <v>#VALUE!</v>
      </c>
      <c r="EK88" t="e">
        <v>#VALUE!</v>
      </c>
      <c r="EL88" t="e">
        <v>#VALUE!</v>
      </c>
      <c r="EM88" t="e">
        <v>#VALUE!</v>
      </c>
      <c r="EN88" t="e">
        <v>#VALUE!</v>
      </c>
      <c r="EO88" t="e">
        <v>#VALUE!</v>
      </c>
      <c r="EP88" t="e">
        <v>#VALUE!</v>
      </c>
      <c r="EQ88" t="e">
        <v>#VALUE!</v>
      </c>
      <c r="ER88" t="e">
        <v>#VALUE!</v>
      </c>
      <c r="ES88" t="e">
        <v>#VALUE!</v>
      </c>
      <c r="ET88" t="e">
        <v>#VALUE!</v>
      </c>
      <c r="EU88" t="e">
        <v>#VALUE!</v>
      </c>
      <c r="EV88" t="e">
        <v>#VALUE!</v>
      </c>
      <c r="EW88" t="e">
        <v>#VALUE!</v>
      </c>
      <c r="EX88" t="e">
        <v>#VALUE!</v>
      </c>
      <c r="EY88" t="e">
        <v>#VALUE!</v>
      </c>
      <c r="EZ88">
        <v>0</v>
      </c>
      <c r="FA88" t="e">
        <v>#VALUE!</v>
      </c>
      <c r="FB88" t="e">
        <v>#VALUE!</v>
      </c>
      <c r="FC88" t="e">
        <v>#VALUE!</v>
      </c>
      <c r="FD88" t="e">
        <v>#VALUE!</v>
      </c>
      <c r="FE88" t="e">
        <v>#VALUE!</v>
      </c>
      <c r="FF88" t="e">
        <v>#VALUE!</v>
      </c>
      <c r="FG88" t="e">
        <v>#VALUE!</v>
      </c>
      <c r="FH88" t="e">
        <v>#VALUE!</v>
      </c>
      <c r="FI88" t="e">
        <v>#VALUE!</v>
      </c>
      <c r="FJ88" t="e">
        <v>#VALUE!</v>
      </c>
      <c r="FK88" t="e">
        <v>#VALUE!</v>
      </c>
      <c r="FL88" t="e">
        <v>#VALUE!</v>
      </c>
      <c r="FM88" t="e">
        <v>#VALUE!</v>
      </c>
      <c r="FN88" t="e">
        <v>#VALUE!</v>
      </c>
      <c r="FO88" t="e">
        <v>#VALUE!</v>
      </c>
      <c r="FP88" t="e">
        <v>#VALUE!</v>
      </c>
      <c r="FQ88" t="e">
        <v>#VALUE!</v>
      </c>
      <c r="FR88" t="e">
        <v>#VALUE!</v>
      </c>
      <c r="FS88">
        <v>0</v>
      </c>
      <c r="FT88" t="e">
        <v>#VALUE!</v>
      </c>
      <c r="FU88" t="e">
        <v>#VALUE!</v>
      </c>
      <c r="FV88" t="e">
        <v>#VALUE!</v>
      </c>
      <c r="FW88" t="e">
        <v>#VALUE!</v>
      </c>
      <c r="FX88" t="e">
        <v>#VALUE!</v>
      </c>
      <c r="FY88" t="e">
        <v>#VALUE!</v>
      </c>
      <c r="FZ88" t="e">
        <v>#VALUE!</v>
      </c>
      <c r="GA88" t="e">
        <v>#VALUE!</v>
      </c>
      <c r="GB88" t="e">
        <v>#VALUE!</v>
      </c>
      <c r="GC88" t="e">
        <v>#VALUE!</v>
      </c>
      <c r="GD88" t="e">
        <v>#VALUE!</v>
      </c>
      <c r="GE88" t="e">
        <v>#VALUE!</v>
      </c>
      <c r="GF88" t="e">
        <v>#VALUE!</v>
      </c>
      <c r="GG88" t="e">
        <v>#VALUE!</v>
      </c>
      <c r="GH88" t="e">
        <v>#VALUE!</v>
      </c>
      <c r="GI88" t="e">
        <v>#VALUE!</v>
      </c>
      <c r="GJ88" t="e">
        <v>#VALUE!</v>
      </c>
      <c r="GK88" t="e">
        <v>#VALUE!</v>
      </c>
      <c r="GL88">
        <v>0</v>
      </c>
      <c r="GM88" t="e">
        <v>#VALUE!</v>
      </c>
      <c r="GN88" t="e">
        <v>#VALUE!</v>
      </c>
      <c r="GO88" t="e">
        <v>#VALUE!</v>
      </c>
      <c r="GP88" t="e">
        <v>#VALUE!</v>
      </c>
      <c r="GQ88" t="e">
        <v>#VALUE!</v>
      </c>
      <c r="GR88" t="e">
        <v>#VALUE!</v>
      </c>
      <c r="GS88" t="e">
        <v>#VALUE!</v>
      </c>
      <c r="GT88" t="e">
        <v>#VALUE!</v>
      </c>
      <c r="GU88" t="e">
        <v>#VALUE!</v>
      </c>
      <c r="GV88" t="e">
        <v>#VALUE!</v>
      </c>
      <c r="GW88" t="e">
        <v>#VALUE!</v>
      </c>
      <c r="GX88" t="e">
        <v>#VALUE!</v>
      </c>
      <c r="GY88" t="e">
        <v>#VALUE!</v>
      </c>
      <c r="GZ88" t="e">
        <v>#VALUE!</v>
      </c>
      <c r="HA88" t="e">
        <v>#VALUE!</v>
      </c>
      <c r="HB88" t="e">
        <v>#VALUE!</v>
      </c>
      <c r="HC88" t="e">
        <v>#VALUE!</v>
      </c>
      <c r="HD88" t="e">
        <v>#VALUE!</v>
      </c>
      <c r="HE88">
        <v>0</v>
      </c>
      <c r="HF88" t="e">
        <v>#VALUE!</v>
      </c>
      <c r="HG88" t="e">
        <v>#VALUE!</v>
      </c>
      <c r="HH88" t="e">
        <v>#VALUE!</v>
      </c>
      <c r="HI88" t="e">
        <v>#VALUE!</v>
      </c>
      <c r="HJ88" t="e">
        <v>#VALUE!</v>
      </c>
      <c r="HK88" t="e">
        <v>#VALUE!</v>
      </c>
      <c r="HL88" t="e">
        <v>#VALUE!</v>
      </c>
      <c r="HM88" t="e">
        <v>#VALUE!</v>
      </c>
      <c r="HN88" t="e">
        <v>#VALUE!</v>
      </c>
      <c r="HO88" t="e">
        <v>#VALUE!</v>
      </c>
      <c r="HP88" t="e">
        <v>#VALUE!</v>
      </c>
      <c r="HQ88" t="e">
        <v>#VALUE!</v>
      </c>
      <c r="HR88" t="e">
        <v>#VALUE!</v>
      </c>
      <c r="HS88" t="e">
        <v>#VALUE!</v>
      </c>
      <c r="HT88" t="e">
        <v>#VALUE!</v>
      </c>
      <c r="HU88" t="e">
        <v>#VALUE!</v>
      </c>
      <c r="HV88" t="e">
        <v>#VALUE!</v>
      </c>
      <c r="HW88" t="e">
        <v>#VALUE!</v>
      </c>
      <c r="HX88">
        <v>0</v>
      </c>
      <c r="HY88" t="e">
        <v>#VALUE!</v>
      </c>
      <c r="HZ88" t="e">
        <v>#VALUE!</v>
      </c>
      <c r="IA88" t="e">
        <v>#VALUE!</v>
      </c>
      <c r="IB88" t="e">
        <v>#VALUE!</v>
      </c>
      <c r="IC88" t="e">
        <v>#VALUE!</v>
      </c>
      <c r="ID88" t="e">
        <v>#VALUE!</v>
      </c>
      <c r="IE88" t="e">
        <v>#VALUE!</v>
      </c>
      <c r="IF88" t="e">
        <v>#VALUE!</v>
      </c>
      <c r="IG88" t="e">
        <v>#VALUE!</v>
      </c>
      <c r="IH88" t="e">
        <v>#VALUE!</v>
      </c>
      <c r="II88" t="e">
        <v>#VALUE!</v>
      </c>
      <c r="IJ88" t="e">
        <v>#VALUE!</v>
      </c>
      <c r="IK88" t="e">
        <v>#VALUE!</v>
      </c>
      <c r="IL88" t="e">
        <v>#VALUE!</v>
      </c>
      <c r="IM88" t="e">
        <v>#VALUE!</v>
      </c>
      <c r="IN88" t="e">
        <v>#VALUE!</v>
      </c>
      <c r="IO88" t="e">
        <v>#VALUE!</v>
      </c>
      <c r="IP88" t="e">
        <v>#VALUE!</v>
      </c>
      <c r="IQ88">
        <v>0</v>
      </c>
      <c r="IR88" t="e">
        <v>#VALUE!</v>
      </c>
      <c r="IS88" t="e">
        <v>#VALUE!</v>
      </c>
      <c r="IT88" t="e">
        <v>#VALUE!</v>
      </c>
      <c r="IU88" t="e">
        <v>#VALUE!</v>
      </c>
      <c r="IV88" t="e">
        <v>#VALUE!</v>
      </c>
    </row>
    <row r="89" spans="1:256" x14ac:dyDescent="0.25">
      <c r="A89" t="e">
        <v>#VALUE!</v>
      </c>
      <c r="B89" t="e">
        <v>#VALUE!</v>
      </c>
      <c r="C89" t="e">
        <v>#VALUE!</v>
      </c>
      <c r="D89" t="e">
        <v>#VALUE!</v>
      </c>
      <c r="E89" t="e">
        <v>#VALUE!</v>
      </c>
      <c r="F89" t="e">
        <v>#VALUE!</v>
      </c>
      <c r="G89" t="e">
        <v>#VALUE!</v>
      </c>
      <c r="H89" t="e">
        <v>#VALUE!</v>
      </c>
      <c r="I89" t="e">
        <v>#VALUE!</v>
      </c>
      <c r="J89" t="e">
        <v>#VALUE!</v>
      </c>
      <c r="K89" t="e">
        <v>#VALUE!</v>
      </c>
      <c r="L89" t="e">
        <v>#VALUE!</v>
      </c>
      <c r="M89" t="e">
        <v>#VALUE!</v>
      </c>
      <c r="N89">
        <v>0</v>
      </c>
      <c r="O89" t="e">
        <v>#VALUE!</v>
      </c>
      <c r="P89" t="e">
        <v>#VALUE!</v>
      </c>
      <c r="Q89" t="e">
        <v>#VALUE!</v>
      </c>
      <c r="R89" t="e">
        <v>#VALUE!</v>
      </c>
      <c r="S89" t="e">
        <v>#VALUE!</v>
      </c>
      <c r="T89" t="e">
        <v>#VALUE!</v>
      </c>
      <c r="U89" t="e">
        <v>#VALUE!</v>
      </c>
      <c r="V89" t="e">
        <v>#VALUE!</v>
      </c>
      <c r="W89" t="e">
        <v>#VALUE!</v>
      </c>
      <c r="X89" t="e">
        <v>#VALUE!</v>
      </c>
      <c r="Y89" t="e">
        <v>#VALUE!</v>
      </c>
      <c r="Z89" t="e">
        <v>#VALUE!</v>
      </c>
      <c r="AA89" t="e">
        <v>#VALUE!</v>
      </c>
      <c r="AB89" t="e">
        <v>#VALUE!</v>
      </c>
      <c r="AC89" t="e">
        <v>#VALUE!</v>
      </c>
      <c r="AD89" t="e">
        <v>#VALUE!</v>
      </c>
      <c r="AE89" t="e">
        <v>#VALUE!</v>
      </c>
      <c r="AF89" t="e">
        <v>#VALUE!</v>
      </c>
      <c r="AG89">
        <v>0</v>
      </c>
      <c r="AH89" t="e">
        <v>#VALUE!</v>
      </c>
      <c r="AI89" t="e">
        <v>#VALUE!</v>
      </c>
      <c r="AJ89" t="e">
        <v>#VALUE!</v>
      </c>
      <c r="AK89" t="e">
        <v>#VALUE!</v>
      </c>
      <c r="AL89" t="e">
        <v>#VALUE!</v>
      </c>
      <c r="AM89" t="e">
        <v>#VALUE!</v>
      </c>
      <c r="AN89" t="e">
        <v>#VALUE!</v>
      </c>
      <c r="AO89" t="e">
        <v>#VALUE!</v>
      </c>
      <c r="AP89" t="e">
        <v>#VALUE!</v>
      </c>
      <c r="AQ89" t="e">
        <v>#VALUE!</v>
      </c>
      <c r="AR89" t="e">
        <v>#VALUE!</v>
      </c>
      <c r="AS89" t="e">
        <v>#VALUE!</v>
      </c>
      <c r="AT89" t="e">
        <v>#VALUE!</v>
      </c>
      <c r="AU89" t="e">
        <v>#VALUE!</v>
      </c>
      <c r="AV89" t="e">
        <v>#VALUE!</v>
      </c>
      <c r="AW89" t="e">
        <v>#VALUE!</v>
      </c>
      <c r="AX89" t="e">
        <v>#VALUE!</v>
      </c>
      <c r="AY89" t="e">
        <v>#VALUE!</v>
      </c>
      <c r="AZ89">
        <v>0</v>
      </c>
      <c r="BA89" t="e">
        <v>#VALUE!</v>
      </c>
      <c r="BB89" t="e">
        <v>#VALUE!</v>
      </c>
      <c r="BC89" t="e">
        <v>#VALUE!</v>
      </c>
      <c r="BD89" t="e">
        <v>#VALUE!</v>
      </c>
      <c r="BE89" t="e">
        <v>#VALUE!</v>
      </c>
      <c r="BF89" t="e">
        <v>#VALUE!</v>
      </c>
      <c r="BG89" t="e">
        <v>#VALUE!</v>
      </c>
      <c r="BH89" t="e">
        <v>#VALUE!</v>
      </c>
      <c r="BI89" t="e">
        <v>#VALUE!</v>
      </c>
      <c r="BJ89" t="e">
        <v>#VALUE!</v>
      </c>
      <c r="BK89" t="e">
        <v>#VALUE!</v>
      </c>
      <c r="BL89" t="e">
        <v>#VALUE!</v>
      </c>
      <c r="BM89" t="e">
        <v>#VALUE!</v>
      </c>
      <c r="BN89" t="e">
        <v>#VALUE!</v>
      </c>
      <c r="BO89" t="e">
        <v>#VALUE!</v>
      </c>
      <c r="BP89" t="e">
        <v>#VALUE!</v>
      </c>
      <c r="BQ89" t="e">
        <v>#VALUE!</v>
      </c>
      <c r="BR89" t="e">
        <v>#VALUE!</v>
      </c>
      <c r="BS89">
        <v>0</v>
      </c>
      <c r="BT89" t="e">
        <v>#VALUE!</v>
      </c>
      <c r="BU89" t="e">
        <v>#VALUE!</v>
      </c>
      <c r="BV89" t="e">
        <v>#VALUE!</v>
      </c>
      <c r="BW89" t="e">
        <v>#VALUE!</v>
      </c>
      <c r="BX89" t="e">
        <v>#VALUE!</v>
      </c>
      <c r="BY89" t="e">
        <v>#VALUE!</v>
      </c>
      <c r="BZ89" t="e">
        <v>#VALUE!</v>
      </c>
      <c r="CA89" t="e">
        <v>#VALUE!</v>
      </c>
      <c r="CB89" t="e">
        <v>#VALUE!</v>
      </c>
      <c r="CC89" t="e">
        <v>#VALUE!</v>
      </c>
      <c r="CD89" t="e">
        <v>#VALUE!</v>
      </c>
      <c r="CE89" t="e">
        <v>#VALUE!</v>
      </c>
      <c r="CF89" t="e">
        <v>#VALUE!</v>
      </c>
      <c r="CG89" t="e">
        <v>#VALUE!</v>
      </c>
      <c r="CH89" t="e">
        <v>#VALUE!</v>
      </c>
      <c r="CI89" t="e">
        <v>#VALUE!</v>
      </c>
      <c r="CJ89" t="e">
        <v>#VALUE!</v>
      </c>
      <c r="CK89" t="e">
        <v>#VALUE!</v>
      </c>
      <c r="CL89">
        <v>0</v>
      </c>
      <c r="CM89" t="e">
        <v>#VALUE!</v>
      </c>
      <c r="CN89" t="e">
        <v>#VALUE!</v>
      </c>
      <c r="CO89" t="e">
        <v>#VALUE!</v>
      </c>
      <c r="CP89" t="e">
        <v>#VALUE!</v>
      </c>
      <c r="CQ89" t="e">
        <v>#VALUE!</v>
      </c>
      <c r="CR89" t="e">
        <v>#VALUE!</v>
      </c>
      <c r="CS89" t="e">
        <v>#VALUE!</v>
      </c>
      <c r="CT89" t="e">
        <v>#VALUE!</v>
      </c>
      <c r="CU89" t="e">
        <v>#VALUE!</v>
      </c>
      <c r="CV89" t="e">
        <v>#VALUE!</v>
      </c>
      <c r="CW89" t="e">
        <v>#VALUE!</v>
      </c>
      <c r="CX89" t="e">
        <v>#VALUE!</v>
      </c>
      <c r="CY89" t="e">
        <v>#VALUE!</v>
      </c>
      <c r="CZ89" t="e">
        <v>#VALUE!</v>
      </c>
      <c r="DA89" t="e">
        <v>#VALUE!</v>
      </c>
      <c r="DB89" t="e">
        <v>#VALUE!</v>
      </c>
      <c r="DC89" t="e">
        <v>#VALUE!</v>
      </c>
      <c r="DD89" t="e">
        <v>#VALUE!</v>
      </c>
      <c r="DE89">
        <v>0</v>
      </c>
      <c r="DF89" t="e">
        <v>#VALUE!</v>
      </c>
      <c r="DG89" t="e">
        <v>#VALUE!</v>
      </c>
      <c r="DH89" t="e">
        <v>#VALUE!</v>
      </c>
      <c r="DI89" t="e">
        <v>#VALUE!</v>
      </c>
      <c r="DJ89" t="e">
        <v>#VALUE!</v>
      </c>
      <c r="DK89" t="e">
        <v>#VALUE!</v>
      </c>
      <c r="DL89" t="e">
        <v>#VALUE!</v>
      </c>
      <c r="DM89" t="e">
        <v>#VALUE!</v>
      </c>
      <c r="DN89" t="e">
        <v>#VALUE!</v>
      </c>
      <c r="DO89" t="e">
        <v>#VALUE!</v>
      </c>
      <c r="DP89" t="e">
        <v>#VALUE!</v>
      </c>
      <c r="DQ89" t="e">
        <v>#VALUE!</v>
      </c>
      <c r="DR89" t="e">
        <v>#VALUE!</v>
      </c>
      <c r="DS89" t="e">
        <v>#VALUE!</v>
      </c>
      <c r="DT89" t="e">
        <v>#VALUE!</v>
      </c>
      <c r="DU89" t="e">
        <v>#VALUE!</v>
      </c>
      <c r="DV89" t="e">
        <v>#VALUE!</v>
      </c>
      <c r="DW89" t="e">
        <v>#VALUE!</v>
      </c>
      <c r="DX89">
        <v>0</v>
      </c>
      <c r="DY89" t="e">
        <v>#VALUE!</v>
      </c>
      <c r="DZ89" t="e">
        <v>#VALUE!</v>
      </c>
      <c r="EA89" t="e">
        <v>#VALUE!</v>
      </c>
      <c r="EB89" t="e">
        <v>#VALUE!</v>
      </c>
      <c r="EC89" t="e">
        <v>#VALUE!</v>
      </c>
      <c r="ED89" t="e">
        <v>#VALUE!</v>
      </c>
      <c r="EE89" t="e">
        <v>#VALUE!</v>
      </c>
      <c r="EF89" t="e">
        <v>#VALUE!</v>
      </c>
      <c r="EG89" t="e">
        <v>#VALUE!</v>
      </c>
      <c r="EH89" t="e">
        <v>#VALUE!</v>
      </c>
      <c r="EI89" t="e">
        <v>#VALUE!</v>
      </c>
      <c r="EJ89" t="e">
        <v>#VALUE!</v>
      </c>
      <c r="EK89" t="e">
        <v>#VALUE!</v>
      </c>
      <c r="EL89" t="e">
        <v>#VALUE!</v>
      </c>
      <c r="EM89" t="e">
        <v>#VALUE!</v>
      </c>
      <c r="EN89" t="e">
        <v>#VALUE!</v>
      </c>
      <c r="EO89" t="e">
        <v>#VALUE!</v>
      </c>
      <c r="EP89" t="e">
        <v>#VALUE!</v>
      </c>
      <c r="EQ89">
        <v>0</v>
      </c>
      <c r="ER89" t="e">
        <v>#VALUE!</v>
      </c>
      <c r="ES89" t="e">
        <v>#VALUE!</v>
      </c>
      <c r="ET89" t="e">
        <v>#VALUE!</v>
      </c>
      <c r="EU89" t="e">
        <v>#VALUE!</v>
      </c>
      <c r="EV89" t="e">
        <v>#VALUE!</v>
      </c>
      <c r="EW89" t="e">
        <v>#VALUE!</v>
      </c>
      <c r="EX89" t="e">
        <v>#VALUE!</v>
      </c>
      <c r="EY89" t="e">
        <v>#VALUE!</v>
      </c>
      <c r="EZ89" t="e">
        <v>#VALUE!</v>
      </c>
      <c r="FA89" t="e">
        <v>#VALUE!</v>
      </c>
      <c r="FB89" t="e">
        <v>#VALUE!</v>
      </c>
      <c r="FC89" t="e">
        <v>#VALUE!</v>
      </c>
      <c r="FD89" t="e">
        <v>#VALUE!</v>
      </c>
      <c r="FE89" t="e">
        <v>#VALUE!</v>
      </c>
      <c r="FF89" t="e">
        <v>#VALUE!</v>
      </c>
      <c r="FG89" t="e">
        <v>#VALUE!</v>
      </c>
      <c r="FH89" t="e">
        <v>#VALUE!</v>
      </c>
      <c r="FI89" t="e">
        <v>#VALUE!</v>
      </c>
      <c r="FJ89">
        <v>0</v>
      </c>
      <c r="FK89" t="e">
        <v>#VALUE!</v>
      </c>
      <c r="FL89" t="e">
        <v>#VALUE!</v>
      </c>
      <c r="FM89" t="e">
        <v>#VALUE!</v>
      </c>
      <c r="FN89" t="e">
        <v>#VALUE!</v>
      </c>
      <c r="FO89" t="e">
        <v>#VALUE!</v>
      </c>
      <c r="FP89" t="e">
        <v>#VALUE!</v>
      </c>
      <c r="FQ89" t="e">
        <v>#VALUE!</v>
      </c>
      <c r="FR89" t="e">
        <v>#VALUE!</v>
      </c>
      <c r="FS89" t="e">
        <v>#VALUE!</v>
      </c>
      <c r="FT89" t="e">
        <v>#VALUE!</v>
      </c>
      <c r="FU89" t="e">
        <v>#VALUE!</v>
      </c>
      <c r="FV89" t="e">
        <v>#VALUE!</v>
      </c>
      <c r="FW89" t="e">
        <v>#VALUE!</v>
      </c>
      <c r="FX89" t="e">
        <v>#VALUE!</v>
      </c>
      <c r="FY89" t="e">
        <v>#VALUE!</v>
      </c>
      <c r="FZ89" t="e">
        <v>#VALUE!</v>
      </c>
      <c r="GA89" t="e">
        <v>#VALUE!</v>
      </c>
      <c r="GB89" t="e">
        <v>#VALUE!</v>
      </c>
      <c r="GC89">
        <v>0</v>
      </c>
      <c r="GD89" t="e">
        <v>#VALUE!</v>
      </c>
      <c r="GE89" t="e">
        <v>#VALUE!</v>
      </c>
      <c r="GF89" t="e">
        <v>#VALUE!</v>
      </c>
      <c r="GG89" t="e">
        <v>#VALUE!</v>
      </c>
      <c r="GH89" t="e">
        <v>#VALUE!</v>
      </c>
      <c r="GI89" t="e">
        <v>#VALUE!</v>
      </c>
      <c r="GJ89" t="e">
        <v>#VALUE!</v>
      </c>
      <c r="GK89" t="e">
        <v>#VALUE!</v>
      </c>
      <c r="GL89" t="e">
        <v>#VALUE!</v>
      </c>
      <c r="GM89" t="e">
        <v>#VALUE!</v>
      </c>
      <c r="GN89" t="e">
        <v>#VALUE!</v>
      </c>
      <c r="GO89" t="e">
        <v>#VALUE!</v>
      </c>
      <c r="GP89" t="e">
        <v>#VALUE!</v>
      </c>
      <c r="GQ89" t="e">
        <v>#VALUE!</v>
      </c>
      <c r="GR89" t="e">
        <v>#VALUE!</v>
      </c>
      <c r="GS89" t="e">
        <v>#VALUE!</v>
      </c>
      <c r="GT89" t="e">
        <v>#VALUE!</v>
      </c>
      <c r="GU89" t="e">
        <v>#VALUE!</v>
      </c>
      <c r="GV89">
        <v>0</v>
      </c>
      <c r="GW89" t="e">
        <v>#VALUE!</v>
      </c>
      <c r="GX89" t="e">
        <v>#VALUE!</v>
      </c>
      <c r="GY89" t="e">
        <v>#VALUE!</v>
      </c>
      <c r="GZ89" t="e">
        <v>#VALUE!</v>
      </c>
      <c r="HA89" t="e">
        <v>#VALUE!</v>
      </c>
      <c r="HB89" t="e">
        <v>#VALUE!</v>
      </c>
      <c r="HC89" t="e">
        <v>#VALUE!</v>
      </c>
      <c r="HD89" t="e">
        <v>#VALUE!</v>
      </c>
      <c r="HE89" t="e">
        <v>#VALUE!</v>
      </c>
      <c r="HF89" t="e">
        <v>#VALUE!</v>
      </c>
      <c r="HG89" t="e">
        <v>#VALUE!</v>
      </c>
      <c r="HH89" t="e">
        <v>#VALUE!</v>
      </c>
      <c r="HI89" t="e">
        <v>#VALUE!</v>
      </c>
      <c r="HJ89" t="e">
        <v>#VALUE!</v>
      </c>
      <c r="HK89" t="e">
        <v>#VALUE!</v>
      </c>
      <c r="HL89" t="e">
        <v>#VALUE!</v>
      </c>
      <c r="HM89" t="e">
        <v>#VALUE!</v>
      </c>
      <c r="HN89" t="e">
        <v>#VALUE!</v>
      </c>
      <c r="HO89">
        <v>0</v>
      </c>
      <c r="HP89" t="e">
        <v>#VALUE!</v>
      </c>
      <c r="HQ89" t="e">
        <v>#VALUE!</v>
      </c>
      <c r="HR89" t="e">
        <v>#VALUE!</v>
      </c>
      <c r="HS89" t="e">
        <v>#VALUE!</v>
      </c>
      <c r="HT89" t="e">
        <v>#VALUE!</v>
      </c>
      <c r="HU89" t="e">
        <v>#VALUE!</v>
      </c>
      <c r="HV89" t="e">
        <v>#VALUE!</v>
      </c>
      <c r="HW89" t="e">
        <v>#VALUE!</v>
      </c>
      <c r="HX89" t="e">
        <v>#VALUE!</v>
      </c>
      <c r="HY89" t="e">
        <v>#VALUE!</v>
      </c>
      <c r="HZ89" t="e">
        <v>#VALUE!</v>
      </c>
      <c r="IA89" t="e">
        <v>#VALUE!</v>
      </c>
      <c r="IB89" t="e">
        <v>#VALUE!</v>
      </c>
      <c r="IC89" t="e">
        <v>#VALUE!</v>
      </c>
      <c r="ID89" t="e">
        <v>#VALUE!</v>
      </c>
      <c r="IE89" t="e">
        <v>#VALUE!</v>
      </c>
      <c r="IF89" t="e">
        <v>#VALUE!</v>
      </c>
      <c r="IG89" t="e">
        <v>#VALUE!</v>
      </c>
      <c r="IH89">
        <v>0</v>
      </c>
      <c r="II89" t="e">
        <v>#VALUE!</v>
      </c>
      <c r="IJ89" t="e">
        <v>#VALUE!</v>
      </c>
      <c r="IK89" t="e">
        <v>#VALUE!</v>
      </c>
      <c r="IL89" t="e">
        <v>#VALUE!</v>
      </c>
      <c r="IM89" t="e">
        <v>#VALUE!</v>
      </c>
      <c r="IN89" t="e">
        <v>#VALUE!</v>
      </c>
      <c r="IO89" t="e">
        <v>#VALUE!</v>
      </c>
      <c r="IP89" t="e">
        <v>#VALUE!</v>
      </c>
      <c r="IQ89" t="e">
        <v>#VALUE!</v>
      </c>
      <c r="IR89" t="e">
        <v>#VALUE!</v>
      </c>
      <c r="IS89" t="e">
        <v>#VALUE!</v>
      </c>
      <c r="IT89" t="e">
        <v>#VALUE!</v>
      </c>
      <c r="IU89" t="e">
        <v>#VALUE!</v>
      </c>
      <c r="IV89" t="e">
        <v>#VALUE!</v>
      </c>
    </row>
    <row r="90" spans="1:256" x14ac:dyDescent="0.25">
      <c r="A90" t="e">
        <v>#VALUE!</v>
      </c>
      <c r="B90" t="e">
        <v>#VALUE!</v>
      </c>
      <c r="C90" t="e">
        <v>#VALUE!</v>
      </c>
      <c r="D90" t="e">
        <v>#VALUE!</v>
      </c>
      <c r="E90">
        <v>0</v>
      </c>
      <c r="F90" t="e">
        <v>#VALUE!</v>
      </c>
      <c r="G90" t="e">
        <v>#VALUE!</v>
      </c>
      <c r="H90" t="e">
        <v>#VALUE!</v>
      </c>
      <c r="I90" t="e">
        <v>#VALUE!</v>
      </c>
      <c r="J90" t="e">
        <v>#VALUE!</v>
      </c>
      <c r="K90" t="e">
        <v>#VALUE!</v>
      </c>
      <c r="L90" t="e">
        <v>#VALUE!</v>
      </c>
      <c r="M90" t="e">
        <v>#VALUE!</v>
      </c>
      <c r="N90" t="e">
        <v>#VALUE!</v>
      </c>
      <c r="O90" t="e">
        <v>#VALUE!</v>
      </c>
      <c r="P90" t="e">
        <v>#VALUE!</v>
      </c>
      <c r="Q90" t="e">
        <v>#VALUE!</v>
      </c>
      <c r="R90" t="e">
        <v>#VALUE!</v>
      </c>
      <c r="S90" t="e">
        <v>#VALUE!</v>
      </c>
      <c r="T90" t="e">
        <v>#VALUE!</v>
      </c>
      <c r="U90" t="e">
        <v>#VALUE!</v>
      </c>
      <c r="V90" t="e">
        <v>#VALUE!</v>
      </c>
      <c r="W90" t="e">
        <v>#VALUE!</v>
      </c>
      <c r="X90">
        <v>0</v>
      </c>
      <c r="Y90" t="e">
        <v>#VALUE!</v>
      </c>
      <c r="Z90" t="e">
        <v>#VALUE!</v>
      </c>
      <c r="AA90" t="e">
        <v>#VALUE!</v>
      </c>
      <c r="AB90" t="e">
        <v>#VALUE!</v>
      </c>
      <c r="AC90" t="e">
        <v>#VALUE!</v>
      </c>
      <c r="AD90" t="e">
        <v>#VALUE!</v>
      </c>
      <c r="AE90" t="e">
        <v>#VALUE!</v>
      </c>
      <c r="AF90" t="e">
        <v>#VALUE!</v>
      </c>
      <c r="AG90" t="e">
        <v>#VALUE!</v>
      </c>
      <c r="AH90" t="e">
        <v>#VALUE!</v>
      </c>
      <c r="AI90" t="e">
        <v>#VALUE!</v>
      </c>
      <c r="AJ90" t="e">
        <v>#VALUE!</v>
      </c>
      <c r="AK90" t="e">
        <v>#VALUE!</v>
      </c>
      <c r="AL90" t="e">
        <v>#VALUE!</v>
      </c>
      <c r="AM90" t="e">
        <v>#VALUE!</v>
      </c>
      <c r="AN90" t="e">
        <v>#VALUE!</v>
      </c>
      <c r="AO90" t="e">
        <v>#VALUE!</v>
      </c>
      <c r="AP90" t="e">
        <v>#VALUE!</v>
      </c>
      <c r="AQ90">
        <v>0</v>
      </c>
      <c r="AR90" t="e">
        <v>#VALUE!</v>
      </c>
      <c r="AS90" t="e">
        <v>#VALUE!</v>
      </c>
      <c r="AT90" t="e">
        <v>#VALUE!</v>
      </c>
      <c r="AU90" t="e">
        <v>#VALUE!</v>
      </c>
      <c r="AV90" t="e">
        <v>#VALUE!</v>
      </c>
      <c r="AW90" t="e">
        <v>#VALUE!</v>
      </c>
      <c r="AX90" t="e">
        <v>#VALUE!</v>
      </c>
      <c r="AY90" t="e">
        <v>#VALUE!</v>
      </c>
      <c r="AZ90" t="e">
        <v>#VALUE!</v>
      </c>
      <c r="BA90" t="e">
        <v>#VALUE!</v>
      </c>
      <c r="BB90" t="e">
        <v>#VALUE!</v>
      </c>
      <c r="BC90" t="e">
        <v>#VALUE!</v>
      </c>
      <c r="BD90" t="e">
        <v>#VALUE!</v>
      </c>
      <c r="BE90" t="e">
        <v>#VALUE!</v>
      </c>
      <c r="BF90" t="e">
        <v>#VALUE!</v>
      </c>
      <c r="BG90" t="e">
        <v>#VALUE!</v>
      </c>
      <c r="BH90" t="e">
        <v>#VALUE!</v>
      </c>
      <c r="BI90" t="e">
        <v>#VALUE!</v>
      </c>
      <c r="BJ90">
        <v>0</v>
      </c>
      <c r="BK90" t="e">
        <v>#VALUE!</v>
      </c>
      <c r="BL90" t="e">
        <v>#VALUE!</v>
      </c>
      <c r="BM90" t="e">
        <v>#VALUE!</v>
      </c>
      <c r="BN90" t="e">
        <v>#VALUE!</v>
      </c>
      <c r="BO90" t="e">
        <v>#VALUE!</v>
      </c>
      <c r="BP90" t="e">
        <v>#VALUE!</v>
      </c>
      <c r="BQ90" t="e">
        <v>#VALUE!</v>
      </c>
      <c r="BR90" t="e">
        <v>#VALUE!</v>
      </c>
      <c r="BS90" t="e">
        <v>#VALUE!</v>
      </c>
      <c r="BT90" t="e">
        <v>#VALUE!</v>
      </c>
      <c r="BU90" t="e">
        <v>#VALUE!</v>
      </c>
      <c r="BV90" t="e">
        <v>#VALUE!</v>
      </c>
      <c r="BW90" t="e">
        <v>#VALUE!</v>
      </c>
      <c r="BX90" t="e">
        <v>#VALUE!</v>
      </c>
      <c r="BY90" t="e">
        <v>#VALUE!</v>
      </c>
      <c r="BZ90" t="e">
        <v>#VALUE!</v>
      </c>
      <c r="CA90" t="e">
        <v>#VALUE!</v>
      </c>
      <c r="CB90" t="e">
        <v>#VALUE!</v>
      </c>
      <c r="CC90">
        <v>0</v>
      </c>
      <c r="CD90" t="e">
        <v>#VALUE!</v>
      </c>
      <c r="CE90" t="e">
        <v>#VALUE!</v>
      </c>
      <c r="CF90" t="e">
        <v>#VALUE!</v>
      </c>
      <c r="CG90" t="e">
        <v>#VALUE!</v>
      </c>
      <c r="CH90" t="e">
        <v>#VALUE!</v>
      </c>
      <c r="CI90" t="e">
        <v>#VALUE!</v>
      </c>
      <c r="CJ90" t="e">
        <v>#VALUE!</v>
      </c>
      <c r="CK90" t="e">
        <v>#VALUE!</v>
      </c>
      <c r="CL90" t="e">
        <v>#VALUE!</v>
      </c>
      <c r="CM90" t="e">
        <v>#VALUE!</v>
      </c>
      <c r="CN90" t="e">
        <v>#VALUE!</v>
      </c>
      <c r="CO90" t="e">
        <v>#VALUE!</v>
      </c>
      <c r="CP90" t="e">
        <v>#VALUE!</v>
      </c>
      <c r="CQ90" t="e">
        <v>#VALUE!</v>
      </c>
      <c r="CR90" t="e">
        <v>#VALUE!</v>
      </c>
      <c r="CS90" t="e">
        <v>#VALUE!</v>
      </c>
      <c r="CT90" t="e">
        <v>#VALUE!</v>
      </c>
      <c r="CU90" t="e">
        <v>#VALUE!</v>
      </c>
      <c r="CV90">
        <v>0</v>
      </c>
      <c r="CW90" t="e">
        <v>#VALUE!</v>
      </c>
      <c r="CX90" t="e">
        <v>#VALUE!</v>
      </c>
      <c r="CY90" t="e">
        <v>#VALUE!</v>
      </c>
      <c r="CZ90" t="e">
        <v>#VALUE!</v>
      </c>
      <c r="DA90" t="e">
        <v>#VALUE!</v>
      </c>
      <c r="DB90" t="e">
        <v>#VALUE!</v>
      </c>
      <c r="DC90" t="e">
        <v>#VALUE!</v>
      </c>
      <c r="DD90" t="e">
        <v>#VALUE!</v>
      </c>
      <c r="DE90" t="e">
        <v>#VALUE!</v>
      </c>
      <c r="DF90" t="e">
        <v>#VALUE!</v>
      </c>
      <c r="DG90" t="e">
        <v>#VALUE!</v>
      </c>
      <c r="DH90" t="e">
        <v>#VALUE!</v>
      </c>
      <c r="DI90" t="e">
        <v>#VALUE!</v>
      </c>
      <c r="DJ90" t="e">
        <v>#VALUE!</v>
      </c>
      <c r="DK90" t="e">
        <v>#VALUE!</v>
      </c>
      <c r="DL90" t="e">
        <v>#VALUE!</v>
      </c>
      <c r="DM90" t="e">
        <v>#VALUE!</v>
      </c>
      <c r="DN90" t="e">
        <v>#VALUE!</v>
      </c>
      <c r="DO90">
        <v>0</v>
      </c>
      <c r="DP90" t="e">
        <v>#VALUE!</v>
      </c>
      <c r="DQ90" t="e">
        <v>#VALUE!</v>
      </c>
      <c r="DR90" t="e">
        <v>#VALUE!</v>
      </c>
      <c r="DS90" t="e">
        <v>#VALUE!</v>
      </c>
      <c r="DT90" t="e">
        <v>#VALUE!</v>
      </c>
      <c r="DU90" t="e">
        <v>#VALUE!</v>
      </c>
      <c r="DV90" t="e">
        <v>#VALUE!</v>
      </c>
      <c r="DW90" t="e">
        <v>#VALUE!</v>
      </c>
      <c r="DX90" t="e">
        <v>#VALUE!</v>
      </c>
      <c r="DY90" t="e">
        <v>#VALUE!</v>
      </c>
      <c r="DZ90" t="e">
        <v>#VALUE!</v>
      </c>
      <c r="EA90" t="e">
        <v>#VALUE!</v>
      </c>
      <c r="EB90" t="e">
        <v>#VALUE!</v>
      </c>
      <c r="EC90" t="e">
        <v>#VALUE!</v>
      </c>
      <c r="ED90" t="e">
        <v>#VALUE!</v>
      </c>
      <c r="EE90" t="e">
        <v>#VALUE!</v>
      </c>
      <c r="EF90" t="e">
        <v>#VALUE!</v>
      </c>
      <c r="EG90" t="e">
        <v>#VALUE!</v>
      </c>
      <c r="EH90">
        <v>0</v>
      </c>
      <c r="EI90" t="e">
        <v>#VALUE!</v>
      </c>
      <c r="EJ90" t="e">
        <v>#VALUE!</v>
      </c>
      <c r="EK90" t="e">
        <v>#VALUE!</v>
      </c>
      <c r="EL90" t="e">
        <v>#VALUE!</v>
      </c>
      <c r="EM90" t="e">
        <v>#VALUE!</v>
      </c>
      <c r="EN90" t="e">
        <v>#VALUE!</v>
      </c>
      <c r="EO90" t="e">
        <v>#VALUE!</v>
      </c>
      <c r="EP90" t="e">
        <v>#VALUE!</v>
      </c>
      <c r="EQ90" t="e">
        <v>#VALUE!</v>
      </c>
      <c r="ER90" t="e">
        <v>#VALUE!</v>
      </c>
      <c r="ES90" t="e">
        <v>#VALUE!</v>
      </c>
      <c r="ET90" t="e">
        <v>#VALUE!</v>
      </c>
      <c r="EU90" t="e">
        <v>#VALUE!</v>
      </c>
      <c r="EV90" t="e">
        <v>#VALUE!</v>
      </c>
      <c r="EW90" t="e">
        <v>#VALUE!</v>
      </c>
      <c r="EX90" t="e">
        <v>#VALUE!</v>
      </c>
      <c r="EY90" t="e">
        <v>#VALUE!</v>
      </c>
      <c r="EZ90" t="e">
        <v>#VALUE!</v>
      </c>
      <c r="FA90">
        <v>0</v>
      </c>
      <c r="FB90" t="e">
        <v>#VALUE!</v>
      </c>
      <c r="FC90" t="e">
        <v>#VALUE!</v>
      </c>
      <c r="FD90" t="e">
        <v>#VALUE!</v>
      </c>
      <c r="FE90" t="e">
        <v>#VALUE!</v>
      </c>
      <c r="FF90" t="e">
        <v>#VALUE!</v>
      </c>
      <c r="FG90" t="e">
        <v>#VALUE!</v>
      </c>
      <c r="FH90" t="e">
        <v>#VALUE!</v>
      </c>
      <c r="FI90" t="e">
        <v>#VALUE!</v>
      </c>
      <c r="FJ90" t="e">
        <v>#VALUE!</v>
      </c>
      <c r="FK90" t="e">
        <v>#VALUE!</v>
      </c>
      <c r="FL90" t="e">
        <v>#VALUE!</v>
      </c>
      <c r="FM90" t="e">
        <v>#VALUE!</v>
      </c>
      <c r="FN90" t="e">
        <v>#VALUE!</v>
      </c>
      <c r="FO90" t="e">
        <v>#VALUE!</v>
      </c>
      <c r="FP90" t="e">
        <v>#VALUE!</v>
      </c>
      <c r="FQ90" t="e">
        <v>#VALUE!</v>
      </c>
      <c r="FR90" t="e">
        <v>#VALUE!</v>
      </c>
      <c r="FS90" t="e">
        <v>#VALUE!</v>
      </c>
      <c r="FT90">
        <v>0</v>
      </c>
      <c r="FU90" t="e">
        <v>#VALUE!</v>
      </c>
      <c r="FV90" t="e">
        <v>#VALUE!</v>
      </c>
      <c r="FW90" t="e">
        <v>#VALUE!</v>
      </c>
      <c r="FX90" t="e">
        <v>#VALUE!</v>
      </c>
      <c r="FY90" t="e">
        <v>#VALUE!</v>
      </c>
      <c r="FZ90" t="e">
        <v>#VALUE!</v>
      </c>
      <c r="GA90" t="e">
        <v>#VALUE!</v>
      </c>
      <c r="GB90" t="e">
        <v>#VALUE!</v>
      </c>
      <c r="GC90" t="e">
        <v>#VALUE!</v>
      </c>
      <c r="GD90" t="e">
        <v>#VALUE!</v>
      </c>
      <c r="GE90" t="e">
        <v>#VALUE!</v>
      </c>
      <c r="GF90" t="e">
        <v>#VALUE!</v>
      </c>
      <c r="GG90" t="e">
        <v>#VALUE!</v>
      </c>
      <c r="GH90" t="e">
        <v>#VALUE!</v>
      </c>
      <c r="GI90" t="e">
        <v>#VALUE!</v>
      </c>
      <c r="GJ90" t="e">
        <v>#VALUE!</v>
      </c>
      <c r="GK90" t="e">
        <v>#VALUE!</v>
      </c>
      <c r="GL90" t="e">
        <v>#VALUE!</v>
      </c>
      <c r="GM90">
        <v>0</v>
      </c>
      <c r="GN90" t="e">
        <v>#VALUE!</v>
      </c>
      <c r="GO90" t="e">
        <v>#VALUE!</v>
      </c>
      <c r="GP90" t="e">
        <v>#VALUE!</v>
      </c>
      <c r="GQ90" t="e">
        <v>#VALUE!</v>
      </c>
      <c r="GR90" t="e">
        <v>#VALUE!</v>
      </c>
      <c r="GS90" t="e">
        <v>#VALUE!</v>
      </c>
      <c r="GT90" t="e">
        <v>#VALUE!</v>
      </c>
      <c r="GU90" t="e">
        <v>#VALUE!</v>
      </c>
      <c r="GV90" t="e">
        <v>#VALUE!</v>
      </c>
      <c r="GW90" t="e">
        <v>#VALUE!</v>
      </c>
      <c r="GX90" t="e">
        <v>#VALUE!</v>
      </c>
      <c r="GY90" t="e">
        <v>#VALUE!</v>
      </c>
      <c r="GZ90" t="e">
        <v>#VALUE!</v>
      </c>
      <c r="HA90" t="e">
        <v>#VALUE!</v>
      </c>
      <c r="HB90" t="e">
        <v>#VALUE!</v>
      </c>
      <c r="HC90" t="e">
        <v>#VALUE!</v>
      </c>
      <c r="HD90" t="e">
        <v>#VALUE!</v>
      </c>
      <c r="HE90" t="e">
        <v>#VALUE!</v>
      </c>
      <c r="HF90">
        <v>0</v>
      </c>
      <c r="HG90" t="e">
        <v>#VALUE!</v>
      </c>
      <c r="HH90" t="e">
        <v>#VALUE!</v>
      </c>
      <c r="HI90" t="e">
        <v>#VALUE!</v>
      </c>
      <c r="HJ90" t="e">
        <v>#VALUE!</v>
      </c>
      <c r="HK90" t="e">
        <v>#VALUE!</v>
      </c>
      <c r="HL90" t="e">
        <v>#VALUE!</v>
      </c>
      <c r="HM90" t="e">
        <v>#VALUE!</v>
      </c>
      <c r="HN90" t="e">
        <v>#VALUE!</v>
      </c>
      <c r="HO90" t="e">
        <v>#VALUE!</v>
      </c>
      <c r="HP90" t="e">
        <v>#VALUE!</v>
      </c>
      <c r="HQ90" t="e">
        <v>#VALUE!</v>
      </c>
      <c r="HR90" t="e">
        <v>#VALUE!</v>
      </c>
      <c r="HS90" t="e">
        <v>#VALUE!</v>
      </c>
      <c r="HT90" t="e">
        <v>#VALUE!</v>
      </c>
      <c r="HU90" t="e">
        <v>#VALUE!</v>
      </c>
      <c r="HV90" t="e">
        <v>#VALUE!</v>
      </c>
      <c r="HW90" t="e">
        <v>#VALUE!</v>
      </c>
      <c r="HX90" t="e">
        <v>#VALUE!</v>
      </c>
      <c r="HY90">
        <v>0</v>
      </c>
      <c r="HZ90" t="e">
        <v>#VALUE!</v>
      </c>
      <c r="IA90" t="e">
        <v>#VALUE!</v>
      </c>
      <c r="IB90" t="e">
        <v>#VALUE!</v>
      </c>
      <c r="IC90" t="e">
        <v>#VALUE!</v>
      </c>
      <c r="ID90" t="e">
        <v>#VALUE!</v>
      </c>
      <c r="IE90" t="e">
        <v>#VALUE!</v>
      </c>
      <c r="IF90" t="e">
        <v>#VALUE!</v>
      </c>
      <c r="IG90" t="e">
        <v>#VALUE!</v>
      </c>
      <c r="IH90" t="e">
        <v>#VALUE!</v>
      </c>
      <c r="II90" t="e">
        <v>#VALUE!</v>
      </c>
      <c r="IJ90" t="e">
        <v>#VALUE!</v>
      </c>
      <c r="IK90" t="e">
        <v>#VALUE!</v>
      </c>
      <c r="IL90" t="e">
        <v>#VALUE!</v>
      </c>
      <c r="IM90" t="e">
        <v>#VALUE!</v>
      </c>
      <c r="IN90" t="e">
        <v>#VALUE!</v>
      </c>
      <c r="IO90" t="e">
        <v>#VALUE!</v>
      </c>
      <c r="IP90" t="e">
        <v>#VALUE!</v>
      </c>
      <c r="IQ90" t="e">
        <v>#VALUE!</v>
      </c>
      <c r="IR90">
        <v>0</v>
      </c>
      <c r="IS90" t="e">
        <v>#VALUE!</v>
      </c>
      <c r="IT90" t="e">
        <v>#VALUE!</v>
      </c>
      <c r="IU90" t="e">
        <v>#VALUE!</v>
      </c>
      <c r="IV90" t="e">
        <v>#VALUE!</v>
      </c>
    </row>
    <row r="91" spans="1:256" x14ac:dyDescent="0.25">
      <c r="A91" t="e">
        <v>#VALUE!</v>
      </c>
      <c r="B91" t="e">
        <v>#VALUE!</v>
      </c>
      <c r="C91" t="e">
        <v>#VALUE!</v>
      </c>
      <c r="D91" t="e">
        <v>#VALUE!</v>
      </c>
      <c r="E91" t="e">
        <v>#VALUE!</v>
      </c>
      <c r="F91" t="e">
        <v>#VALUE!</v>
      </c>
      <c r="G91" t="e">
        <v>#VALUE!</v>
      </c>
      <c r="H91" t="e">
        <v>#VALUE!</v>
      </c>
      <c r="I91" t="e">
        <v>#VALUE!</v>
      </c>
      <c r="J91" t="e">
        <v>#VALUE!</v>
      </c>
      <c r="K91" t="e">
        <v>#VALUE!</v>
      </c>
      <c r="L91" t="e">
        <v>#VALUE!</v>
      </c>
      <c r="M91" t="e">
        <v>#VALUE!</v>
      </c>
      <c r="N91" t="e">
        <v>#VALUE!</v>
      </c>
      <c r="O91">
        <v>0</v>
      </c>
      <c r="P91" t="e">
        <v>#VALUE!</v>
      </c>
      <c r="Q91" t="e">
        <v>#VALUE!</v>
      </c>
      <c r="R91" t="e">
        <v>#VALUE!</v>
      </c>
      <c r="S91" t="e">
        <v>#VALUE!</v>
      </c>
      <c r="T91" t="e">
        <v>#VALUE!</v>
      </c>
      <c r="U91" t="e">
        <v>#VALUE!</v>
      </c>
      <c r="V91" t="e">
        <v>#VALUE!</v>
      </c>
      <c r="W91" t="e">
        <v>#VALUE!</v>
      </c>
      <c r="X91" t="e">
        <v>#VALUE!</v>
      </c>
      <c r="Y91" t="e">
        <v>#VALUE!</v>
      </c>
      <c r="Z91" t="e">
        <v>#VALUE!</v>
      </c>
      <c r="AA91" t="e">
        <v>#VALUE!</v>
      </c>
      <c r="AB91" t="e">
        <v>#VALUE!</v>
      </c>
      <c r="AC91" t="e">
        <v>#VALUE!</v>
      </c>
      <c r="AD91" t="e">
        <v>#VALUE!</v>
      </c>
      <c r="AE91" t="e">
        <v>#VALUE!</v>
      </c>
      <c r="AF91" t="e">
        <v>#VALUE!</v>
      </c>
      <c r="AG91" t="e">
        <v>#VALUE!</v>
      </c>
      <c r="AH91">
        <v>0</v>
      </c>
      <c r="AI91" t="e">
        <v>#VALUE!</v>
      </c>
      <c r="AJ91" t="e">
        <v>#VALUE!</v>
      </c>
      <c r="AK91" t="e">
        <v>#VALUE!</v>
      </c>
      <c r="AL91" t="e">
        <v>#VALUE!</v>
      </c>
      <c r="AM91" t="e">
        <v>#VALUE!</v>
      </c>
      <c r="AN91" t="e">
        <v>#VALUE!</v>
      </c>
      <c r="AO91" t="e">
        <v>#VALUE!</v>
      </c>
      <c r="AP91" t="e">
        <v>#VALUE!</v>
      </c>
      <c r="AQ91" t="e">
        <v>#VALUE!</v>
      </c>
      <c r="AR91" t="e">
        <v>#VALUE!</v>
      </c>
      <c r="AS91" t="e">
        <v>#VALUE!</v>
      </c>
      <c r="AT91" t="e">
        <v>#VALUE!</v>
      </c>
      <c r="AU91" t="e">
        <v>#VALUE!</v>
      </c>
      <c r="AV91" t="e">
        <v>#VALUE!</v>
      </c>
      <c r="AW91" t="e">
        <v>#VALUE!</v>
      </c>
      <c r="AX91" t="e">
        <v>#VALUE!</v>
      </c>
      <c r="AY91" t="e">
        <v>#VALUE!</v>
      </c>
      <c r="AZ91" t="e">
        <v>#VALUE!</v>
      </c>
      <c r="BA91">
        <v>0</v>
      </c>
      <c r="BB91" t="e">
        <v>#VALUE!</v>
      </c>
      <c r="BC91" t="e">
        <v>#VALUE!</v>
      </c>
      <c r="BD91" t="e">
        <v>#VALUE!</v>
      </c>
      <c r="BE91" t="e">
        <v>#VALUE!</v>
      </c>
      <c r="BF91" t="e">
        <v>#VALUE!</v>
      </c>
      <c r="BG91" t="e">
        <v>#VALUE!</v>
      </c>
      <c r="BH91" t="e">
        <v>#VALUE!</v>
      </c>
      <c r="BI91" t="e">
        <v>#VALUE!</v>
      </c>
      <c r="BJ91" t="e">
        <v>#VALUE!</v>
      </c>
      <c r="BK91" t="e">
        <v>#VALUE!</v>
      </c>
      <c r="BL91" t="e">
        <v>#VALUE!</v>
      </c>
      <c r="BM91" t="e">
        <v>#VALUE!</v>
      </c>
      <c r="BN91" t="e">
        <v>#VALUE!</v>
      </c>
      <c r="BO91" t="e">
        <v>#VALUE!</v>
      </c>
      <c r="BP91" t="e">
        <v>#VALUE!</v>
      </c>
      <c r="BQ91" t="e">
        <v>#VALUE!</v>
      </c>
      <c r="BR91" t="e">
        <v>#VALUE!</v>
      </c>
      <c r="BS91" t="e">
        <v>#VALUE!</v>
      </c>
      <c r="BT91">
        <v>0</v>
      </c>
      <c r="BU91" t="e">
        <v>#VALUE!</v>
      </c>
      <c r="BV91" t="e">
        <v>#VALUE!</v>
      </c>
      <c r="BW91" t="e">
        <v>#VALUE!</v>
      </c>
      <c r="BX91" t="e">
        <v>#VALUE!</v>
      </c>
      <c r="BY91" t="e">
        <v>#VALUE!</v>
      </c>
      <c r="BZ91" t="e">
        <v>#VALUE!</v>
      </c>
      <c r="CA91" t="e">
        <v>#VALUE!</v>
      </c>
      <c r="CB91" t="e">
        <v>#VALUE!</v>
      </c>
      <c r="CC91" t="e">
        <v>#VALUE!</v>
      </c>
      <c r="CD91" t="e">
        <v>#VALUE!</v>
      </c>
      <c r="CE91" t="e">
        <v>#VALUE!</v>
      </c>
      <c r="CF91" t="e">
        <v>#VALUE!</v>
      </c>
      <c r="CG91" t="e">
        <v>#VALUE!</v>
      </c>
      <c r="CH91" t="e">
        <v>#VALUE!</v>
      </c>
      <c r="CI91" t="e">
        <v>#VALUE!</v>
      </c>
      <c r="CJ91" t="e">
        <v>#VALUE!</v>
      </c>
      <c r="CK91" t="e">
        <v>#VALUE!</v>
      </c>
      <c r="CL91" t="e">
        <v>#VALUE!</v>
      </c>
      <c r="CM91">
        <v>0</v>
      </c>
      <c r="CN91" t="e">
        <v>#VALUE!</v>
      </c>
      <c r="CO91" t="e">
        <v>#VALUE!</v>
      </c>
      <c r="CP91" t="e">
        <v>#VALUE!</v>
      </c>
      <c r="CQ91" t="e">
        <v>#VALUE!</v>
      </c>
      <c r="CR91" t="e">
        <v>#VALUE!</v>
      </c>
      <c r="CS91" t="e">
        <v>#VALUE!</v>
      </c>
      <c r="CT91" t="e">
        <v>#VALUE!</v>
      </c>
      <c r="CU91" t="e">
        <v>#VALUE!</v>
      </c>
      <c r="CV91" t="e">
        <v>#VALUE!</v>
      </c>
      <c r="CW91" t="e">
        <v>#VALUE!</v>
      </c>
      <c r="CX91" t="e">
        <v>#VALUE!</v>
      </c>
      <c r="CY91" t="e">
        <v>#VALUE!</v>
      </c>
      <c r="CZ91" t="e">
        <v>#VALUE!</v>
      </c>
      <c r="DA91" t="e">
        <v>#VALUE!</v>
      </c>
      <c r="DB91" t="e">
        <v>#VALUE!</v>
      </c>
      <c r="DC91" t="e">
        <v>#VALUE!</v>
      </c>
      <c r="DD91" t="e">
        <v>#VALUE!</v>
      </c>
      <c r="DE91" t="e">
        <v>#VALUE!</v>
      </c>
      <c r="DF91">
        <v>0</v>
      </c>
      <c r="DG91" t="e">
        <v>#VALUE!</v>
      </c>
      <c r="DH91" t="e">
        <v>#VALUE!</v>
      </c>
      <c r="DI91" t="e">
        <v>#VALUE!</v>
      </c>
      <c r="DJ91" t="e">
        <v>#VALUE!</v>
      </c>
      <c r="DK91" t="e">
        <v>#VALUE!</v>
      </c>
      <c r="DL91" t="e">
        <v>#VALUE!</v>
      </c>
      <c r="DM91" t="e">
        <v>#VALUE!</v>
      </c>
      <c r="DN91" t="e">
        <v>#VALUE!</v>
      </c>
      <c r="DO91" t="e">
        <v>#VALUE!</v>
      </c>
      <c r="DP91" t="e">
        <v>#VALUE!</v>
      </c>
      <c r="DQ91" t="e">
        <v>#VALUE!</v>
      </c>
      <c r="DR91" t="e">
        <v>#VALUE!</v>
      </c>
      <c r="DS91" t="e">
        <v>#VALUE!</v>
      </c>
      <c r="DT91" t="e">
        <v>#VALUE!</v>
      </c>
      <c r="DU91" t="e">
        <v>#VALUE!</v>
      </c>
      <c r="DV91" t="e">
        <v>#VALUE!</v>
      </c>
      <c r="DW91" t="e">
        <v>#VALUE!</v>
      </c>
      <c r="DX91" t="e">
        <v>#VALUE!</v>
      </c>
      <c r="DY91">
        <v>0</v>
      </c>
      <c r="DZ91" t="e">
        <v>#VALUE!</v>
      </c>
      <c r="EA91" t="e">
        <v>#VALUE!</v>
      </c>
      <c r="EB91" t="e">
        <v>#VALUE!</v>
      </c>
      <c r="EC91" t="e">
        <v>#VALUE!</v>
      </c>
      <c r="ED91" t="e">
        <v>#VALUE!</v>
      </c>
      <c r="EE91" t="e">
        <v>#VALUE!</v>
      </c>
      <c r="EF91" t="e">
        <v>#VALUE!</v>
      </c>
      <c r="EG91" t="e">
        <v>#VALUE!</v>
      </c>
      <c r="EH91" t="e">
        <v>#VALUE!</v>
      </c>
      <c r="EI91" t="e">
        <v>#VALUE!</v>
      </c>
      <c r="EJ91" t="e">
        <v>#VALUE!</v>
      </c>
      <c r="EK91" t="e">
        <v>#VALUE!</v>
      </c>
      <c r="EL91" t="e">
        <v>#VALUE!</v>
      </c>
      <c r="EM91" t="e">
        <v>#VALUE!</v>
      </c>
      <c r="EN91" t="e">
        <v>#VALUE!</v>
      </c>
      <c r="EO91" t="e">
        <v>#VALUE!</v>
      </c>
      <c r="EP91" t="e">
        <v>#VALUE!</v>
      </c>
      <c r="EQ91" t="e">
        <v>#VALUE!</v>
      </c>
      <c r="ER91">
        <v>0</v>
      </c>
      <c r="ES91" t="e">
        <v>#VALUE!</v>
      </c>
      <c r="ET91" t="e">
        <v>#VALUE!</v>
      </c>
      <c r="EU91" t="e">
        <v>#VALUE!</v>
      </c>
      <c r="EV91" t="e">
        <v>#VALUE!</v>
      </c>
      <c r="EW91" t="e">
        <v>#VALUE!</v>
      </c>
      <c r="EX91" t="e">
        <v>#VALUE!</v>
      </c>
      <c r="EY91" t="e">
        <v>#VALUE!</v>
      </c>
      <c r="EZ91" t="e">
        <v>#VALUE!</v>
      </c>
      <c r="FA91" t="e">
        <v>#VALUE!</v>
      </c>
      <c r="FB91" t="e">
        <v>#VALUE!</v>
      </c>
      <c r="FC91" t="e">
        <v>#VALUE!</v>
      </c>
      <c r="FD91" t="e">
        <v>#VALUE!</v>
      </c>
      <c r="FE91" t="e">
        <v>#VALUE!</v>
      </c>
      <c r="FF91" t="e">
        <v>#VALUE!</v>
      </c>
      <c r="FG91" t="e">
        <v>#VALUE!</v>
      </c>
      <c r="FH91" t="e">
        <v>#VALUE!</v>
      </c>
      <c r="FI91" t="e">
        <v>#VALUE!</v>
      </c>
      <c r="FJ91" t="e">
        <v>#VALUE!</v>
      </c>
      <c r="FK91">
        <v>0</v>
      </c>
      <c r="FL91" t="e">
        <v>#VALUE!</v>
      </c>
      <c r="FM91" t="e">
        <v>#VALUE!</v>
      </c>
      <c r="FN91" t="e">
        <v>#VALUE!</v>
      </c>
      <c r="FO91" t="e">
        <v>#VALUE!</v>
      </c>
      <c r="FP91" t="e">
        <v>#VALUE!</v>
      </c>
      <c r="FQ91" t="e">
        <v>#VALUE!</v>
      </c>
      <c r="FR91" t="e">
        <v>#VALUE!</v>
      </c>
      <c r="FS91" t="e">
        <v>#VALUE!</v>
      </c>
      <c r="FT91" t="e">
        <v>#VALUE!</v>
      </c>
      <c r="FU91" t="e">
        <v>#VALUE!</v>
      </c>
      <c r="FV91" t="e">
        <v>#VALUE!</v>
      </c>
      <c r="FW91" t="e">
        <v>#VALUE!</v>
      </c>
      <c r="FX91" t="e">
        <v>#VALUE!</v>
      </c>
      <c r="FY91" t="e">
        <v>#VALUE!</v>
      </c>
      <c r="FZ91" t="e">
        <v>#VALUE!</v>
      </c>
      <c r="GA91" t="e">
        <v>#VALUE!</v>
      </c>
      <c r="GB91" t="e">
        <v>#VALUE!</v>
      </c>
      <c r="GC91" t="e">
        <v>#VALUE!</v>
      </c>
      <c r="GD91">
        <v>0</v>
      </c>
      <c r="GE91" t="e">
        <v>#VALUE!</v>
      </c>
      <c r="GF91" t="e">
        <v>#VALUE!</v>
      </c>
      <c r="GG91" t="e">
        <v>#VALUE!</v>
      </c>
      <c r="GH91" t="e">
        <v>#VALUE!</v>
      </c>
      <c r="GI91" t="e">
        <v>#VALUE!</v>
      </c>
      <c r="GJ91" t="e">
        <v>#VALUE!</v>
      </c>
      <c r="GK91" t="e">
        <v>#VALUE!</v>
      </c>
      <c r="GL91" t="e">
        <v>#VALUE!</v>
      </c>
      <c r="GM91" t="e">
        <v>#VALUE!</v>
      </c>
      <c r="GN91" t="e">
        <v>#VALUE!</v>
      </c>
      <c r="GO91" t="e">
        <v>#VALUE!</v>
      </c>
      <c r="GP91" t="e">
        <v>#VALUE!</v>
      </c>
      <c r="GQ91" t="e">
        <v>#VALUE!</v>
      </c>
      <c r="GR91" t="e">
        <v>#VALUE!</v>
      </c>
      <c r="GS91" t="e">
        <v>#VALUE!</v>
      </c>
      <c r="GT91" t="e">
        <v>#VALUE!</v>
      </c>
      <c r="GU91" t="e">
        <v>#VALUE!</v>
      </c>
      <c r="GV91" t="e">
        <v>#VALUE!</v>
      </c>
      <c r="GW91">
        <v>0</v>
      </c>
      <c r="GX91" t="e">
        <v>#VALUE!</v>
      </c>
      <c r="GY91" t="e">
        <v>#VALUE!</v>
      </c>
      <c r="GZ91" t="e">
        <v>#VALUE!</v>
      </c>
      <c r="HA91" t="e">
        <v>#VALUE!</v>
      </c>
      <c r="HB91" t="e">
        <v>#VALUE!</v>
      </c>
      <c r="HC91" t="e">
        <v>#VALUE!</v>
      </c>
      <c r="HD91" t="e">
        <v>#VALUE!</v>
      </c>
      <c r="HE91" t="e">
        <v>#VALUE!</v>
      </c>
      <c r="HF91" t="e">
        <v>#VALUE!</v>
      </c>
      <c r="HG91" t="e">
        <v>#VALUE!</v>
      </c>
      <c r="HH91" t="e">
        <v>#VALUE!</v>
      </c>
      <c r="HI91" t="e">
        <v>#VALUE!</v>
      </c>
      <c r="HJ91" t="e">
        <v>#VALUE!</v>
      </c>
      <c r="HK91" t="e">
        <v>#VALUE!</v>
      </c>
      <c r="HL91" t="e">
        <v>#VALUE!</v>
      </c>
      <c r="HM91" t="e">
        <v>#VALUE!</v>
      </c>
      <c r="HN91" t="e">
        <v>#VALUE!</v>
      </c>
      <c r="HO91" t="e">
        <v>#VALUE!</v>
      </c>
      <c r="HP91">
        <v>0</v>
      </c>
      <c r="HQ91" t="e">
        <v>#VALUE!</v>
      </c>
      <c r="HR91" t="e">
        <v>#VALUE!</v>
      </c>
      <c r="HS91" t="e">
        <v>#VALUE!</v>
      </c>
      <c r="HT91" t="e">
        <v>#VALUE!</v>
      </c>
      <c r="HU91" t="e">
        <v>#VALUE!</v>
      </c>
      <c r="HV91" t="e">
        <v>#VALUE!</v>
      </c>
      <c r="HW91" t="e">
        <v>#VALUE!</v>
      </c>
      <c r="HX91" t="e">
        <v>#VALUE!</v>
      </c>
      <c r="HY91" t="e">
        <v>#VALUE!</v>
      </c>
      <c r="HZ91" t="e">
        <v>#VALUE!</v>
      </c>
      <c r="IA91" t="e">
        <v>#VALUE!</v>
      </c>
      <c r="IB91" t="e">
        <v>#VALUE!</v>
      </c>
      <c r="IC91" t="e">
        <v>#VALUE!</v>
      </c>
      <c r="ID91" t="e">
        <v>#VALUE!</v>
      </c>
      <c r="IE91" t="e">
        <v>#VALUE!</v>
      </c>
      <c r="IF91" t="e">
        <v>#VALUE!</v>
      </c>
      <c r="IG91" t="e">
        <v>#VALUE!</v>
      </c>
      <c r="IH91" t="e">
        <v>#VALUE!</v>
      </c>
      <c r="II91">
        <v>0</v>
      </c>
      <c r="IJ91" t="e">
        <v>#VALUE!</v>
      </c>
      <c r="IK91" t="e">
        <v>#VALUE!</v>
      </c>
      <c r="IL91" t="e">
        <v>#VALUE!</v>
      </c>
      <c r="IM91" t="e">
        <v>#VALUE!</v>
      </c>
      <c r="IN91" t="e">
        <v>#VALUE!</v>
      </c>
      <c r="IO91" t="e">
        <v>#VALUE!</v>
      </c>
      <c r="IP91" t="e">
        <v>#VALUE!</v>
      </c>
      <c r="IQ91" t="e">
        <v>#VALUE!</v>
      </c>
      <c r="IR91" t="e">
        <v>#VALUE!</v>
      </c>
      <c r="IS91" t="e">
        <v>#VALUE!</v>
      </c>
      <c r="IT91" t="e">
        <v>#VALUE!</v>
      </c>
      <c r="IU91" t="e">
        <v>#VALUE!</v>
      </c>
      <c r="IV91" t="e">
        <v>#VALUE!</v>
      </c>
    </row>
    <row r="92" spans="1:256" x14ac:dyDescent="0.25">
      <c r="A92" t="e">
        <v>#VALUE!</v>
      </c>
      <c r="B92" t="e">
        <v>#VALUE!</v>
      </c>
      <c r="C92" t="e">
        <v>#VALUE!</v>
      </c>
      <c r="D92" t="e">
        <v>#VALUE!</v>
      </c>
      <c r="E92" t="e">
        <v>#VALUE!</v>
      </c>
      <c r="F92">
        <v>0</v>
      </c>
      <c r="G92" t="e">
        <v>#VALUE!</v>
      </c>
      <c r="H92" t="e">
        <v>#VALUE!</v>
      </c>
      <c r="I92" t="e">
        <v>#VALUE!</v>
      </c>
      <c r="J92" t="e">
        <v>#VALUE!</v>
      </c>
      <c r="K92" t="e">
        <v>#VALUE!</v>
      </c>
      <c r="L92" t="e">
        <v>#VALUE!</v>
      </c>
      <c r="M92" t="e">
        <v>#VALUE!</v>
      </c>
      <c r="N92" t="e">
        <v>#VALUE!</v>
      </c>
      <c r="O92" t="e">
        <v>#VALUE!</v>
      </c>
      <c r="P92" t="e">
        <v>#VALUE!</v>
      </c>
      <c r="Q92" t="e">
        <v>#VALUE!</v>
      </c>
      <c r="R92" t="e">
        <v>#VALUE!</v>
      </c>
      <c r="S92" t="e">
        <v>#VALUE!</v>
      </c>
      <c r="T92" t="e">
        <v>#VALUE!</v>
      </c>
      <c r="U92" t="e">
        <v>#VALUE!</v>
      </c>
      <c r="V92" t="e">
        <v>#VALUE!</v>
      </c>
      <c r="W92" t="e">
        <v>#VALUE!</v>
      </c>
      <c r="X92" t="e">
        <v>#VALUE!</v>
      </c>
      <c r="Y92">
        <v>0</v>
      </c>
      <c r="Z92" t="e">
        <v>#VALUE!</v>
      </c>
      <c r="AA92" t="e">
        <v>#VALUE!</v>
      </c>
      <c r="AB92" t="e">
        <v>#VALUE!</v>
      </c>
      <c r="AC92" t="e">
        <v>#VALUE!</v>
      </c>
      <c r="AD92" t="e">
        <v>#VALUE!</v>
      </c>
      <c r="AE92" t="e">
        <v>#VALUE!</v>
      </c>
      <c r="AF92" t="e">
        <v>#VALUE!</v>
      </c>
      <c r="AG92" t="e">
        <v>#VALUE!</v>
      </c>
      <c r="AH92" t="e">
        <v>#VALUE!</v>
      </c>
      <c r="AI92" t="e">
        <v>#VALUE!</v>
      </c>
      <c r="AJ92" t="e">
        <v>#VALUE!</v>
      </c>
      <c r="AK92" t="e">
        <v>#VALUE!</v>
      </c>
      <c r="AL92" t="e">
        <v>#VALUE!</v>
      </c>
      <c r="AM92" t="e">
        <v>#VALUE!</v>
      </c>
      <c r="AN92" t="e">
        <v>#VALUE!</v>
      </c>
      <c r="AO92" t="e">
        <v>#VALUE!</v>
      </c>
      <c r="AP92" t="e">
        <v>#VALUE!</v>
      </c>
      <c r="AQ92" t="e">
        <v>#VALUE!</v>
      </c>
      <c r="AR92">
        <v>0</v>
      </c>
      <c r="AS92" t="e">
        <v>#VALUE!</v>
      </c>
      <c r="AT92" t="e">
        <v>#VALUE!</v>
      </c>
      <c r="AU92" t="e">
        <v>#VALUE!</v>
      </c>
      <c r="AV92" t="e">
        <v>#VALUE!</v>
      </c>
      <c r="AW92" t="e">
        <v>#VALUE!</v>
      </c>
      <c r="AX92" t="e">
        <v>#VALUE!</v>
      </c>
      <c r="AY92" t="e">
        <v>#VALUE!</v>
      </c>
      <c r="AZ92" t="e">
        <v>#VALUE!</v>
      </c>
      <c r="BA92" t="e">
        <v>#VALUE!</v>
      </c>
      <c r="BB92" t="e">
        <v>#VALUE!</v>
      </c>
      <c r="BC92" t="e">
        <v>#VALUE!</v>
      </c>
      <c r="BD92" t="e">
        <v>#VALUE!</v>
      </c>
      <c r="BE92" t="e">
        <v>#VALUE!</v>
      </c>
      <c r="BF92" t="e">
        <v>#VALUE!</v>
      </c>
      <c r="BG92" t="e">
        <v>#VALUE!</v>
      </c>
      <c r="BH92" t="e">
        <v>#VALUE!</v>
      </c>
      <c r="BI92" t="e">
        <v>#VALUE!</v>
      </c>
      <c r="BJ92" t="e">
        <v>#VALUE!</v>
      </c>
      <c r="BK92">
        <v>0</v>
      </c>
      <c r="BL92" t="e">
        <v>#VALUE!</v>
      </c>
      <c r="BM92" t="e">
        <v>#VALUE!</v>
      </c>
      <c r="BN92" t="e">
        <v>#VALUE!</v>
      </c>
      <c r="BO92" t="e">
        <v>#VALUE!</v>
      </c>
      <c r="BP92" t="e">
        <v>#VALUE!</v>
      </c>
      <c r="BQ92" t="e">
        <v>#VALUE!</v>
      </c>
      <c r="BR92" t="e">
        <v>#VALUE!</v>
      </c>
      <c r="BS92" t="e">
        <v>#VALUE!</v>
      </c>
      <c r="BT92" t="e">
        <v>#VALUE!</v>
      </c>
      <c r="BU92" t="e">
        <v>#VALUE!</v>
      </c>
      <c r="BV92" t="e">
        <v>#VALUE!</v>
      </c>
      <c r="BW92" t="e">
        <v>#VALUE!</v>
      </c>
      <c r="BX92" t="e">
        <v>#VALUE!</v>
      </c>
      <c r="BY92" t="e">
        <v>#VALUE!</v>
      </c>
      <c r="BZ92" t="e">
        <v>#VALUE!</v>
      </c>
      <c r="CA92" t="e">
        <v>#VALUE!</v>
      </c>
      <c r="CB92" t="e">
        <v>#VALUE!</v>
      </c>
      <c r="CC92" t="e">
        <v>#VALUE!</v>
      </c>
      <c r="CD92">
        <v>0</v>
      </c>
      <c r="CE92" t="e">
        <v>#VALUE!</v>
      </c>
      <c r="CF92" t="e">
        <v>#VALUE!</v>
      </c>
      <c r="CG92" t="e">
        <v>#VALUE!</v>
      </c>
      <c r="CH92" t="e">
        <v>#VALUE!</v>
      </c>
      <c r="CI92" t="e">
        <v>#VALUE!</v>
      </c>
      <c r="CJ92" t="e">
        <v>#VALUE!</v>
      </c>
      <c r="CK92" t="e">
        <v>#VALUE!</v>
      </c>
      <c r="CL92" t="e">
        <v>#VALUE!</v>
      </c>
      <c r="CM92" t="e">
        <v>#VALUE!</v>
      </c>
      <c r="CN92" t="e">
        <v>#VALUE!</v>
      </c>
      <c r="CO92" t="e">
        <v>#VALUE!</v>
      </c>
      <c r="CP92" t="e">
        <v>#VALUE!</v>
      </c>
      <c r="CQ92" t="e">
        <v>#VALUE!</v>
      </c>
      <c r="CR92" t="e">
        <v>#VALUE!</v>
      </c>
      <c r="CS92" t="e">
        <v>#VALUE!</v>
      </c>
      <c r="CT92" t="e">
        <v>#VALUE!</v>
      </c>
      <c r="CU92" t="e">
        <v>#VALUE!</v>
      </c>
      <c r="CV92" t="e">
        <v>#VALUE!</v>
      </c>
      <c r="CW92">
        <v>0</v>
      </c>
      <c r="CX92" t="e">
        <v>#VALUE!</v>
      </c>
      <c r="CY92" t="e">
        <v>#VALUE!</v>
      </c>
      <c r="CZ92" t="e">
        <v>#VALUE!</v>
      </c>
      <c r="DA92" t="e">
        <v>#VALUE!</v>
      </c>
      <c r="DB92" t="e">
        <v>#VALUE!</v>
      </c>
      <c r="DC92" t="e">
        <v>#VALUE!</v>
      </c>
      <c r="DD92" t="e">
        <v>#VALUE!</v>
      </c>
      <c r="DE92" t="e">
        <v>#VALUE!</v>
      </c>
      <c r="DF92" t="e">
        <v>#VALUE!</v>
      </c>
      <c r="DG92" t="e">
        <v>#VALUE!</v>
      </c>
      <c r="DH92" t="e">
        <v>#VALUE!</v>
      </c>
      <c r="DI92" t="e">
        <v>#VALUE!</v>
      </c>
      <c r="DJ92" t="e">
        <v>#VALUE!</v>
      </c>
      <c r="DK92" t="e">
        <v>#VALUE!</v>
      </c>
      <c r="DL92" t="e">
        <v>#VALUE!</v>
      </c>
      <c r="DM92" t="e">
        <v>#VALUE!</v>
      </c>
      <c r="DN92" t="e">
        <v>#VALUE!</v>
      </c>
      <c r="DO92" t="e">
        <v>#VALUE!</v>
      </c>
      <c r="DP92">
        <v>0</v>
      </c>
      <c r="DQ92" t="e">
        <v>#VALUE!</v>
      </c>
      <c r="DR92" t="e">
        <v>#VALUE!</v>
      </c>
      <c r="DS92" t="e">
        <v>#VALUE!</v>
      </c>
      <c r="DT92" t="e">
        <v>#VALUE!</v>
      </c>
      <c r="DU92" t="e">
        <v>#VALUE!</v>
      </c>
      <c r="DV92" t="e">
        <v>#VALUE!</v>
      </c>
      <c r="DW92" t="e">
        <v>#VALUE!</v>
      </c>
      <c r="DX92" t="e">
        <v>#VALUE!</v>
      </c>
      <c r="DY92" t="e">
        <v>#VALUE!</v>
      </c>
      <c r="DZ92" t="e">
        <v>#VALUE!</v>
      </c>
      <c r="EA92" t="e">
        <v>#VALUE!</v>
      </c>
      <c r="EB92" t="e">
        <v>#VALUE!</v>
      </c>
      <c r="EC92" t="e">
        <v>#VALUE!</v>
      </c>
      <c r="ED92" t="e">
        <v>#VALUE!</v>
      </c>
      <c r="EE92" t="e">
        <v>#VALUE!</v>
      </c>
      <c r="EF92" t="e">
        <v>#VALUE!</v>
      </c>
      <c r="EG92" t="e">
        <v>#VALUE!</v>
      </c>
      <c r="EH92" t="e">
        <v>#VALUE!</v>
      </c>
      <c r="EI92">
        <v>0</v>
      </c>
      <c r="EJ92" t="e">
        <v>#VALUE!</v>
      </c>
      <c r="EK92" t="e">
        <v>#VALUE!</v>
      </c>
      <c r="EL92" t="e">
        <v>#VALUE!</v>
      </c>
      <c r="EM92" t="e">
        <v>#VALUE!</v>
      </c>
      <c r="EN92" t="e">
        <v>#VALUE!</v>
      </c>
      <c r="EO92" t="e">
        <v>#VALUE!</v>
      </c>
      <c r="EP92" t="e">
        <v>#VALUE!</v>
      </c>
      <c r="EQ92" t="e">
        <v>#VALUE!</v>
      </c>
      <c r="ER92" t="e">
        <v>#VALUE!</v>
      </c>
      <c r="ES92" t="e">
        <v>#VALUE!</v>
      </c>
      <c r="ET92" t="e">
        <v>#VALUE!</v>
      </c>
      <c r="EU92" t="e">
        <v>#VALUE!</v>
      </c>
      <c r="EV92" t="e">
        <v>#VALUE!</v>
      </c>
      <c r="EW92" t="e">
        <v>#VALUE!</v>
      </c>
      <c r="EX92" t="e">
        <v>#VALUE!</v>
      </c>
      <c r="EY92" t="e">
        <v>#VALUE!</v>
      </c>
      <c r="EZ92" t="e">
        <v>#VALUE!</v>
      </c>
      <c r="FA92" t="e">
        <v>#VALUE!</v>
      </c>
      <c r="FB92">
        <v>0</v>
      </c>
      <c r="FC92" t="e">
        <v>#VALUE!</v>
      </c>
      <c r="FD92" t="e">
        <v>#VALUE!</v>
      </c>
      <c r="FE92" t="e">
        <v>#VALUE!</v>
      </c>
      <c r="FF92" t="e">
        <v>#VALUE!</v>
      </c>
      <c r="FG92" t="e">
        <v>#VALUE!</v>
      </c>
      <c r="FH92" t="e">
        <v>#VALUE!</v>
      </c>
      <c r="FI92" t="e">
        <v>#VALUE!</v>
      </c>
      <c r="FJ92" t="e">
        <v>#VALUE!</v>
      </c>
      <c r="FK92" t="e">
        <v>#VALUE!</v>
      </c>
      <c r="FL92" t="e">
        <v>#VALUE!</v>
      </c>
      <c r="FM92" t="e">
        <v>#VALUE!</v>
      </c>
      <c r="FN92" t="e">
        <v>#VALUE!</v>
      </c>
      <c r="FO92" t="e">
        <v>#VALUE!</v>
      </c>
      <c r="FP92" t="e">
        <v>#VALUE!</v>
      </c>
      <c r="FQ92" t="e">
        <v>#VALUE!</v>
      </c>
      <c r="FR92" t="e">
        <v>#VALUE!</v>
      </c>
      <c r="FS92" t="e">
        <v>#VALUE!</v>
      </c>
      <c r="FT92" t="e">
        <v>#VALUE!</v>
      </c>
      <c r="FU92">
        <v>0</v>
      </c>
      <c r="FV92" t="e">
        <v>#VALUE!</v>
      </c>
      <c r="FW92" t="e">
        <v>#VALUE!</v>
      </c>
      <c r="FX92" t="e">
        <v>#VALUE!</v>
      </c>
      <c r="FY92" t="e">
        <v>#VALUE!</v>
      </c>
      <c r="FZ92" t="e">
        <v>#VALUE!</v>
      </c>
      <c r="GA92" t="e">
        <v>#VALUE!</v>
      </c>
      <c r="GB92" t="e">
        <v>#VALUE!</v>
      </c>
      <c r="GC92" t="e">
        <v>#VALUE!</v>
      </c>
      <c r="GD92" t="e">
        <v>#VALUE!</v>
      </c>
      <c r="GE92" t="e">
        <v>#VALUE!</v>
      </c>
      <c r="GF92" t="e">
        <v>#VALUE!</v>
      </c>
      <c r="GG92" t="e">
        <v>#VALUE!</v>
      </c>
      <c r="GH92" t="e">
        <v>#VALUE!</v>
      </c>
      <c r="GI92" t="e">
        <v>#VALUE!</v>
      </c>
      <c r="GJ92" t="e">
        <v>#VALUE!</v>
      </c>
      <c r="GK92" t="e">
        <v>#VALUE!</v>
      </c>
      <c r="GL92" t="e">
        <v>#VALUE!</v>
      </c>
      <c r="GM92" t="e">
        <v>#VALUE!</v>
      </c>
      <c r="GN92">
        <v>0</v>
      </c>
      <c r="GO92" t="e">
        <v>#VALUE!</v>
      </c>
      <c r="GP92" t="e">
        <v>#VALUE!</v>
      </c>
      <c r="GQ92" t="e">
        <v>#VALUE!</v>
      </c>
      <c r="GR92" t="e">
        <v>#VALUE!</v>
      </c>
      <c r="GS92" t="e">
        <v>#VALUE!</v>
      </c>
      <c r="GT92" t="e">
        <v>#VALUE!</v>
      </c>
      <c r="GU92" t="e">
        <v>#VALUE!</v>
      </c>
      <c r="GV92" t="e">
        <v>#VALUE!</v>
      </c>
      <c r="GW92" t="e">
        <v>#VALUE!</v>
      </c>
      <c r="GX92" t="e">
        <v>#VALUE!</v>
      </c>
      <c r="GY92" t="e">
        <v>#VALUE!</v>
      </c>
      <c r="GZ92" t="e">
        <v>#VALUE!</v>
      </c>
      <c r="HA92" t="e">
        <v>#VALUE!</v>
      </c>
      <c r="HB92" t="e">
        <v>#VALUE!</v>
      </c>
      <c r="HC92" t="e">
        <v>#VALUE!</v>
      </c>
      <c r="HD92" t="e">
        <v>#VALUE!</v>
      </c>
      <c r="HE92" t="e">
        <v>#VALUE!</v>
      </c>
      <c r="HF92" t="e">
        <v>#VALUE!</v>
      </c>
      <c r="HG92">
        <v>0</v>
      </c>
      <c r="HH92" t="e">
        <v>#VALUE!</v>
      </c>
      <c r="HI92" t="e">
        <v>#VALUE!</v>
      </c>
      <c r="HJ92" t="e">
        <v>#VALUE!</v>
      </c>
      <c r="HK92" t="e">
        <v>#VALUE!</v>
      </c>
      <c r="HL92" t="e">
        <v>#VALUE!</v>
      </c>
      <c r="HM92" t="e">
        <v>#VALUE!</v>
      </c>
      <c r="HN92" t="e">
        <v>#VALUE!</v>
      </c>
      <c r="HO92" t="e">
        <v>#VALUE!</v>
      </c>
      <c r="HP92" t="e">
        <v>#VALUE!</v>
      </c>
      <c r="HQ92" t="e">
        <v>#VALUE!</v>
      </c>
      <c r="HR92" t="e">
        <v>#VALUE!</v>
      </c>
      <c r="HS92" t="e">
        <v>#VALUE!</v>
      </c>
      <c r="HT92" t="e">
        <v>#VALUE!</v>
      </c>
      <c r="HU92" t="e">
        <v>#VALUE!</v>
      </c>
      <c r="HV92" t="e">
        <v>#VALUE!</v>
      </c>
      <c r="HW92" t="e">
        <v>#VALUE!</v>
      </c>
      <c r="HX92" t="e">
        <v>#VALUE!</v>
      </c>
      <c r="HY92" t="e">
        <v>#VALUE!</v>
      </c>
      <c r="HZ92">
        <v>0</v>
      </c>
      <c r="IA92" t="e">
        <v>#VALUE!</v>
      </c>
      <c r="IB92" t="e">
        <v>#VALUE!</v>
      </c>
      <c r="IC92" t="e">
        <v>#VALUE!</v>
      </c>
      <c r="ID92" t="e">
        <v>#VALUE!</v>
      </c>
      <c r="IE92" t="e">
        <v>#VALUE!</v>
      </c>
      <c r="IF92" t="e">
        <v>#VALUE!</v>
      </c>
      <c r="IG92" t="e">
        <v>#VALUE!</v>
      </c>
      <c r="IH92" t="e">
        <v>#VALUE!</v>
      </c>
      <c r="II92" t="e">
        <v>#VALUE!</v>
      </c>
      <c r="IJ92" t="e">
        <v>#VALUE!</v>
      </c>
      <c r="IK92" t="e">
        <v>#VALUE!</v>
      </c>
      <c r="IL92" t="e">
        <v>#VALUE!</v>
      </c>
      <c r="IM92" t="e">
        <v>#VALUE!</v>
      </c>
      <c r="IN92" t="e">
        <v>#VALUE!</v>
      </c>
      <c r="IO92" t="e">
        <v>#VALUE!</v>
      </c>
      <c r="IP92" t="e">
        <v>#VALUE!</v>
      </c>
      <c r="IQ92" t="e">
        <v>#VALUE!</v>
      </c>
      <c r="IR92" t="e">
        <v>#VALUE!</v>
      </c>
      <c r="IS92">
        <v>0</v>
      </c>
      <c r="IT92" t="e">
        <v>#VALUE!</v>
      </c>
      <c r="IU92" t="e">
        <v>#VALUE!</v>
      </c>
      <c r="IV92" t="e">
        <v>#VALUE!</v>
      </c>
    </row>
    <row r="93" spans="1:256" x14ac:dyDescent="0.25">
      <c r="A93" t="e">
        <v>#VALUE!</v>
      </c>
      <c r="B93" t="e">
        <v>#VALUE!</v>
      </c>
      <c r="C93" t="e">
        <v>#VALUE!</v>
      </c>
      <c r="D93" t="e">
        <v>#VALUE!</v>
      </c>
      <c r="E93" t="e">
        <v>#VALUE!</v>
      </c>
      <c r="F93" t="e">
        <v>#VALUE!</v>
      </c>
      <c r="G93" t="e">
        <v>#VALUE!</v>
      </c>
      <c r="H93" t="e">
        <v>#VALUE!</v>
      </c>
      <c r="I93" t="e">
        <v>#VALUE!</v>
      </c>
      <c r="J93" t="e">
        <v>#VALUE!</v>
      </c>
      <c r="K93" t="e">
        <v>#VALUE!</v>
      </c>
      <c r="L93" t="e">
        <v>#VALUE!</v>
      </c>
      <c r="M93" t="e">
        <v>#VALUE!</v>
      </c>
      <c r="N93" t="e">
        <v>#VALUE!</v>
      </c>
      <c r="O93" t="e">
        <v>#VALUE!</v>
      </c>
      <c r="P93">
        <v>0</v>
      </c>
      <c r="Q93" t="e">
        <v>#VALUE!</v>
      </c>
      <c r="R93" t="e">
        <v>#VALUE!</v>
      </c>
      <c r="S93" t="e">
        <v>#VALUE!</v>
      </c>
      <c r="T93" t="e">
        <v>#VALUE!</v>
      </c>
      <c r="U93" t="e">
        <v>#VALUE!</v>
      </c>
      <c r="V93" t="e">
        <v>#VALUE!</v>
      </c>
      <c r="W93" t="e">
        <v>#VALUE!</v>
      </c>
      <c r="X93" t="e">
        <v>#VALUE!</v>
      </c>
      <c r="Y93" t="e">
        <v>#VALUE!</v>
      </c>
      <c r="Z93" t="e">
        <v>#VALUE!</v>
      </c>
      <c r="AA93" t="e">
        <v>#VALUE!</v>
      </c>
      <c r="AB93" t="e">
        <v>#VALUE!</v>
      </c>
      <c r="AC93" t="e">
        <v>#VALUE!</v>
      </c>
      <c r="AD93" t="e">
        <v>#VALUE!</v>
      </c>
      <c r="AE93" t="e">
        <v>#VALUE!</v>
      </c>
      <c r="AF93" t="e">
        <v>#VALUE!</v>
      </c>
      <c r="AG93" t="e">
        <v>#VALUE!</v>
      </c>
      <c r="AH93" t="e">
        <v>#VALUE!</v>
      </c>
      <c r="AI93">
        <v>0</v>
      </c>
      <c r="AJ93" t="e">
        <v>#VALUE!</v>
      </c>
      <c r="AK93" t="e">
        <v>#VALUE!</v>
      </c>
      <c r="AL93" t="e">
        <v>#VALUE!</v>
      </c>
      <c r="AM93" t="e">
        <v>#VALUE!</v>
      </c>
      <c r="AN93" t="e">
        <v>#VALUE!</v>
      </c>
      <c r="AO93" t="e">
        <v>#VALUE!</v>
      </c>
      <c r="AP93" t="e">
        <v>#VALUE!</v>
      </c>
      <c r="AQ93" t="e">
        <v>#VALUE!</v>
      </c>
      <c r="AR93" t="e">
        <v>#VALUE!</v>
      </c>
      <c r="AS93" t="e">
        <v>#VALUE!</v>
      </c>
      <c r="AT93" t="e">
        <v>#VALUE!</v>
      </c>
      <c r="AU93" t="e">
        <v>#VALUE!</v>
      </c>
      <c r="AV93" t="e">
        <v>#VALUE!</v>
      </c>
      <c r="AW93" t="e">
        <v>#VALUE!</v>
      </c>
      <c r="AX93" t="e">
        <v>#VALUE!</v>
      </c>
      <c r="AY93" t="e">
        <v>#VALUE!</v>
      </c>
      <c r="AZ93" t="e">
        <v>#VALUE!</v>
      </c>
      <c r="BA93" t="e">
        <v>#VALUE!</v>
      </c>
      <c r="BB93">
        <v>0</v>
      </c>
      <c r="BC93" t="e">
        <v>#VALUE!</v>
      </c>
      <c r="BD93" t="e">
        <v>#VALUE!</v>
      </c>
      <c r="BE93" t="e">
        <v>#VALUE!</v>
      </c>
      <c r="BF93" t="e">
        <v>#VALUE!</v>
      </c>
      <c r="BG93" t="e">
        <v>#VALUE!</v>
      </c>
      <c r="BH93" t="e">
        <v>#VALUE!</v>
      </c>
      <c r="BI93" t="e">
        <v>#VALUE!</v>
      </c>
      <c r="BJ93" t="e">
        <v>#VALUE!</v>
      </c>
      <c r="BK93" t="e">
        <v>#VALUE!</v>
      </c>
      <c r="BL93" t="e">
        <v>#VALUE!</v>
      </c>
      <c r="BM93" t="e">
        <v>#VALUE!</v>
      </c>
      <c r="BN93" t="e">
        <v>#VALUE!</v>
      </c>
      <c r="BO93" t="e">
        <v>#VALUE!</v>
      </c>
      <c r="BP93" t="e">
        <v>#VALUE!</v>
      </c>
      <c r="BQ93" t="e">
        <v>#VALUE!</v>
      </c>
      <c r="BR93" t="e">
        <v>#VALUE!</v>
      </c>
      <c r="BS93" t="e">
        <v>#VALUE!</v>
      </c>
      <c r="BT93" t="e">
        <v>#VALUE!</v>
      </c>
      <c r="BU93">
        <v>0</v>
      </c>
      <c r="BV93" t="e">
        <v>#VALUE!</v>
      </c>
      <c r="BW93" t="e">
        <v>#VALUE!</v>
      </c>
      <c r="BX93" t="e">
        <v>#VALUE!</v>
      </c>
      <c r="BY93" t="e">
        <v>#VALUE!</v>
      </c>
      <c r="BZ93" t="e">
        <v>#VALUE!</v>
      </c>
      <c r="CA93" t="e">
        <v>#VALUE!</v>
      </c>
      <c r="CB93" t="e">
        <v>#VALUE!</v>
      </c>
      <c r="CC93" t="e">
        <v>#VALUE!</v>
      </c>
      <c r="CD93" t="e">
        <v>#VALUE!</v>
      </c>
      <c r="CE93" t="e">
        <v>#VALUE!</v>
      </c>
      <c r="CF93" t="e">
        <v>#VALUE!</v>
      </c>
      <c r="CG93" t="e">
        <v>#VALUE!</v>
      </c>
      <c r="CH93" t="e">
        <v>#VALUE!</v>
      </c>
      <c r="CI93" t="e">
        <v>#VALUE!</v>
      </c>
      <c r="CJ93" t="e">
        <v>#VALUE!</v>
      </c>
      <c r="CK93" t="e">
        <v>#VALUE!</v>
      </c>
      <c r="CL93" t="e">
        <v>#VALUE!</v>
      </c>
      <c r="CM93" t="e">
        <v>#VALUE!</v>
      </c>
      <c r="CN93">
        <v>0</v>
      </c>
      <c r="CO93" t="e">
        <v>#VALUE!</v>
      </c>
      <c r="CP93" t="e">
        <v>#VALUE!</v>
      </c>
      <c r="CQ93" t="e">
        <v>#VALUE!</v>
      </c>
      <c r="CR93" t="e">
        <v>#VALUE!</v>
      </c>
      <c r="CS93" t="e">
        <v>#VALUE!</v>
      </c>
      <c r="CT93" t="e">
        <v>#VALUE!</v>
      </c>
      <c r="CU93" t="e">
        <v>#VALUE!</v>
      </c>
      <c r="CV93" t="e">
        <v>#VALUE!</v>
      </c>
      <c r="CW93" t="e">
        <v>#VALUE!</v>
      </c>
      <c r="CX93" t="e">
        <v>#VALUE!</v>
      </c>
      <c r="CY93" t="e">
        <v>#VALUE!</v>
      </c>
      <c r="CZ93" t="e">
        <v>#VALUE!</v>
      </c>
      <c r="DA93" t="e">
        <v>#VALUE!</v>
      </c>
      <c r="DB93" t="e">
        <v>#VALUE!</v>
      </c>
      <c r="DC93" t="e">
        <v>#VALUE!</v>
      </c>
      <c r="DD93" t="e">
        <v>#VALUE!</v>
      </c>
      <c r="DE93" t="e">
        <v>#VALUE!</v>
      </c>
      <c r="DF93" t="e">
        <v>#VALUE!</v>
      </c>
      <c r="DG93">
        <v>0</v>
      </c>
      <c r="DH93" t="e">
        <v>#VALUE!</v>
      </c>
      <c r="DI93" t="e">
        <v>#VALUE!</v>
      </c>
      <c r="DJ93" t="e">
        <v>#VALUE!</v>
      </c>
      <c r="DK93" t="e">
        <v>#VALUE!</v>
      </c>
      <c r="DL93" t="e">
        <v>#VALUE!</v>
      </c>
      <c r="DM93" t="e">
        <v>#VALUE!</v>
      </c>
      <c r="DN93" t="e">
        <v>#VALUE!</v>
      </c>
      <c r="DO93" t="e">
        <v>#VALUE!</v>
      </c>
      <c r="DP93" t="e">
        <v>#VALUE!</v>
      </c>
      <c r="DQ93" t="e">
        <v>#VALUE!</v>
      </c>
      <c r="DR93" t="e">
        <v>#VALUE!</v>
      </c>
      <c r="DS93" t="e">
        <v>#VALUE!</v>
      </c>
      <c r="DT93" t="e">
        <v>#VALUE!</v>
      </c>
      <c r="DU93" t="e">
        <v>#VALUE!</v>
      </c>
      <c r="DV93" t="e">
        <v>#VALUE!</v>
      </c>
      <c r="DW93" t="e">
        <v>#VALUE!</v>
      </c>
      <c r="DX93" t="e">
        <v>#VALUE!</v>
      </c>
      <c r="DY93" t="e">
        <v>#VALUE!</v>
      </c>
      <c r="DZ93">
        <v>0</v>
      </c>
      <c r="EA93" t="e">
        <v>#VALUE!</v>
      </c>
      <c r="EB93" t="e">
        <v>#VALUE!</v>
      </c>
      <c r="EC93" t="e">
        <v>#VALUE!</v>
      </c>
      <c r="ED93" t="e">
        <v>#VALUE!</v>
      </c>
      <c r="EE93" t="e">
        <v>#VALUE!</v>
      </c>
      <c r="EF93" t="e">
        <v>#VALUE!</v>
      </c>
      <c r="EG93" t="e">
        <v>#VALUE!</v>
      </c>
      <c r="EH93" t="e">
        <v>#VALUE!</v>
      </c>
      <c r="EI93" t="e">
        <v>#VALUE!</v>
      </c>
      <c r="EJ93" t="e">
        <v>#VALUE!</v>
      </c>
      <c r="EK93" t="e">
        <v>#VALUE!</v>
      </c>
      <c r="EL93" t="e">
        <v>#VALUE!</v>
      </c>
      <c r="EM93" t="e">
        <v>#VALUE!</v>
      </c>
      <c r="EN93" t="e">
        <v>#VALUE!</v>
      </c>
      <c r="EO93" t="e">
        <v>#VALUE!</v>
      </c>
      <c r="EP93" t="e">
        <v>#VALUE!</v>
      </c>
      <c r="EQ93" t="e">
        <v>#VALUE!</v>
      </c>
      <c r="ER93" t="e">
        <v>#VALUE!</v>
      </c>
      <c r="ES93">
        <v>0</v>
      </c>
      <c r="ET93">
        <v>0</v>
      </c>
      <c r="EU93">
        <v>0</v>
      </c>
      <c r="EV93">
        <v>0</v>
      </c>
      <c r="EW93">
        <v>0</v>
      </c>
      <c r="EX93">
        <v>0</v>
      </c>
      <c r="EY93">
        <v>0</v>
      </c>
      <c r="EZ93">
        <v>0</v>
      </c>
      <c r="FA93">
        <v>0</v>
      </c>
      <c r="FB93">
        <v>0</v>
      </c>
      <c r="FC93">
        <v>0</v>
      </c>
      <c r="FD93">
        <v>0</v>
      </c>
      <c r="FE93">
        <v>0</v>
      </c>
      <c r="FF93">
        <v>0</v>
      </c>
      <c r="FG93">
        <v>0</v>
      </c>
      <c r="FH93">
        <v>0</v>
      </c>
      <c r="FI93">
        <v>0</v>
      </c>
      <c r="FJ93">
        <v>0</v>
      </c>
      <c r="FK93">
        <v>0</v>
      </c>
      <c r="FL93" t="e">
        <v>#VALUE!</v>
      </c>
      <c r="FM93" t="e">
        <v>#VALUE!</v>
      </c>
      <c r="FN93" t="e">
        <v>#VALUE!</v>
      </c>
      <c r="FO93" t="e">
        <v>#VALUE!</v>
      </c>
      <c r="FP93" t="e">
        <v>#VALUE!</v>
      </c>
      <c r="FQ93" t="e">
        <v>#VALUE!</v>
      </c>
      <c r="FR93" t="e">
        <v>#VALUE!</v>
      </c>
      <c r="FS93" t="e">
        <v>#VALUE!</v>
      </c>
      <c r="FT93" t="e">
        <v>#VALUE!</v>
      </c>
      <c r="FU93" t="e">
        <v>#VALUE!</v>
      </c>
      <c r="FV93" t="e">
        <v>#VALUE!</v>
      </c>
      <c r="FW93" t="e">
        <v>#VALUE!</v>
      </c>
      <c r="FX93" t="e">
        <v>#VALUE!</v>
      </c>
      <c r="FY93" t="e">
        <v>#VALUE!</v>
      </c>
      <c r="FZ93" t="e">
        <v>#VALUE!</v>
      </c>
      <c r="GA93" t="e">
        <v>#VALUE!</v>
      </c>
      <c r="GB93" t="e">
        <v>#VALUE!</v>
      </c>
      <c r="GC93" t="e">
        <v>#VALUE!</v>
      </c>
      <c r="GD93">
        <v>0</v>
      </c>
      <c r="GE93" t="e">
        <v>#VALUE!</v>
      </c>
      <c r="GF93" t="e">
        <v>#VALUE!</v>
      </c>
      <c r="GG93" t="e">
        <v>#VALUE!</v>
      </c>
      <c r="GH93" t="e">
        <v>#VALUE!</v>
      </c>
      <c r="GI93" t="e">
        <v>#VALUE!</v>
      </c>
      <c r="GJ93" t="e">
        <v>#VALUE!</v>
      </c>
      <c r="GK93" t="e">
        <v>#VALUE!</v>
      </c>
      <c r="GL93" t="e">
        <v>#VALUE!</v>
      </c>
      <c r="GM93" t="e">
        <v>#VALUE!</v>
      </c>
      <c r="GN93" t="e">
        <v>#VALUE!</v>
      </c>
      <c r="GO93" t="e">
        <v>#VALUE!</v>
      </c>
      <c r="GP93" t="e">
        <v>#VALUE!</v>
      </c>
      <c r="GQ93" t="e">
        <v>#VALUE!</v>
      </c>
      <c r="GR93" t="e">
        <v>#VALUE!</v>
      </c>
      <c r="GS93" t="e">
        <v>#VALUE!</v>
      </c>
      <c r="GT93" t="e">
        <v>#VALUE!</v>
      </c>
      <c r="GU93" t="e">
        <v>#VALUE!</v>
      </c>
      <c r="GV93" t="e">
        <v>#VALUE!</v>
      </c>
      <c r="GW93">
        <v>0</v>
      </c>
      <c r="GX93" t="e">
        <v>#VALUE!</v>
      </c>
      <c r="GY93" t="e">
        <v>#VALUE!</v>
      </c>
      <c r="GZ93" t="e">
        <v>#VALUE!</v>
      </c>
      <c r="HA93" t="e">
        <v>#VALUE!</v>
      </c>
      <c r="HB93" t="e">
        <v>#VALUE!</v>
      </c>
      <c r="HC93" t="e">
        <v>#VALUE!</v>
      </c>
      <c r="HD93" t="e">
        <v>#VALUE!</v>
      </c>
      <c r="HE93" t="e">
        <v>#VALUE!</v>
      </c>
      <c r="HF93" t="e">
        <v>#VALUE!</v>
      </c>
      <c r="HG93" t="e">
        <v>#VALUE!</v>
      </c>
      <c r="HH93" t="e">
        <v>#VALUE!</v>
      </c>
      <c r="HI93" t="e">
        <v>#VALUE!</v>
      </c>
      <c r="HJ93" t="e">
        <v>#VALUE!</v>
      </c>
      <c r="HK93" t="e">
        <v>#VALUE!</v>
      </c>
      <c r="HL93" t="e">
        <v>#VALUE!</v>
      </c>
      <c r="HM93" t="e">
        <v>#VALUE!</v>
      </c>
      <c r="HN93" t="e">
        <v>#VALUE!</v>
      </c>
      <c r="HO93" t="e">
        <v>#VALUE!</v>
      </c>
      <c r="HP93">
        <v>0</v>
      </c>
      <c r="HQ93" t="e">
        <v>#VALUE!</v>
      </c>
      <c r="HR93" t="e">
        <v>#VALUE!</v>
      </c>
      <c r="HS93" t="e">
        <v>#VALUE!</v>
      </c>
      <c r="HT93" t="e">
        <v>#VALUE!</v>
      </c>
      <c r="HU93" t="e">
        <v>#VALUE!</v>
      </c>
      <c r="HV93" t="e">
        <v>#VALUE!</v>
      </c>
      <c r="HW93" t="e">
        <v>#VALUE!</v>
      </c>
      <c r="HX93" t="e">
        <v>#VALUE!</v>
      </c>
      <c r="HY93" t="e">
        <v>#VALUE!</v>
      </c>
      <c r="HZ93" t="e">
        <v>#VALUE!</v>
      </c>
      <c r="IA93" t="e">
        <v>#VALUE!</v>
      </c>
      <c r="IB93" t="e">
        <v>#VALUE!</v>
      </c>
      <c r="IC93" t="e">
        <v>#VALUE!</v>
      </c>
      <c r="ID93" t="e">
        <v>#VALUE!</v>
      </c>
      <c r="IE93" t="e">
        <v>#VALUE!</v>
      </c>
      <c r="IF93" t="e">
        <v>#VALUE!</v>
      </c>
      <c r="IG93" t="e">
        <v>#VALUE!</v>
      </c>
      <c r="IH93" t="e">
        <v>#VALUE!</v>
      </c>
      <c r="II93">
        <v>0</v>
      </c>
      <c r="IJ93" t="e">
        <v>#VALUE!</v>
      </c>
      <c r="IK93" t="e">
        <v>#VALUE!</v>
      </c>
      <c r="IL93" t="e">
        <v>#VALUE!</v>
      </c>
      <c r="IM93" t="e">
        <v>#VALUE!</v>
      </c>
      <c r="IN93" t="e">
        <v>#VALUE!</v>
      </c>
      <c r="IO93" t="e">
        <v>#VALUE!</v>
      </c>
      <c r="IP93" t="e">
        <v>#VALUE!</v>
      </c>
      <c r="IQ93" t="e">
        <v>#VALUE!</v>
      </c>
      <c r="IR93" t="e">
        <v>#VALUE!</v>
      </c>
      <c r="IS93" t="e">
        <v>#VALUE!</v>
      </c>
      <c r="IT93" t="e">
        <v>#VALUE!</v>
      </c>
      <c r="IU93" t="e">
        <v>#VALUE!</v>
      </c>
      <c r="IV93" t="e">
        <v>#VALUE!</v>
      </c>
    </row>
    <row r="94" spans="1:256" x14ac:dyDescent="0.25">
      <c r="A94" t="e">
        <v>#VALUE!</v>
      </c>
      <c r="B94" t="e">
        <v>#VALUE!</v>
      </c>
      <c r="C94" t="e">
        <v>#VALUE!</v>
      </c>
      <c r="D94" t="e">
        <v>#VALUE!</v>
      </c>
      <c r="E94" t="e">
        <v>#VALUE!</v>
      </c>
      <c r="F94">
        <v>0</v>
      </c>
      <c r="G94" t="e">
        <v>#VALUE!</v>
      </c>
      <c r="H94" t="e">
        <v>#VALUE!</v>
      </c>
      <c r="I94" t="e">
        <v>#VALUE!</v>
      </c>
      <c r="J94" t="e">
        <v>#VALUE!</v>
      </c>
      <c r="K94" t="e">
        <v>#VALUE!</v>
      </c>
      <c r="L94" t="e">
        <v>#VALUE!</v>
      </c>
      <c r="M94" t="e">
        <v>#VALUE!</v>
      </c>
      <c r="N94" t="e">
        <v>#VALUE!</v>
      </c>
      <c r="O94" t="e">
        <v>#VALUE!</v>
      </c>
      <c r="P94" t="e">
        <v>#VALUE!</v>
      </c>
      <c r="Q94" t="e">
        <v>#VALUE!</v>
      </c>
      <c r="R94" t="e">
        <v>#VALUE!</v>
      </c>
      <c r="S94" t="e">
        <v>#VALUE!</v>
      </c>
      <c r="T94" t="e">
        <v>#VALUE!</v>
      </c>
      <c r="U94" t="e">
        <v>#VALUE!</v>
      </c>
      <c r="V94" t="e">
        <v>#VALUE!</v>
      </c>
      <c r="W94" t="e">
        <v>#VALUE!</v>
      </c>
      <c r="X94" t="e">
        <v>#VALUE!</v>
      </c>
      <c r="Y94">
        <v>0</v>
      </c>
      <c r="Z94" t="e">
        <v>#VALUE!</v>
      </c>
      <c r="AA94" t="e">
        <v>#VALUE!</v>
      </c>
      <c r="AB94" t="e">
        <v>#VALUE!</v>
      </c>
      <c r="AC94" t="e">
        <v>#VALUE!</v>
      </c>
      <c r="AD94" t="e">
        <v>#VALUE!</v>
      </c>
      <c r="AE94" t="e">
        <v>#VALUE!</v>
      </c>
      <c r="AF94" t="e">
        <v>#VALUE!</v>
      </c>
      <c r="AG94" t="e">
        <v>#VALUE!</v>
      </c>
      <c r="AH94" t="e">
        <v>#VALUE!</v>
      </c>
      <c r="AI94" t="e">
        <v>#VALUE!</v>
      </c>
      <c r="AJ94" t="e">
        <v>#VALUE!</v>
      </c>
      <c r="AK94" t="e">
        <v>#VALUE!</v>
      </c>
      <c r="AL94" t="e">
        <v>#VALUE!</v>
      </c>
      <c r="AM94" t="e">
        <v>#VALUE!</v>
      </c>
      <c r="AN94" t="e">
        <v>#VALUE!</v>
      </c>
      <c r="AO94" t="e">
        <v>#VALUE!</v>
      </c>
      <c r="AP94" t="e">
        <v>#VALUE!</v>
      </c>
      <c r="AQ94" t="e">
        <v>#VALUE!</v>
      </c>
      <c r="AR94">
        <v>0</v>
      </c>
      <c r="AS94" t="e">
        <v>#VALUE!</v>
      </c>
      <c r="AT94" t="e">
        <v>#VALUE!</v>
      </c>
      <c r="AU94" t="e">
        <v>#VALUE!</v>
      </c>
      <c r="AV94" t="e">
        <v>#VALUE!</v>
      </c>
      <c r="AW94" t="e">
        <v>#VALUE!</v>
      </c>
      <c r="AX94" t="e">
        <v>#VALUE!</v>
      </c>
      <c r="AY94" t="e">
        <v>#VALUE!</v>
      </c>
      <c r="AZ94" t="e">
        <v>#VALUE!</v>
      </c>
      <c r="BA94" t="e">
        <v>#VALUE!</v>
      </c>
      <c r="BB94" t="e">
        <v>#VALUE!</v>
      </c>
      <c r="BC94" t="e">
        <v>#VALUE!</v>
      </c>
      <c r="BD94" t="e">
        <v>#VALUE!</v>
      </c>
      <c r="BE94" t="e">
        <v>#VALUE!</v>
      </c>
      <c r="BF94" t="e">
        <v>#VALUE!</v>
      </c>
      <c r="BG94" t="e">
        <v>#VALUE!</v>
      </c>
      <c r="BH94" t="e">
        <v>#VALUE!</v>
      </c>
      <c r="BI94" t="e">
        <v>#VALUE!</v>
      </c>
      <c r="BJ94" t="e">
        <v>#VALUE!</v>
      </c>
      <c r="BK94">
        <v>0</v>
      </c>
      <c r="BL94" t="e">
        <v>#VALUE!</v>
      </c>
      <c r="BM94" t="e">
        <v>#VALUE!</v>
      </c>
      <c r="BN94" t="e">
        <v>#VALUE!</v>
      </c>
      <c r="BO94" t="e">
        <v>#VALUE!</v>
      </c>
      <c r="BP94" t="e">
        <v>#VALUE!</v>
      </c>
      <c r="BQ94" t="e">
        <v>#VALUE!</v>
      </c>
      <c r="BR94" t="e">
        <v>#VALUE!</v>
      </c>
      <c r="BS94" t="e">
        <v>#VALUE!</v>
      </c>
      <c r="BT94" t="e">
        <v>#VALUE!</v>
      </c>
      <c r="BU94" t="e">
        <v>#VALUE!</v>
      </c>
      <c r="BV94" t="e">
        <v>#VALUE!</v>
      </c>
      <c r="BW94" t="e">
        <v>#VALUE!</v>
      </c>
      <c r="BX94" t="e">
        <v>#VALUE!</v>
      </c>
      <c r="BY94" t="e">
        <v>#VALUE!</v>
      </c>
      <c r="BZ94" t="e">
        <v>#VALUE!</v>
      </c>
      <c r="CA94" t="e">
        <v>#VALUE!</v>
      </c>
      <c r="CB94" t="e">
        <v>#VALUE!</v>
      </c>
      <c r="CC94" t="e">
        <v>#VALUE!</v>
      </c>
      <c r="CD94">
        <v>0</v>
      </c>
      <c r="CE94" t="e">
        <v>#VALUE!</v>
      </c>
      <c r="CF94" t="e">
        <v>#VALUE!</v>
      </c>
      <c r="CG94" t="e">
        <v>#VALUE!</v>
      </c>
      <c r="CH94" t="e">
        <v>#VALUE!</v>
      </c>
      <c r="CI94" t="e">
        <v>#VALUE!</v>
      </c>
      <c r="CJ94" t="e">
        <v>#VALUE!</v>
      </c>
      <c r="CK94" t="e">
        <v>#VALUE!</v>
      </c>
      <c r="CL94" t="e">
        <v>#VALUE!</v>
      </c>
      <c r="CM94" t="e">
        <v>#VALUE!</v>
      </c>
      <c r="CN94" t="e">
        <v>#VALUE!</v>
      </c>
      <c r="CO94" t="e">
        <v>#VALUE!</v>
      </c>
      <c r="CP94" t="e">
        <v>#VALUE!</v>
      </c>
      <c r="CQ94" t="e">
        <v>#VALUE!</v>
      </c>
      <c r="CR94" t="e">
        <v>#VALUE!</v>
      </c>
      <c r="CS94" t="e">
        <v>#VALUE!</v>
      </c>
      <c r="CT94" t="e">
        <v>#VALUE!</v>
      </c>
      <c r="CU94" t="e">
        <v>#VALUE!</v>
      </c>
      <c r="CV94" t="e">
        <v>#VALUE!</v>
      </c>
      <c r="CW94">
        <v>0</v>
      </c>
      <c r="CX94" t="e">
        <v>#VALUE!</v>
      </c>
      <c r="CY94" t="e">
        <v>#VALUE!</v>
      </c>
      <c r="CZ94" t="e">
        <v>#VALUE!</v>
      </c>
      <c r="DA94" t="e">
        <v>#VALUE!</v>
      </c>
      <c r="DB94" t="e">
        <v>#VALUE!</v>
      </c>
      <c r="DC94" t="e">
        <v>#VALUE!</v>
      </c>
      <c r="DD94" t="e">
        <v>#VALUE!</v>
      </c>
      <c r="DE94" t="e">
        <v>#VALUE!</v>
      </c>
      <c r="DF94" t="e">
        <v>#VALUE!</v>
      </c>
      <c r="DG94" t="e">
        <v>#VALUE!</v>
      </c>
      <c r="DH94" t="e">
        <v>#VALUE!</v>
      </c>
      <c r="DI94" t="e">
        <v>#VALUE!</v>
      </c>
      <c r="DJ94" t="e">
        <v>#VALUE!</v>
      </c>
      <c r="DK94" t="e">
        <v>#VALUE!</v>
      </c>
      <c r="DL94" t="e">
        <v>#VALUE!</v>
      </c>
      <c r="DM94" t="e">
        <v>#VALUE!</v>
      </c>
      <c r="DN94" t="e">
        <v>#VALUE!</v>
      </c>
      <c r="DO94" t="e">
        <v>#VALUE!</v>
      </c>
      <c r="DP94">
        <v>0</v>
      </c>
      <c r="DQ94" t="e">
        <v>#VALUE!</v>
      </c>
      <c r="DR94" t="e">
        <v>#VALUE!</v>
      </c>
      <c r="DS94" t="e">
        <v>#VALUE!</v>
      </c>
      <c r="DT94" t="e">
        <v>#VALUE!</v>
      </c>
      <c r="DU94" t="e">
        <v>#VALUE!</v>
      </c>
      <c r="DV94" t="e">
        <v>#VALUE!</v>
      </c>
      <c r="DW94" t="e">
        <v>#VALUE!</v>
      </c>
      <c r="DX94" t="e">
        <v>#VALUE!</v>
      </c>
      <c r="DY94" t="e">
        <v>#VALUE!</v>
      </c>
      <c r="DZ94" t="e">
        <v>#VALUE!</v>
      </c>
      <c r="EA94" t="e">
        <v>#VALUE!</v>
      </c>
      <c r="EB94" t="e">
        <v>#VALUE!</v>
      </c>
      <c r="EC94" t="e">
        <v>#VALUE!</v>
      </c>
      <c r="ED94" t="e">
        <v>#VALUE!</v>
      </c>
      <c r="EE94" t="e">
        <v>#VALUE!</v>
      </c>
      <c r="EF94" t="e">
        <v>#VALUE!</v>
      </c>
      <c r="EG94" t="e">
        <v>#VALUE!</v>
      </c>
      <c r="EH94" t="e">
        <v>#VALUE!</v>
      </c>
      <c r="EI94">
        <v>0</v>
      </c>
      <c r="EJ94" t="e">
        <v>#VALUE!</v>
      </c>
      <c r="EK94" t="e">
        <v>#VALUE!</v>
      </c>
      <c r="EL94" t="e">
        <v>#VALUE!</v>
      </c>
      <c r="EM94" t="e">
        <v>#VALUE!</v>
      </c>
      <c r="EN94" t="e">
        <v>#VALUE!</v>
      </c>
      <c r="EO94" t="e">
        <v>#VALUE!</v>
      </c>
      <c r="EP94" t="e">
        <v>#VALUE!</v>
      </c>
      <c r="EQ94" t="e">
        <v>#VALUE!</v>
      </c>
      <c r="ER94" t="e">
        <v>#VALUE!</v>
      </c>
      <c r="ES94" t="e">
        <v>#VALUE!</v>
      </c>
      <c r="ET94" t="e">
        <v>#VALUE!</v>
      </c>
      <c r="EU94" t="e">
        <v>#VALUE!</v>
      </c>
      <c r="EV94" t="e">
        <v>#VALUE!</v>
      </c>
      <c r="EW94" t="e">
        <v>#VALUE!</v>
      </c>
      <c r="EX94" t="e">
        <v>#VALUE!</v>
      </c>
      <c r="EY94" t="e">
        <v>#VALUE!</v>
      </c>
      <c r="EZ94" t="e">
        <v>#VALUE!</v>
      </c>
      <c r="FA94" t="e">
        <v>#VALUE!</v>
      </c>
      <c r="FB94">
        <v>0</v>
      </c>
      <c r="FC94" t="e">
        <v>#VALUE!</v>
      </c>
      <c r="FD94" t="e">
        <v>#VALUE!</v>
      </c>
      <c r="FE94" t="e">
        <v>#VALUE!</v>
      </c>
      <c r="FF94" t="e">
        <v>#VALUE!</v>
      </c>
      <c r="FG94" t="e">
        <v>#VALUE!</v>
      </c>
      <c r="FH94" t="e">
        <v>#VALUE!</v>
      </c>
      <c r="FI94" t="e">
        <v>#VALUE!</v>
      </c>
      <c r="FJ94" t="e">
        <v>#VALUE!</v>
      </c>
      <c r="FK94" t="e">
        <v>#VALUE!</v>
      </c>
      <c r="FL94" t="e">
        <v>#VALUE!</v>
      </c>
      <c r="FM94" t="e">
        <v>#VALUE!</v>
      </c>
      <c r="FN94" t="e">
        <v>#VALUE!</v>
      </c>
      <c r="FO94" t="e">
        <v>#VALUE!</v>
      </c>
      <c r="FP94" t="e">
        <v>#VALUE!</v>
      </c>
      <c r="FQ94" t="e">
        <v>#VALUE!</v>
      </c>
      <c r="FR94" t="e">
        <v>#VALUE!</v>
      </c>
      <c r="FS94" t="e">
        <v>#VALUE!</v>
      </c>
      <c r="FT94" t="e">
        <v>#VALUE!</v>
      </c>
      <c r="FU94">
        <v>0</v>
      </c>
      <c r="FV94" t="e">
        <v>#VALUE!</v>
      </c>
      <c r="FW94" t="e">
        <v>#VALUE!</v>
      </c>
      <c r="FX94" t="e">
        <v>#VALUE!</v>
      </c>
      <c r="FY94" t="e">
        <v>#VALUE!</v>
      </c>
      <c r="FZ94" t="e">
        <v>#VALUE!</v>
      </c>
      <c r="GA94" t="e">
        <v>#VALUE!</v>
      </c>
      <c r="GB94" t="e">
        <v>#VALUE!</v>
      </c>
      <c r="GC94" t="e">
        <v>#VALUE!</v>
      </c>
      <c r="GD94" t="e">
        <v>#VALUE!</v>
      </c>
      <c r="GE94" t="e">
        <v>#VALUE!</v>
      </c>
      <c r="GF94" t="e">
        <v>#VALUE!</v>
      </c>
      <c r="GG94" t="e">
        <v>#VALUE!</v>
      </c>
      <c r="GH94" t="e">
        <v>#VALUE!</v>
      </c>
      <c r="GI94" t="e">
        <v>#VALUE!</v>
      </c>
      <c r="GJ94" t="e">
        <v>#VALUE!</v>
      </c>
      <c r="GK94" t="e">
        <v>#VALUE!</v>
      </c>
      <c r="GL94" t="e">
        <v>#VALUE!</v>
      </c>
      <c r="GM94" t="e">
        <v>#VALUE!</v>
      </c>
      <c r="GN94">
        <v>0</v>
      </c>
      <c r="GO94" t="e">
        <v>#VALUE!</v>
      </c>
      <c r="GP94" t="e">
        <v>#VALUE!</v>
      </c>
      <c r="GQ94" t="e">
        <v>#VALUE!</v>
      </c>
      <c r="GR94" t="e">
        <v>#VALUE!</v>
      </c>
      <c r="GS94" t="e">
        <v>#VALUE!</v>
      </c>
      <c r="GT94" t="e">
        <v>#VALUE!</v>
      </c>
      <c r="GU94" t="e">
        <v>#VALUE!</v>
      </c>
      <c r="GV94" t="e">
        <v>#VALUE!</v>
      </c>
      <c r="GW94" t="e">
        <v>#VALUE!</v>
      </c>
      <c r="GX94" t="e">
        <v>#VALUE!</v>
      </c>
      <c r="GY94" t="e">
        <v>#VALUE!</v>
      </c>
      <c r="GZ94" t="e">
        <v>#VALUE!</v>
      </c>
      <c r="HA94" t="e">
        <v>#VALUE!</v>
      </c>
      <c r="HB94" t="e">
        <v>#VALUE!</v>
      </c>
      <c r="HC94" t="e">
        <v>#VALUE!</v>
      </c>
      <c r="HD94" t="e">
        <v>#VALUE!</v>
      </c>
      <c r="HE94" t="e">
        <v>#VALUE!</v>
      </c>
      <c r="HF94" t="e">
        <v>#VALUE!</v>
      </c>
      <c r="HG94">
        <v>0</v>
      </c>
      <c r="HH94" t="e">
        <v>#VALUE!</v>
      </c>
      <c r="HI94" t="e">
        <v>#VALUE!</v>
      </c>
      <c r="HJ94" t="e">
        <v>#VALUE!</v>
      </c>
      <c r="HK94" t="e">
        <v>#VALUE!</v>
      </c>
      <c r="HL94" t="e">
        <v>#VALUE!</v>
      </c>
      <c r="HM94" t="e">
        <v>#VALUE!</v>
      </c>
      <c r="HN94" t="e">
        <v>#VALUE!</v>
      </c>
      <c r="HO94" t="e">
        <v>#VALUE!</v>
      </c>
      <c r="HP94" t="e">
        <v>#VALUE!</v>
      </c>
      <c r="HQ94" t="e">
        <v>#VALUE!</v>
      </c>
      <c r="HR94" t="e">
        <v>#VALUE!</v>
      </c>
      <c r="HS94" t="e">
        <v>#VALUE!</v>
      </c>
      <c r="HT94" t="e">
        <v>#VALUE!</v>
      </c>
      <c r="HU94" t="e">
        <v>#VALUE!</v>
      </c>
      <c r="HV94" t="e">
        <v>#VALUE!</v>
      </c>
      <c r="HW94" t="e">
        <v>#VALUE!</v>
      </c>
      <c r="HX94" t="e">
        <v>#VALUE!</v>
      </c>
      <c r="HY94" t="e">
        <v>#VALUE!</v>
      </c>
      <c r="HZ94">
        <v>0</v>
      </c>
      <c r="IA94" t="e">
        <v>#VALUE!</v>
      </c>
      <c r="IB94" t="e">
        <v>#VALUE!</v>
      </c>
      <c r="IC94" t="e">
        <v>#VALUE!</v>
      </c>
      <c r="ID94" t="e">
        <v>#VALUE!</v>
      </c>
      <c r="IE94" t="e">
        <v>#VALUE!</v>
      </c>
      <c r="IF94" t="e">
        <v>#VALUE!</v>
      </c>
      <c r="IG94" t="e">
        <v>#VALUE!</v>
      </c>
      <c r="IH94" t="e">
        <v>#VALUE!</v>
      </c>
      <c r="II94" t="e">
        <v>#VALUE!</v>
      </c>
      <c r="IJ94" t="e">
        <v>#VALUE!</v>
      </c>
      <c r="IK94" t="e">
        <v>#VALUE!</v>
      </c>
      <c r="IL94" t="e">
        <v>#VALUE!</v>
      </c>
      <c r="IM94" t="e">
        <v>#VALUE!</v>
      </c>
      <c r="IN94" t="e">
        <v>#VALUE!</v>
      </c>
      <c r="IO94" t="e">
        <v>#VALUE!</v>
      </c>
      <c r="IP94" t="e">
        <v>#VALUE!</v>
      </c>
      <c r="IQ94" t="e">
        <v>#VALUE!</v>
      </c>
      <c r="IR94" t="e">
        <v>#VALUE!</v>
      </c>
      <c r="IS94">
        <v>0</v>
      </c>
      <c r="IT94" t="e">
        <v>#VALUE!</v>
      </c>
      <c r="IU94" t="e">
        <v>#VALUE!</v>
      </c>
      <c r="IV94" t="e">
        <v>#VALUE!</v>
      </c>
    </row>
    <row r="95" spans="1:256" x14ac:dyDescent="0.25">
      <c r="A95" t="e">
        <v>#VALUE!</v>
      </c>
      <c r="B95" t="e">
        <v>#VALUE!</v>
      </c>
      <c r="C95" t="e">
        <v>#VALUE!</v>
      </c>
      <c r="D95" t="e">
        <v>#VALUE!</v>
      </c>
      <c r="E95" t="e">
        <v>#VALUE!</v>
      </c>
      <c r="F95" t="e">
        <v>#VALUE!</v>
      </c>
      <c r="G95" t="e">
        <v>#VALUE!</v>
      </c>
      <c r="H95" t="e">
        <v>#VALUE!</v>
      </c>
      <c r="I95" t="e">
        <v>#VALUE!</v>
      </c>
      <c r="J95" t="e">
        <v>#VALUE!</v>
      </c>
      <c r="K95" t="e">
        <v>#VALUE!</v>
      </c>
      <c r="L95" t="e">
        <v>#VALUE!</v>
      </c>
      <c r="M95" t="e">
        <v>#VALUE!</v>
      </c>
      <c r="N95" t="e">
        <v>#VALUE!</v>
      </c>
      <c r="O95" t="e">
        <v>#VALUE!</v>
      </c>
      <c r="P95">
        <v>0</v>
      </c>
      <c r="Q95" t="e">
        <v>#VALUE!</v>
      </c>
      <c r="R95" t="e">
        <v>#VALUE!</v>
      </c>
      <c r="S95" t="e">
        <v>#VALUE!</v>
      </c>
      <c r="T95" t="e">
        <v>#VALUE!</v>
      </c>
      <c r="U95" t="e">
        <v>#VALUE!</v>
      </c>
      <c r="V95" t="e">
        <v>#VALUE!</v>
      </c>
      <c r="W95" t="e">
        <v>#VALUE!</v>
      </c>
      <c r="X95" t="e">
        <v>#VALUE!</v>
      </c>
      <c r="Y95" t="e">
        <v>#VALUE!</v>
      </c>
      <c r="Z95" t="e">
        <v>#VALUE!</v>
      </c>
      <c r="AA95" t="e">
        <v>#VALUE!</v>
      </c>
      <c r="AB95" t="e">
        <v>#VALUE!</v>
      </c>
      <c r="AC95" t="e">
        <v>#VALUE!</v>
      </c>
      <c r="AD95" t="e">
        <v>#VALUE!</v>
      </c>
      <c r="AE95" t="e">
        <v>#VALUE!</v>
      </c>
      <c r="AF95" t="e">
        <v>#VALUE!</v>
      </c>
      <c r="AG95" t="e">
        <v>#VALUE!</v>
      </c>
      <c r="AH95" t="e">
        <v>#VALUE!</v>
      </c>
      <c r="AI95">
        <v>0</v>
      </c>
      <c r="AJ95" t="e">
        <v>#VALUE!</v>
      </c>
      <c r="AK95" t="e">
        <v>#VALUE!</v>
      </c>
      <c r="AL95" t="e">
        <v>#VALUE!</v>
      </c>
      <c r="AM95" t="e">
        <v>#VALUE!</v>
      </c>
      <c r="AN95" t="e">
        <v>#VALUE!</v>
      </c>
      <c r="AO95" t="e">
        <v>#VALUE!</v>
      </c>
      <c r="AP95" t="e">
        <v>#VALUE!</v>
      </c>
      <c r="AQ95" t="e">
        <v>#VALUE!</v>
      </c>
      <c r="AR95" t="e">
        <v>#VALUE!</v>
      </c>
      <c r="AS95" t="e">
        <v>#VALUE!</v>
      </c>
      <c r="AT95" t="e">
        <v>#VALUE!</v>
      </c>
      <c r="AU95" t="e">
        <v>#VALUE!</v>
      </c>
      <c r="AV95" t="e">
        <v>#VALUE!</v>
      </c>
      <c r="AW95" t="e">
        <v>#VALUE!</v>
      </c>
      <c r="AX95" t="e">
        <v>#VALUE!</v>
      </c>
      <c r="AY95" t="e">
        <v>#VALUE!</v>
      </c>
      <c r="AZ95" t="e">
        <v>#VALUE!</v>
      </c>
      <c r="BA95" t="e">
        <v>#VALUE!</v>
      </c>
      <c r="BB95">
        <v>0</v>
      </c>
      <c r="BC95" t="e">
        <v>#VALUE!</v>
      </c>
      <c r="BD95" t="e">
        <v>#VALUE!</v>
      </c>
      <c r="BE95" t="e">
        <v>#VALUE!</v>
      </c>
      <c r="BF95" t="e">
        <v>#VALUE!</v>
      </c>
      <c r="BG95" t="e">
        <v>#VALUE!</v>
      </c>
      <c r="BH95" t="e">
        <v>#VALUE!</v>
      </c>
      <c r="BI95" t="e">
        <v>#VALUE!</v>
      </c>
      <c r="BJ95" t="e">
        <v>#VALUE!</v>
      </c>
      <c r="BK95" t="e">
        <v>#VALUE!</v>
      </c>
      <c r="BL95" t="e">
        <v>#VALUE!</v>
      </c>
      <c r="BM95" t="e">
        <v>#VALUE!</v>
      </c>
      <c r="BN95" t="e">
        <v>#VALUE!</v>
      </c>
      <c r="BO95" t="e">
        <v>#VALUE!</v>
      </c>
      <c r="BP95" t="e">
        <v>#VALUE!</v>
      </c>
      <c r="BQ95" t="e">
        <v>#VALUE!</v>
      </c>
      <c r="BR95" t="e">
        <v>#VALUE!</v>
      </c>
      <c r="BS95" t="e">
        <v>#VALUE!</v>
      </c>
      <c r="BT95" t="e">
        <v>#VALUE!</v>
      </c>
      <c r="BU95">
        <v>0</v>
      </c>
      <c r="BV95" t="e">
        <v>#VALUE!</v>
      </c>
      <c r="BW95" t="e">
        <v>#VALUE!</v>
      </c>
      <c r="BX95" t="e">
        <v>#VALUE!</v>
      </c>
      <c r="BY95" t="e">
        <v>#VALUE!</v>
      </c>
      <c r="BZ95" t="e">
        <v>#VALUE!</v>
      </c>
      <c r="CA95" t="e">
        <v>#VALUE!</v>
      </c>
      <c r="CB95" t="e">
        <v>#VALUE!</v>
      </c>
      <c r="CC95" t="e">
        <v>#VALUE!</v>
      </c>
      <c r="CD95" t="e">
        <v>#VALUE!</v>
      </c>
      <c r="CE95" t="e">
        <v>#VALUE!</v>
      </c>
      <c r="CF95" t="e">
        <v>#VALUE!</v>
      </c>
      <c r="CG95" t="e">
        <v>#VALUE!</v>
      </c>
      <c r="CH95" t="e">
        <v>#VALUE!</v>
      </c>
      <c r="CI95" t="e">
        <v>#VALUE!</v>
      </c>
      <c r="CJ95" t="e">
        <v>#VALUE!</v>
      </c>
      <c r="CK95" t="e">
        <v>#VALUE!</v>
      </c>
      <c r="CL95" t="e">
        <v>#VALUE!</v>
      </c>
      <c r="CM95" t="e">
        <v>#VALUE!</v>
      </c>
      <c r="CN95">
        <v>0</v>
      </c>
      <c r="CO95" t="e">
        <v>#VALUE!</v>
      </c>
      <c r="CP95" t="e">
        <v>#VALUE!</v>
      </c>
      <c r="CQ95" t="e">
        <v>#VALUE!</v>
      </c>
      <c r="CR95" t="e">
        <v>#VALUE!</v>
      </c>
      <c r="CS95" t="e">
        <v>#VALUE!</v>
      </c>
      <c r="CT95" t="e">
        <v>#VALUE!</v>
      </c>
      <c r="CU95" t="e">
        <v>#VALUE!</v>
      </c>
      <c r="CV95" t="e">
        <v>#VALUE!</v>
      </c>
      <c r="CW95" t="e">
        <v>#VALUE!</v>
      </c>
      <c r="CX95" t="e">
        <v>#VALUE!</v>
      </c>
      <c r="CY95" t="e">
        <v>#VALUE!</v>
      </c>
      <c r="CZ95" t="e">
        <v>#VALUE!</v>
      </c>
      <c r="DA95" t="e">
        <v>#VALUE!</v>
      </c>
      <c r="DB95" t="e">
        <v>#VALUE!</v>
      </c>
      <c r="DC95" t="e">
        <v>#VALUE!</v>
      </c>
      <c r="DD95" t="e">
        <v>#VALUE!</v>
      </c>
      <c r="DE95" t="e">
        <v>#VALUE!</v>
      </c>
      <c r="DF95" t="e">
        <v>#VALUE!</v>
      </c>
      <c r="DG95">
        <v>0</v>
      </c>
      <c r="DH95" t="e">
        <v>#VALUE!</v>
      </c>
      <c r="DI95" t="e">
        <v>#VALUE!</v>
      </c>
      <c r="DJ95" t="e">
        <v>#VALUE!</v>
      </c>
      <c r="DK95" t="e">
        <v>#VALUE!</v>
      </c>
      <c r="DL95" t="e">
        <v>#VALUE!</v>
      </c>
      <c r="DM95" t="e">
        <v>#VALUE!</v>
      </c>
      <c r="DN95" t="e">
        <v>#VALUE!</v>
      </c>
      <c r="DO95" t="e">
        <v>#VALUE!</v>
      </c>
      <c r="DP95" t="e">
        <v>#VALUE!</v>
      </c>
      <c r="DQ95" t="e">
        <v>#VALUE!</v>
      </c>
      <c r="DR95" t="e">
        <v>#VALUE!</v>
      </c>
      <c r="DS95" t="e">
        <v>#VALUE!</v>
      </c>
      <c r="DT95" t="e">
        <v>#VALUE!</v>
      </c>
      <c r="DU95" t="e">
        <v>#VALUE!</v>
      </c>
      <c r="DV95" t="e">
        <v>#VALUE!</v>
      </c>
      <c r="DW95" t="e">
        <v>#VALUE!</v>
      </c>
      <c r="DX95" t="e">
        <v>#VALUE!</v>
      </c>
      <c r="DY95" t="e">
        <v>#VALUE!</v>
      </c>
      <c r="DZ95">
        <v>0</v>
      </c>
      <c r="EA95" t="e">
        <v>#VALUE!</v>
      </c>
      <c r="EB95" t="e">
        <v>#VALUE!</v>
      </c>
      <c r="EC95" t="e">
        <v>#VALUE!</v>
      </c>
      <c r="ED95" t="e">
        <v>#VALUE!</v>
      </c>
      <c r="EE95" t="e">
        <v>#VALUE!</v>
      </c>
      <c r="EF95" t="e">
        <v>#VALUE!</v>
      </c>
      <c r="EG95" t="e">
        <v>#VALUE!</v>
      </c>
      <c r="EH95" t="e">
        <v>#VALUE!</v>
      </c>
      <c r="EI95" t="e">
        <v>#VALUE!</v>
      </c>
      <c r="EJ95" t="e">
        <v>#VALUE!</v>
      </c>
      <c r="EK95" t="e">
        <v>#VALUE!</v>
      </c>
      <c r="EL95" t="e">
        <v>#VALUE!</v>
      </c>
      <c r="EM95" t="e">
        <v>#VALUE!</v>
      </c>
      <c r="EN95" t="e">
        <v>#VALUE!</v>
      </c>
      <c r="EO95" t="e">
        <v>#VALUE!</v>
      </c>
      <c r="EP95" t="e">
        <v>#VALUE!</v>
      </c>
      <c r="EQ95" t="e">
        <v>#VALUE!</v>
      </c>
      <c r="ER95" t="e">
        <v>#VALUE!</v>
      </c>
      <c r="ES95">
        <v>0</v>
      </c>
      <c r="ET95" t="e">
        <v>#VALUE!</v>
      </c>
      <c r="EU95" t="e">
        <v>#VALUE!</v>
      </c>
      <c r="EV95" t="e">
        <v>#VALUE!</v>
      </c>
      <c r="EW95" t="e">
        <v>#VALUE!</v>
      </c>
      <c r="EX95" t="e">
        <v>#VALUE!</v>
      </c>
      <c r="EY95" t="e">
        <v>#VALUE!</v>
      </c>
      <c r="EZ95" t="e">
        <v>#VALUE!</v>
      </c>
      <c r="FA95" t="e">
        <v>#VALUE!</v>
      </c>
      <c r="FB95" t="e">
        <v>#VALUE!</v>
      </c>
      <c r="FC95" t="e">
        <v>#VALUE!</v>
      </c>
      <c r="FD95" t="e">
        <v>#VALUE!</v>
      </c>
      <c r="FE95" t="e">
        <v>#VALUE!</v>
      </c>
      <c r="FF95" t="e">
        <v>#VALUE!</v>
      </c>
      <c r="FG95" t="e">
        <v>#VALUE!</v>
      </c>
      <c r="FH95" t="e">
        <v>#VALUE!</v>
      </c>
      <c r="FI95" t="e">
        <v>#VALUE!</v>
      </c>
      <c r="FJ95" t="e">
        <v>#VALUE!</v>
      </c>
      <c r="FK95" t="e">
        <v>#VALUE!</v>
      </c>
      <c r="FL95">
        <v>0</v>
      </c>
      <c r="FM95" t="e">
        <v>#VALUE!</v>
      </c>
      <c r="FN95" t="e">
        <v>#VALUE!</v>
      </c>
      <c r="FO95" t="e">
        <v>#VALUE!</v>
      </c>
      <c r="FP95" t="e">
        <v>#VALUE!</v>
      </c>
      <c r="FQ95" t="e">
        <v>#VALUE!</v>
      </c>
      <c r="FR95" t="e">
        <v>#VALUE!</v>
      </c>
      <c r="FS95" t="e">
        <v>#VALUE!</v>
      </c>
      <c r="FT95" t="e">
        <v>#VALUE!</v>
      </c>
      <c r="FU95" t="e">
        <v>#VALUE!</v>
      </c>
      <c r="FV95" t="e">
        <v>#VALUE!</v>
      </c>
      <c r="FW95" t="e">
        <v>#VALUE!</v>
      </c>
      <c r="FX95" t="e">
        <v>#VALUE!</v>
      </c>
      <c r="FY95" t="e">
        <v>#VALUE!</v>
      </c>
      <c r="FZ95" t="e">
        <v>#VALUE!</v>
      </c>
      <c r="GA95" t="e">
        <v>#VALUE!</v>
      </c>
      <c r="GB95" t="e">
        <v>#VALUE!</v>
      </c>
      <c r="GC95" t="e">
        <v>#VALUE!</v>
      </c>
      <c r="GD95" t="e">
        <v>#VALUE!</v>
      </c>
      <c r="GE95">
        <v>0</v>
      </c>
      <c r="GF95" t="e">
        <v>#VALUE!</v>
      </c>
      <c r="GG95" t="e">
        <v>#VALUE!</v>
      </c>
      <c r="GH95" t="e">
        <v>#VALUE!</v>
      </c>
      <c r="GI95" t="e">
        <v>#VALUE!</v>
      </c>
      <c r="GJ95" t="e">
        <v>#VALUE!</v>
      </c>
      <c r="GK95" t="e">
        <v>#VALUE!</v>
      </c>
      <c r="GL95" t="e">
        <v>#VALUE!</v>
      </c>
      <c r="GM95" t="e">
        <v>#VALUE!</v>
      </c>
      <c r="GN95" t="e">
        <v>#VALUE!</v>
      </c>
      <c r="GO95" t="e">
        <v>#VALUE!</v>
      </c>
      <c r="GP95" t="e">
        <v>#VALUE!</v>
      </c>
      <c r="GQ95" t="e">
        <v>#VALUE!</v>
      </c>
      <c r="GR95" t="e">
        <v>#VALUE!</v>
      </c>
      <c r="GS95" t="e">
        <v>#VALUE!</v>
      </c>
      <c r="GT95" t="e">
        <v>#VALUE!</v>
      </c>
      <c r="GU95" t="e">
        <v>#VALUE!</v>
      </c>
      <c r="GV95" t="e">
        <v>#VALUE!</v>
      </c>
      <c r="GW95" t="e">
        <v>#VALUE!</v>
      </c>
      <c r="GX95">
        <v>0</v>
      </c>
      <c r="GY95" t="e">
        <v>#VALUE!</v>
      </c>
      <c r="GZ95" t="e">
        <v>#VALUE!</v>
      </c>
      <c r="HA95" t="e">
        <v>#VALUE!</v>
      </c>
      <c r="HB95" t="e">
        <v>#VALUE!</v>
      </c>
      <c r="HC95" t="e">
        <v>#VALUE!</v>
      </c>
      <c r="HD95" t="e">
        <v>#VALUE!</v>
      </c>
      <c r="HE95" t="e">
        <v>#VALUE!</v>
      </c>
      <c r="HF95" t="e">
        <v>#VALUE!</v>
      </c>
      <c r="HG95" t="e">
        <v>#VALUE!</v>
      </c>
      <c r="HH95" t="e">
        <v>#VALUE!</v>
      </c>
      <c r="HI95" t="e">
        <v>#VALUE!</v>
      </c>
      <c r="HJ95" t="e">
        <v>#VALUE!</v>
      </c>
      <c r="HK95" t="e">
        <v>#VALUE!</v>
      </c>
      <c r="HL95" t="e">
        <v>#VALUE!</v>
      </c>
      <c r="HM95" t="e">
        <v>#VALUE!</v>
      </c>
      <c r="HN95" t="e">
        <v>#VALUE!</v>
      </c>
      <c r="HO95" t="e">
        <v>#VALUE!</v>
      </c>
      <c r="HP95" t="e">
        <v>#VALUE!</v>
      </c>
      <c r="HQ95">
        <v>0</v>
      </c>
      <c r="HR95" t="e">
        <v>#VALUE!</v>
      </c>
      <c r="HS95" t="e">
        <v>#VALUE!</v>
      </c>
      <c r="HT95" t="e">
        <v>#VALUE!</v>
      </c>
      <c r="HU95" t="e">
        <v>#VALUE!</v>
      </c>
      <c r="HV95" t="e">
        <v>#VALUE!</v>
      </c>
      <c r="HW95" t="e">
        <v>#VALUE!</v>
      </c>
      <c r="HX95" t="e">
        <v>#VALUE!</v>
      </c>
      <c r="HY95" t="e">
        <v>#VALUE!</v>
      </c>
      <c r="HZ95" t="e">
        <v>#VALUE!</v>
      </c>
      <c r="IA95" t="e">
        <v>#VALUE!</v>
      </c>
      <c r="IB95" t="e">
        <v>#VALUE!</v>
      </c>
      <c r="IC95" t="e">
        <v>#VALUE!</v>
      </c>
      <c r="ID95" t="e">
        <v>#VALUE!</v>
      </c>
      <c r="IE95" t="e">
        <v>#VALUE!</v>
      </c>
      <c r="IF95" t="e">
        <v>#VALUE!</v>
      </c>
      <c r="IG95" t="e">
        <v>#VALUE!</v>
      </c>
      <c r="IH95" t="e">
        <v>#VALUE!</v>
      </c>
      <c r="II95" t="e">
        <v>#VALUE!</v>
      </c>
      <c r="IJ95">
        <v>0</v>
      </c>
      <c r="IK95" t="e">
        <v>#VALUE!</v>
      </c>
      <c r="IL95" t="e">
        <v>#VALUE!</v>
      </c>
      <c r="IM95" t="e">
        <v>#VALUE!</v>
      </c>
      <c r="IN95" t="e">
        <v>#VALUE!</v>
      </c>
      <c r="IO95" t="e">
        <v>#VALUE!</v>
      </c>
      <c r="IP95" t="e">
        <v>#VALUE!</v>
      </c>
      <c r="IQ95" t="e">
        <v>#VALUE!</v>
      </c>
      <c r="IR95" t="e">
        <v>#VALUE!</v>
      </c>
      <c r="IS95" t="e">
        <v>#VALUE!</v>
      </c>
      <c r="IT95" t="e">
        <v>#VALUE!</v>
      </c>
      <c r="IU95" t="e">
        <v>#VALUE!</v>
      </c>
      <c r="IV95" t="e">
        <v>#VALUE!</v>
      </c>
    </row>
    <row r="96" spans="1:256" x14ac:dyDescent="0.25">
      <c r="A96" t="e">
        <v>#VALUE!</v>
      </c>
      <c r="B96" t="e">
        <v>#VALUE!</v>
      </c>
      <c r="C96" t="e">
        <v>#VALUE!</v>
      </c>
      <c r="D96" t="e">
        <v>#VALUE!</v>
      </c>
      <c r="E96" t="e">
        <v>#VALUE!</v>
      </c>
      <c r="F96" t="e">
        <v>#VALUE!</v>
      </c>
      <c r="G96">
        <v>0</v>
      </c>
      <c r="H96" t="e">
        <v>#VALUE!</v>
      </c>
      <c r="I96" t="e">
        <v>#VALUE!</v>
      </c>
      <c r="J96" t="e">
        <v>#VALUE!</v>
      </c>
      <c r="K96" t="e">
        <v>#VALUE!</v>
      </c>
      <c r="L96" t="e">
        <v>#VALUE!</v>
      </c>
      <c r="M96" t="e">
        <v>#VALUE!</v>
      </c>
      <c r="N96" t="e">
        <v>#VALUE!</v>
      </c>
      <c r="O96" t="e">
        <v>#VALUE!</v>
      </c>
      <c r="P96" t="e">
        <v>#VALUE!</v>
      </c>
      <c r="Q96" t="e">
        <v>#VALUE!</v>
      </c>
      <c r="R96" t="e">
        <v>#VALUE!</v>
      </c>
      <c r="S96" t="e">
        <v>#VALUE!</v>
      </c>
      <c r="T96" t="e">
        <v>#VALUE!</v>
      </c>
      <c r="U96" t="e">
        <v>#VALUE!</v>
      </c>
      <c r="V96" t="e">
        <v>#VALUE!</v>
      </c>
      <c r="W96" t="e">
        <v>#VALUE!</v>
      </c>
      <c r="X96" t="e">
        <v>#VALUE!</v>
      </c>
      <c r="Y96" t="e">
        <v>#VALUE!</v>
      </c>
      <c r="Z96">
        <v>0</v>
      </c>
      <c r="AA96" t="e">
        <v>#VALUE!</v>
      </c>
      <c r="AB96" t="e">
        <v>#VALUE!</v>
      </c>
      <c r="AC96" t="e">
        <v>#VALUE!</v>
      </c>
      <c r="AD96" t="e">
        <v>#VALUE!</v>
      </c>
      <c r="AE96" t="e">
        <v>#VALUE!</v>
      </c>
      <c r="AF96" t="e">
        <v>#VALUE!</v>
      </c>
      <c r="AG96" t="e">
        <v>#VALUE!</v>
      </c>
      <c r="AH96" t="e">
        <v>#VALUE!</v>
      </c>
      <c r="AI96" t="e">
        <v>#VALUE!</v>
      </c>
      <c r="AJ96" t="e">
        <v>#VALUE!</v>
      </c>
      <c r="AK96" t="e">
        <v>#VALUE!</v>
      </c>
      <c r="AL96" t="e">
        <v>#VALUE!</v>
      </c>
      <c r="AM96" t="e">
        <v>#VALUE!</v>
      </c>
      <c r="AN96" t="e">
        <v>#VALUE!</v>
      </c>
      <c r="AO96" t="e">
        <v>#VALUE!</v>
      </c>
      <c r="AP96" t="e">
        <v>#VALUE!</v>
      </c>
      <c r="AQ96" t="e">
        <v>#VALUE!</v>
      </c>
      <c r="AR96" t="e">
        <v>#VALUE!</v>
      </c>
      <c r="AS96">
        <v>0</v>
      </c>
      <c r="AT96" t="e">
        <v>#VALUE!</v>
      </c>
      <c r="AU96" t="e">
        <v>#VALUE!</v>
      </c>
      <c r="AV96" t="e">
        <v>#VALUE!</v>
      </c>
      <c r="AW96" t="e">
        <v>#VALUE!</v>
      </c>
      <c r="AX96" t="e">
        <v>#VALUE!</v>
      </c>
      <c r="AY96" t="e">
        <v>#VALUE!</v>
      </c>
      <c r="AZ96" t="e">
        <v>#VALUE!</v>
      </c>
      <c r="BA96" t="e">
        <v>#VALUE!</v>
      </c>
      <c r="BB96" t="e">
        <v>#VALUE!</v>
      </c>
      <c r="BC96" t="e">
        <v>#VALUE!</v>
      </c>
      <c r="BD96" t="e">
        <v>#VALUE!</v>
      </c>
      <c r="BE96" t="e">
        <v>#VALUE!</v>
      </c>
      <c r="BF96" t="e">
        <v>#VALUE!</v>
      </c>
      <c r="BG96" t="e">
        <v>#VALUE!</v>
      </c>
      <c r="BH96" t="e">
        <v>#VALUE!</v>
      </c>
      <c r="BI96" t="e">
        <v>#VALUE!</v>
      </c>
      <c r="BJ96" t="e">
        <v>#VALUE!</v>
      </c>
      <c r="BK96" t="e">
        <v>#VALUE!</v>
      </c>
      <c r="BL96">
        <v>0</v>
      </c>
      <c r="BM96" t="e">
        <v>#VALUE!</v>
      </c>
      <c r="BN96" t="e">
        <v>#VALUE!</v>
      </c>
      <c r="BO96" t="e">
        <v>#VALUE!</v>
      </c>
      <c r="BP96" t="e">
        <v>#VALUE!</v>
      </c>
      <c r="BQ96" t="e">
        <v>#VALUE!</v>
      </c>
      <c r="BR96" t="e">
        <v>#VALUE!</v>
      </c>
      <c r="BS96" t="e">
        <v>#VALUE!</v>
      </c>
      <c r="BT96" t="e">
        <v>#VALUE!</v>
      </c>
      <c r="BU96" t="e">
        <v>#VALUE!</v>
      </c>
      <c r="BV96" t="e">
        <v>#VALUE!</v>
      </c>
      <c r="BW96" t="e">
        <v>#VALUE!</v>
      </c>
      <c r="BX96" t="e">
        <v>#VALUE!</v>
      </c>
      <c r="BY96" t="e">
        <v>#VALUE!</v>
      </c>
      <c r="BZ96" t="e">
        <v>#VALUE!</v>
      </c>
      <c r="CA96" t="e">
        <v>#VALUE!</v>
      </c>
      <c r="CB96" t="e">
        <v>#VALUE!</v>
      </c>
      <c r="CC96" t="e">
        <v>#VALUE!</v>
      </c>
      <c r="CD96" t="e">
        <v>#VALUE!</v>
      </c>
      <c r="CE96">
        <v>0</v>
      </c>
      <c r="CF96" t="e">
        <v>#VALUE!</v>
      </c>
      <c r="CG96" t="e">
        <v>#VALUE!</v>
      </c>
      <c r="CH96" t="e">
        <v>#VALUE!</v>
      </c>
      <c r="CI96" t="e">
        <v>#VALUE!</v>
      </c>
      <c r="CJ96" t="e">
        <v>#VALUE!</v>
      </c>
      <c r="CK96" t="e">
        <v>#VALUE!</v>
      </c>
      <c r="CL96" t="e">
        <v>#VALUE!</v>
      </c>
      <c r="CM96" t="e">
        <v>#VALUE!</v>
      </c>
      <c r="CN96" t="e">
        <v>#VALUE!</v>
      </c>
      <c r="CO96" t="e">
        <v>#VALUE!</v>
      </c>
      <c r="CP96" t="e">
        <v>#VALUE!</v>
      </c>
      <c r="CQ96" t="e">
        <v>#VALUE!</v>
      </c>
      <c r="CR96" t="e">
        <v>#VALUE!</v>
      </c>
      <c r="CS96" t="e">
        <v>#VALUE!</v>
      </c>
      <c r="CT96" t="e">
        <v>#VALUE!</v>
      </c>
      <c r="CU96" t="e">
        <v>#VALUE!</v>
      </c>
      <c r="CV96" t="e">
        <v>#VALUE!</v>
      </c>
      <c r="CW96" t="e">
        <v>#VALUE!</v>
      </c>
      <c r="CX96">
        <v>0</v>
      </c>
      <c r="CY96" t="e">
        <v>#VALUE!</v>
      </c>
      <c r="CZ96" t="e">
        <v>#VALUE!</v>
      </c>
      <c r="DA96" t="e">
        <v>#VALUE!</v>
      </c>
      <c r="DB96" t="e">
        <v>#VALUE!</v>
      </c>
      <c r="DC96" t="e">
        <v>#VALUE!</v>
      </c>
      <c r="DD96" t="e">
        <v>#VALUE!</v>
      </c>
      <c r="DE96" t="e">
        <v>#VALUE!</v>
      </c>
      <c r="DF96" t="e">
        <v>#VALUE!</v>
      </c>
      <c r="DG96" t="e">
        <v>#VALUE!</v>
      </c>
      <c r="DH96" t="e">
        <v>#VALUE!</v>
      </c>
      <c r="DI96" t="e">
        <v>#VALUE!</v>
      </c>
      <c r="DJ96" t="e">
        <v>#VALUE!</v>
      </c>
      <c r="DK96" t="e">
        <v>#VALUE!</v>
      </c>
      <c r="DL96" t="e">
        <v>#VALUE!</v>
      </c>
      <c r="DM96" t="e">
        <v>#VALUE!</v>
      </c>
      <c r="DN96" t="e">
        <v>#VALUE!</v>
      </c>
      <c r="DO96" t="e">
        <v>#VALUE!</v>
      </c>
      <c r="DP96" t="e">
        <v>#VALUE!</v>
      </c>
      <c r="DQ96">
        <v>0</v>
      </c>
      <c r="DR96" t="e">
        <v>#VALUE!</v>
      </c>
      <c r="DS96" t="e">
        <v>#VALUE!</v>
      </c>
      <c r="DT96" t="e">
        <v>#VALUE!</v>
      </c>
      <c r="DU96" t="e">
        <v>#VALUE!</v>
      </c>
      <c r="DV96" t="e">
        <v>#VALUE!</v>
      </c>
      <c r="DW96" t="e">
        <v>#VALUE!</v>
      </c>
      <c r="DX96" t="e">
        <v>#VALUE!</v>
      </c>
      <c r="DY96" t="e">
        <v>#VALUE!</v>
      </c>
      <c r="DZ96" t="e">
        <v>#VALUE!</v>
      </c>
      <c r="EA96" t="e">
        <v>#VALUE!</v>
      </c>
      <c r="EB96" t="e">
        <v>#VALUE!</v>
      </c>
      <c r="EC96" t="e">
        <v>#VALUE!</v>
      </c>
      <c r="ED96" t="e">
        <v>#VALUE!</v>
      </c>
      <c r="EE96" t="e">
        <v>#VALUE!</v>
      </c>
      <c r="EF96" t="e">
        <v>#VALUE!</v>
      </c>
      <c r="EG96" t="e">
        <v>#VALUE!</v>
      </c>
      <c r="EH96" t="e">
        <v>#VALUE!</v>
      </c>
      <c r="EI96" t="e">
        <v>#VALUE!</v>
      </c>
      <c r="EJ96">
        <v>0</v>
      </c>
      <c r="EK96" t="e">
        <v>#VALUE!</v>
      </c>
      <c r="EL96" t="e">
        <v>#VALUE!</v>
      </c>
      <c r="EM96" t="e">
        <v>#VALUE!</v>
      </c>
      <c r="EN96" t="e">
        <v>#VALUE!</v>
      </c>
      <c r="EO96" t="e">
        <v>#VALUE!</v>
      </c>
      <c r="EP96" t="e">
        <v>#VALUE!</v>
      </c>
      <c r="EQ96" t="e">
        <v>#VALUE!</v>
      </c>
      <c r="ER96" t="e">
        <v>#VALUE!</v>
      </c>
      <c r="ES96" t="e">
        <v>#VALUE!</v>
      </c>
      <c r="ET96" t="e">
        <v>#VALUE!</v>
      </c>
      <c r="EU96" t="e">
        <v>#VALUE!</v>
      </c>
      <c r="EV96" t="e">
        <v>#VALUE!</v>
      </c>
      <c r="EW96" t="e">
        <v>#VALUE!</v>
      </c>
      <c r="EX96" t="e">
        <v>#VALUE!</v>
      </c>
      <c r="EY96" t="e">
        <v>#VALUE!</v>
      </c>
      <c r="EZ96" t="e">
        <v>#VALUE!</v>
      </c>
      <c r="FA96" t="e">
        <v>#VALUE!</v>
      </c>
      <c r="FB96" t="e">
        <v>#VALUE!</v>
      </c>
      <c r="FC96">
        <v>0</v>
      </c>
      <c r="FD96" t="e">
        <v>#VALUE!</v>
      </c>
      <c r="FE96" t="e">
        <v>#VALUE!</v>
      </c>
      <c r="FF96" t="e">
        <v>#VALUE!</v>
      </c>
      <c r="FG96" t="e">
        <v>#VALUE!</v>
      </c>
      <c r="FH96" t="e">
        <v>#VALUE!</v>
      </c>
      <c r="FI96" t="e">
        <v>#VALUE!</v>
      </c>
      <c r="FJ96" t="e">
        <v>#VALUE!</v>
      </c>
      <c r="FK96" t="e">
        <v>#VALUE!</v>
      </c>
      <c r="FL96" t="e">
        <v>#VALUE!</v>
      </c>
      <c r="FM96" t="e">
        <v>#VALUE!</v>
      </c>
      <c r="FN96" t="e">
        <v>#VALUE!</v>
      </c>
      <c r="FO96" t="e">
        <v>#VALUE!</v>
      </c>
      <c r="FP96" t="e">
        <v>#VALUE!</v>
      </c>
      <c r="FQ96" t="e">
        <v>#VALUE!</v>
      </c>
      <c r="FR96" t="e">
        <v>#VALUE!</v>
      </c>
      <c r="FS96" t="e">
        <v>#VALUE!</v>
      </c>
      <c r="FT96" t="e">
        <v>#VALUE!</v>
      </c>
      <c r="FU96" t="e">
        <v>#VALUE!</v>
      </c>
      <c r="FV96">
        <v>0</v>
      </c>
      <c r="FW96" t="e">
        <v>#VALUE!</v>
      </c>
      <c r="FX96" t="e">
        <v>#VALUE!</v>
      </c>
      <c r="FY96" t="e">
        <v>#VALUE!</v>
      </c>
      <c r="FZ96" t="e">
        <v>#VALUE!</v>
      </c>
      <c r="GA96" t="e">
        <v>#VALUE!</v>
      </c>
      <c r="GB96" t="e">
        <v>#VALUE!</v>
      </c>
      <c r="GC96" t="e">
        <v>#VALUE!</v>
      </c>
      <c r="GD96" t="e">
        <v>#VALUE!</v>
      </c>
      <c r="GE96" t="e">
        <v>#VALUE!</v>
      </c>
      <c r="GF96" t="e">
        <v>#VALUE!</v>
      </c>
      <c r="GG96" t="e">
        <v>#VALUE!</v>
      </c>
      <c r="GH96" t="e">
        <v>#VALUE!</v>
      </c>
      <c r="GI96" t="e">
        <v>#VALUE!</v>
      </c>
      <c r="GJ96" t="e">
        <v>#VALUE!</v>
      </c>
      <c r="GK96" t="e">
        <v>#VALUE!</v>
      </c>
      <c r="GL96" t="e">
        <v>#VALUE!</v>
      </c>
      <c r="GM96" t="e">
        <v>#VALUE!</v>
      </c>
      <c r="GN96" t="e">
        <v>#VALUE!</v>
      </c>
      <c r="GO96">
        <v>0</v>
      </c>
      <c r="GP96" t="e">
        <v>#VALUE!</v>
      </c>
      <c r="GQ96" t="e">
        <v>#VALUE!</v>
      </c>
      <c r="GR96" t="e">
        <v>#VALUE!</v>
      </c>
      <c r="GS96" t="e">
        <v>#VALUE!</v>
      </c>
      <c r="GT96" t="e">
        <v>#VALUE!</v>
      </c>
      <c r="GU96" t="e">
        <v>#VALUE!</v>
      </c>
      <c r="GV96" t="e">
        <v>#VALUE!</v>
      </c>
      <c r="GW96" t="e">
        <v>#VALUE!</v>
      </c>
      <c r="GX96" t="e">
        <v>#VALUE!</v>
      </c>
      <c r="GY96" t="e">
        <v>#VALUE!</v>
      </c>
      <c r="GZ96" t="e">
        <v>#VALUE!</v>
      </c>
      <c r="HA96" t="e">
        <v>#VALUE!</v>
      </c>
      <c r="HB96" t="e">
        <v>#VALUE!</v>
      </c>
      <c r="HC96" t="e">
        <v>#VALUE!</v>
      </c>
      <c r="HD96" t="e">
        <v>#VALUE!</v>
      </c>
      <c r="HE96" t="e">
        <v>#VALUE!</v>
      </c>
      <c r="HF96" t="e">
        <v>#VALUE!</v>
      </c>
      <c r="HG96" t="e">
        <v>#VALUE!</v>
      </c>
      <c r="HH96">
        <v>0</v>
      </c>
      <c r="HI96" t="e">
        <v>#VALUE!</v>
      </c>
      <c r="HJ96" t="e">
        <v>#VALUE!</v>
      </c>
      <c r="HK96" t="e">
        <v>#VALUE!</v>
      </c>
      <c r="HL96" t="e">
        <v>#VALUE!</v>
      </c>
      <c r="HM96" t="e">
        <v>#VALUE!</v>
      </c>
      <c r="HN96" t="e">
        <v>#VALUE!</v>
      </c>
      <c r="HO96" t="e">
        <v>#VALUE!</v>
      </c>
      <c r="HP96" t="e">
        <v>#VALUE!</v>
      </c>
      <c r="HQ96" t="e">
        <v>#VALUE!</v>
      </c>
      <c r="HR96" t="e">
        <v>#VALUE!</v>
      </c>
      <c r="HS96" t="e">
        <v>#VALUE!</v>
      </c>
      <c r="HT96" t="e">
        <v>#VALUE!</v>
      </c>
      <c r="HU96" t="e">
        <v>#VALUE!</v>
      </c>
      <c r="HV96" t="e">
        <v>#VALUE!</v>
      </c>
      <c r="HW96" t="e">
        <v>#VALUE!</v>
      </c>
      <c r="HX96" t="e">
        <v>#VALUE!</v>
      </c>
      <c r="HY96" t="e">
        <v>#VALUE!</v>
      </c>
      <c r="HZ96" t="e">
        <v>#VALUE!</v>
      </c>
      <c r="IA96">
        <v>0</v>
      </c>
      <c r="IB96" t="e">
        <v>#VALUE!</v>
      </c>
      <c r="IC96" t="e">
        <v>#VALUE!</v>
      </c>
      <c r="ID96" t="e">
        <v>#VALUE!</v>
      </c>
      <c r="IE96" t="e">
        <v>#VALUE!</v>
      </c>
      <c r="IF96" t="e">
        <v>#VALUE!</v>
      </c>
      <c r="IG96" t="e">
        <v>#VALUE!</v>
      </c>
      <c r="IH96" t="e">
        <v>#VALUE!</v>
      </c>
      <c r="II96" t="e">
        <v>#VALUE!</v>
      </c>
      <c r="IJ96" t="e">
        <v>#VALUE!</v>
      </c>
      <c r="IK96" t="e">
        <v>#VALUE!</v>
      </c>
      <c r="IL96" t="e">
        <v>#VALUE!</v>
      </c>
      <c r="IM96" t="e">
        <v>#VALUE!</v>
      </c>
      <c r="IN96" t="e">
        <v>#VALUE!</v>
      </c>
      <c r="IO96" t="e">
        <v>#VALUE!</v>
      </c>
      <c r="IP96" t="e">
        <v>#VALUE!</v>
      </c>
      <c r="IQ96" t="e">
        <v>#VALUE!</v>
      </c>
      <c r="IR96" t="e">
        <v>#VALUE!</v>
      </c>
      <c r="IS96" t="e">
        <v>#VALUE!</v>
      </c>
      <c r="IT96">
        <v>0</v>
      </c>
      <c r="IU96" t="e">
        <v>#VALUE!</v>
      </c>
      <c r="IV96" t="e">
        <v>#VALUE!</v>
      </c>
    </row>
    <row r="97" spans="1:256" x14ac:dyDescent="0.25">
      <c r="A97" t="e">
        <v>#VALUE!</v>
      </c>
      <c r="B97" t="e">
        <v>#VALUE!</v>
      </c>
      <c r="C97" t="e">
        <v>#VALUE!</v>
      </c>
      <c r="D97" t="e">
        <v>#VALUE!</v>
      </c>
      <c r="E97" t="e">
        <v>#VALUE!</v>
      </c>
      <c r="F97" t="e">
        <v>#VALUE!</v>
      </c>
      <c r="G97" t="e">
        <v>#VALUE!</v>
      </c>
      <c r="H97" t="e">
        <v>#VALUE!</v>
      </c>
      <c r="I97" t="e">
        <v>#VALUE!</v>
      </c>
      <c r="J97" t="e">
        <v>#VALUE!</v>
      </c>
      <c r="K97" t="e">
        <v>#VALUE!</v>
      </c>
      <c r="L97" t="e">
        <v>#VALUE!</v>
      </c>
      <c r="M97" t="e">
        <v>#VALUE!</v>
      </c>
      <c r="N97" t="e">
        <v>#VALUE!</v>
      </c>
      <c r="O97" t="e">
        <v>#VALUE!</v>
      </c>
      <c r="P97" t="e">
        <v>#VALUE!</v>
      </c>
      <c r="Q97">
        <v>0</v>
      </c>
      <c r="R97" t="e">
        <v>#VALUE!</v>
      </c>
      <c r="S97" t="e">
        <v>#VALUE!</v>
      </c>
      <c r="T97" t="e">
        <v>#VALUE!</v>
      </c>
      <c r="U97" t="e">
        <v>#VALUE!</v>
      </c>
      <c r="V97" t="e">
        <v>#VALUE!</v>
      </c>
      <c r="W97" t="e">
        <v>#VALUE!</v>
      </c>
      <c r="X97" t="e">
        <v>#VALUE!</v>
      </c>
      <c r="Y97" t="e">
        <v>#VALUE!</v>
      </c>
      <c r="Z97" t="e">
        <v>#VALUE!</v>
      </c>
      <c r="AA97" t="e">
        <v>#VALUE!</v>
      </c>
      <c r="AB97" t="e">
        <v>#VALUE!</v>
      </c>
      <c r="AC97" t="e">
        <v>#VALUE!</v>
      </c>
      <c r="AD97" t="e">
        <v>#VALUE!</v>
      </c>
      <c r="AE97" t="e">
        <v>#VALUE!</v>
      </c>
      <c r="AF97" t="e">
        <v>#VALUE!</v>
      </c>
      <c r="AG97" t="e">
        <v>#VALUE!</v>
      </c>
      <c r="AH97" t="e">
        <v>#VALUE!</v>
      </c>
      <c r="AI97" t="e">
        <v>#VALUE!</v>
      </c>
      <c r="AJ97">
        <v>0</v>
      </c>
      <c r="AK97" t="e">
        <v>#VALUE!</v>
      </c>
      <c r="AL97" t="e">
        <v>#VALUE!</v>
      </c>
      <c r="AM97" t="e">
        <v>#VALUE!</v>
      </c>
      <c r="AN97" t="e">
        <v>#VALUE!</v>
      </c>
      <c r="AO97" t="e">
        <v>#VALUE!</v>
      </c>
      <c r="AP97" t="e">
        <v>#VALUE!</v>
      </c>
      <c r="AQ97" t="e">
        <v>#VALUE!</v>
      </c>
      <c r="AR97" t="e">
        <v>#VALUE!</v>
      </c>
      <c r="AS97" t="e">
        <v>#VALUE!</v>
      </c>
      <c r="AT97" t="e">
        <v>#VALUE!</v>
      </c>
      <c r="AU97" t="e">
        <v>#VALUE!</v>
      </c>
      <c r="AV97" t="e">
        <v>#VALUE!</v>
      </c>
      <c r="AW97" t="e">
        <v>#VALUE!</v>
      </c>
      <c r="AX97" t="e">
        <v>#VALUE!</v>
      </c>
      <c r="AY97" t="e">
        <v>#VALUE!</v>
      </c>
      <c r="AZ97" t="e">
        <v>#VALUE!</v>
      </c>
      <c r="BA97" t="e">
        <v>#VALUE!</v>
      </c>
      <c r="BB97" t="e">
        <v>#VALUE!</v>
      </c>
      <c r="BC97">
        <v>0</v>
      </c>
      <c r="BD97" t="e">
        <v>#VALUE!</v>
      </c>
      <c r="BE97" t="e">
        <v>#VALUE!</v>
      </c>
      <c r="BF97" t="e">
        <v>#VALUE!</v>
      </c>
      <c r="BG97" t="e">
        <v>#VALUE!</v>
      </c>
      <c r="BH97" t="e">
        <v>#VALUE!</v>
      </c>
      <c r="BI97" t="e">
        <v>#VALUE!</v>
      </c>
      <c r="BJ97" t="e">
        <v>#VALUE!</v>
      </c>
      <c r="BK97" t="e">
        <v>#VALUE!</v>
      </c>
      <c r="BL97" t="e">
        <v>#VALUE!</v>
      </c>
      <c r="BM97" t="e">
        <v>#VALUE!</v>
      </c>
      <c r="BN97" t="e">
        <v>#VALUE!</v>
      </c>
      <c r="BO97" t="e">
        <v>#VALUE!</v>
      </c>
      <c r="BP97" t="e">
        <v>#VALUE!</v>
      </c>
      <c r="BQ97" t="e">
        <v>#VALUE!</v>
      </c>
      <c r="BR97" t="e">
        <v>#VALUE!</v>
      </c>
      <c r="BS97" t="e">
        <v>#VALUE!</v>
      </c>
      <c r="BT97" t="e">
        <v>#VALUE!</v>
      </c>
      <c r="BU97" t="e">
        <v>#VALUE!</v>
      </c>
      <c r="BV97">
        <v>0</v>
      </c>
      <c r="BW97" t="e">
        <v>#VALUE!</v>
      </c>
      <c r="BX97" t="e">
        <v>#VALUE!</v>
      </c>
      <c r="BY97" t="e">
        <v>#VALUE!</v>
      </c>
      <c r="BZ97" t="e">
        <v>#VALUE!</v>
      </c>
      <c r="CA97" t="e">
        <v>#VALUE!</v>
      </c>
      <c r="CB97" t="e">
        <v>#VALUE!</v>
      </c>
      <c r="CC97" t="e">
        <v>#VALUE!</v>
      </c>
      <c r="CD97" t="e">
        <v>#VALUE!</v>
      </c>
      <c r="CE97" t="e">
        <v>#VALUE!</v>
      </c>
      <c r="CF97" t="e">
        <v>#VALUE!</v>
      </c>
      <c r="CG97" t="e">
        <v>#VALUE!</v>
      </c>
      <c r="CH97" t="e">
        <v>#VALUE!</v>
      </c>
      <c r="CI97" t="e">
        <v>#VALUE!</v>
      </c>
      <c r="CJ97" t="e">
        <v>#VALUE!</v>
      </c>
      <c r="CK97" t="e">
        <v>#VALUE!</v>
      </c>
      <c r="CL97" t="e">
        <v>#VALUE!</v>
      </c>
      <c r="CM97" t="e">
        <v>#VALUE!</v>
      </c>
      <c r="CN97" t="e">
        <v>#VALUE!</v>
      </c>
      <c r="CO97">
        <v>0</v>
      </c>
      <c r="CP97" t="e">
        <v>#VALUE!</v>
      </c>
      <c r="CQ97" t="e">
        <v>#VALUE!</v>
      </c>
      <c r="CR97" t="e">
        <v>#VALUE!</v>
      </c>
      <c r="CS97" t="e">
        <v>#VALUE!</v>
      </c>
      <c r="CT97" t="e">
        <v>#VALUE!</v>
      </c>
      <c r="CU97" t="e">
        <v>#VALUE!</v>
      </c>
      <c r="CV97" t="e">
        <v>#VALUE!</v>
      </c>
      <c r="CW97" t="e">
        <v>#VALUE!</v>
      </c>
      <c r="CX97" t="e">
        <v>#VALUE!</v>
      </c>
      <c r="CY97" t="e">
        <v>#VALUE!</v>
      </c>
      <c r="CZ97" t="e">
        <v>#VALUE!</v>
      </c>
      <c r="DA97" t="e">
        <v>#VALUE!</v>
      </c>
      <c r="DB97" t="e">
        <v>#VALUE!</v>
      </c>
      <c r="DC97" t="e">
        <v>#VALUE!</v>
      </c>
      <c r="DD97" t="e">
        <v>#VALUE!</v>
      </c>
      <c r="DE97" t="e">
        <v>#VALUE!</v>
      </c>
      <c r="DF97" t="e">
        <v>#VALUE!</v>
      </c>
      <c r="DG97" t="e">
        <v>#VALUE!</v>
      </c>
      <c r="DH97">
        <v>0</v>
      </c>
      <c r="DI97" t="e">
        <v>#VALUE!</v>
      </c>
      <c r="DJ97" t="e">
        <v>#VALUE!</v>
      </c>
      <c r="DK97" t="e">
        <v>#VALUE!</v>
      </c>
      <c r="DL97" t="e">
        <v>#VALUE!</v>
      </c>
      <c r="DM97" t="e">
        <v>#VALUE!</v>
      </c>
      <c r="DN97" t="e">
        <v>#VALUE!</v>
      </c>
      <c r="DO97" t="e">
        <v>#VALUE!</v>
      </c>
      <c r="DP97" t="e">
        <v>#VALUE!</v>
      </c>
      <c r="DQ97" t="e">
        <v>#VALUE!</v>
      </c>
      <c r="DR97" t="e">
        <v>#VALUE!</v>
      </c>
      <c r="DS97" t="e">
        <v>#VALUE!</v>
      </c>
      <c r="DT97" t="e">
        <v>#VALUE!</v>
      </c>
      <c r="DU97" t="e">
        <v>#VALUE!</v>
      </c>
      <c r="DV97" t="e">
        <v>#VALUE!</v>
      </c>
      <c r="DW97" t="e">
        <v>#VALUE!</v>
      </c>
      <c r="DX97" t="e">
        <v>#VALUE!</v>
      </c>
      <c r="DY97" t="e">
        <v>#VALUE!</v>
      </c>
      <c r="DZ97" t="e">
        <v>#VALUE!</v>
      </c>
      <c r="EA97">
        <v>0</v>
      </c>
      <c r="EB97" t="e">
        <v>#VALUE!</v>
      </c>
      <c r="EC97" t="e">
        <v>#VALUE!</v>
      </c>
      <c r="ED97" t="e">
        <v>#VALUE!</v>
      </c>
      <c r="EE97" t="e">
        <v>#VALUE!</v>
      </c>
      <c r="EF97" t="e">
        <v>#VALUE!</v>
      </c>
      <c r="EG97" t="e">
        <v>#VALUE!</v>
      </c>
      <c r="EH97" t="e">
        <v>#VALUE!</v>
      </c>
      <c r="EI97" t="e">
        <v>#VALUE!</v>
      </c>
      <c r="EJ97" t="e">
        <v>#VALUE!</v>
      </c>
      <c r="EK97" t="e">
        <v>#VALUE!</v>
      </c>
      <c r="EL97" t="e">
        <v>#VALUE!</v>
      </c>
      <c r="EM97" t="e">
        <v>#VALUE!</v>
      </c>
      <c r="EN97" t="e">
        <v>#VALUE!</v>
      </c>
      <c r="EO97" t="e">
        <v>#VALUE!</v>
      </c>
      <c r="EP97" t="e">
        <v>#VALUE!</v>
      </c>
      <c r="EQ97" t="e">
        <v>#VALUE!</v>
      </c>
      <c r="ER97" t="e">
        <v>#VALUE!</v>
      </c>
      <c r="ES97" t="e">
        <v>#VALUE!</v>
      </c>
      <c r="ET97">
        <v>0</v>
      </c>
      <c r="EU97" t="e">
        <v>#VALUE!</v>
      </c>
      <c r="EV97" t="e">
        <v>#VALUE!</v>
      </c>
      <c r="EW97" t="e">
        <v>#VALUE!</v>
      </c>
      <c r="EX97" t="e">
        <v>#VALUE!</v>
      </c>
      <c r="EY97" t="e">
        <v>#VALUE!</v>
      </c>
      <c r="EZ97" t="e">
        <v>#VALUE!</v>
      </c>
      <c r="FA97" t="e">
        <v>#VALUE!</v>
      </c>
      <c r="FB97" t="e">
        <v>#VALUE!</v>
      </c>
      <c r="FC97" t="e">
        <v>#VALUE!</v>
      </c>
      <c r="FD97" t="e">
        <v>#VALUE!</v>
      </c>
      <c r="FE97" t="e">
        <v>#VALUE!</v>
      </c>
      <c r="FF97" t="e">
        <v>#VALUE!</v>
      </c>
      <c r="FG97" t="e">
        <v>#VALUE!</v>
      </c>
      <c r="FH97" t="e">
        <v>#VALUE!</v>
      </c>
      <c r="FI97" t="e">
        <v>#VALUE!</v>
      </c>
      <c r="FJ97" t="e">
        <v>#VALUE!</v>
      </c>
      <c r="FK97" t="e">
        <v>#VALUE!</v>
      </c>
      <c r="FL97" t="e">
        <v>#VALUE!</v>
      </c>
      <c r="FM97">
        <v>0</v>
      </c>
      <c r="FN97" t="e">
        <v>#VALUE!</v>
      </c>
      <c r="FO97" t="e">
        <v>#VALUE!</v>
      </c>
      <c r="FP97" t="e">
        <v>#VALUE!</v>
      </c>
      <c r="FQ97" t="e">
        <v>#VALUE!</v>
      </c>
      <c r="FR97" t="e">
        <v>#VALUE!</v>
      </c>
      <c r="FS97" t="e">
        <v>#VALUE!</v>
      </c>
      <c r="FT97" t="e">
        <v>#VALUE!</v>
      </c>
      <c r="FU97" t="e">
        <v>#VALUE!</v>
      </c>
      <c r="FV97" t="e">
        <v>#VALUE!</v>
      </c>
      <c r="FW97" t="e">
        <v>#VALUE!</v>
      </c>
      <c r="FX97" t="e">
        <v>#VALUE!</v>
      </c>
      <c r="FY97" t="e">
        <v>#VALUE!</v>
      </c>
      <c r="FZ97" t="e">
        <v>#VALUE!</v>
      </c>
      <c r="GA97" t="e">
        <v>#VALUE!</v>
      </c>
      <c r="GB97" t="e">
        <v>#VALUE!</v>
      </c>
      <c r="GC97" t="e">
        <v>#VALUE!</v>
      </c>
      <c r="GD97" t="e">
        <v>#VALUE!</v>
      </c>
      <c r="GE97" t="e">
        <v>#VALUE!</v>
      </c>
      <c r="GF97">
        <v>0</v>
      </c>
      <c r="GG97" t="e">
        <v>#VALUE!</v>
      </c>
      <c r="GH97" t="e">
        <v>#VALUE!</v>
      </c>
      <c r="GI97" t="e">
        <v>#VALUE!</v>
      </c>
      <c r="GJ97" t="e">
        <v>#VALUE!</v>
      </c>
      <c r="GK97" t="e">
        <v>#VALUE!</v>
      </c>
      <c r="GL97" t="e">
        <v>#VALUE!</v>
      </c>
      <c r="GM97" t="e">
        <v>#VALUE!</v>
      </c>
      <c r="GN97" t="e">
        <v>#VALUE!</v>
      </c>
      <c r="GO97" t="e">
        <v>#VALUE!</v>
      </c>
      <c r="GP97" t="e">
        <v>#VALUE!</v>
      </c>
      <c r="GQ97" t="e">
        <v>#VALUE!</v>
      </c>
      <c r="GR97" t="e">
        <v>#VALUE!</v>
      </c>
      <c r="GS97" t="e">
        <v>#VALUE!</v>
      </c>
      <c r="GT97" t="e">
        <v>#VALUE!</v>
      </c>
      <c r="GU97" t="e">
        <v>#VALUE!</v>
      </c>
      <c r="GV97" t="e">
        <v>#VALUE!</v>
      </c>
      <c r="GW97" t="e">
        <v>#VALUE!</v>
      </c>
      <c r="GX97" t="e">
        <v>#VALUE!</v>
      </c>
      <c r="GY97">
        <v>0</v>
      </c>
      <c r="GZ97" t="e">
        <v>#VALUE!</v>
      </c>
      <c r="HA97" t="e">
        <v>#VALUE!</v>
      </c>
      <c r="HB97" t="e">
        <v>#VALUE!</v>
      </c>
      <c r="HC97" t="e">
        <v>#VALUE!</v>
      </c>
      <c r="HD97" t="e">
        <v>#VALUE!</v>
      </c>
      <c r="HE97" t="e">
        <v>#VALUE!</v>
      </c>
      <c r="HF97" t="e">
        <v>#VALUE!</v>
      </c>
      <c r="HG97" t="e">
        <v>#VALUE!</v>
      </c>
      <c r="HH97" t="e">
        <v>#VALUE!</v>
      </c>
      <c r="HI97" t="e">
        <v>#VALUE!</v>
      </c>
      <c r="HJ97" t="e">
        <v>#VALUE!</v>
      </c>
      <c r="HK97" t="e">
        <v>#VALUE!</v>
      </c>
      <c r="HL97" t="e">
        <v>#VALUE!</v>
      </c>
      <c r="HM97" t="e">
        <v>#VALUE!</v>
      </c>
      <c r="HN97" t="e">
        <v>#VALUE!</v>
      </c>
      <c r="HO97" t="e">
        <v>#VALUE!</v>
      </c>
      <c r="HP97" t="e">
        <v>#VALUE!</v>
      </c>
      <c r="HQ97" t="e">
        <v>#VALUE!</v>
      </c>
      <c r="HR97">
        <v>0</v>
      </c>
      <c r="HS97" t="e">
        <v>#VALUE!</v>
      </c>
      <c r="HT97" t="e">
        <v>#VALUE!</v>
      </c>
      <c r="HU97" t="e">
        <v>#VALUE!</v>
      </c>
      <c r="HV97" t="e">
        <v>#VALUE!</v>
      </c>
      <c r="HW97" t="e">
        <v>#VALUE!</v>
      </c>
      <c r="HX97" t="e">
        <v>#VALUE!</v>
      </c>
      <c r="HY97" t="e">
        <v>#VALUE!</v>
      </c>
      <c r="HZ97" t="e">
        <v>#VALUE!</v>
      </c>
      <c r="IA97" t="e">
        <v>#VALUE!</v>
      </c>
      <c r="IB97" t="e">
        <v>#VALUE!</v>
      </c>
      <c r="IC97" t="e">
        <v>#VALUE!</v>
      </c>
      <c r="ID97" t="e">
        <v>#VALUE!</v>
      </c>
      <c r="IE97" t="e">
        <v>#VALUE!</v>
      </c>
      <c r="IF97" t="e">
        <v>#VALUE!</v>
      </c>
      <c r="IG97" t="e">
        <v>#VALUE!</v>
      </c>
      <c r="IH97" t="e">
        <v>#VALUE!</v>
      </c>
      <c r="II97" t="e">
        <v>#VALUE!</v>
      </c>
      <c r="IJ97" t="e">
        <v>#VALUE!</v>
      </c>
      <c r="IK97">
        <v>0</v>
      </c>
      <c r="IL97" t="e">
        <v>#VALUE!</v>
      </c>
      <c r="IM97" t="e">
        <v>#VALUE!</v>
      </c>
      <c r="IN97" t="e">
        <v>#VALUE!</v>
      </c>
      <c r="IO97" t="e">
        <v>#VALUE!</v>
      </c>
      <c r="IP97" t="e">
        <v>#VALUE!</v>
      </c>
      <c r="IQ97" t="e">
        <v>#VALUE!</v>
      </c>
      <c r="IR97" t="e">
        <v>#VALUE!</v>
      </c>
      <c r="IS97" t="e">
        <v>#VALUE!</v>
      </c>
      <c r="IT97" t="e">
        <v>#VALUE!</v>
      </c>
      <c r="IU97" t="e">
        <v>#VALUE!</v>
      </c>
      <c r="IV97" t="e">
        <v>#VALUE!</v>
      </c>
    </row>
    <row r="98" spans="1:256" x14ac:dyDescent="0.25">
      <c r="A98" t="e">
        <v>#VALUE!</v>
      </c>
      <c r="B98" t="e">
        <v>#VALUE!</v>
      </c>
      <c r="C98" t="e">
        <v>#VALUE!</v>
      </c>
      <c r="D98" t="e">
        <v>#VALUE!</v>
      </c>
      <c r="E98" t="e">
        <v>#VALUE!</v>
      </c>
      <c r="F98" t="e">
        <v>#VALUE!</v>
      </c>
      <c r="G98" t="e">
        <v>#VALUE!</v>
      </c>
      <c r="H98">
        <v>0</v>
      </c>
      <c r="I98" t="e">
        <v>#VALUE!</v>
      </c>
      <c r="J98" t="e">
        <v>#VALUE!</v>
      </c>
      <c r="K98" t="e">
        <v>#VALUE!</v>
      </c>
      <c r="L98" t="e">
        <v>#VALUE!</v>
      </c>
      <c r="M98" t="e">
        <v>#VALUE!</v>
      </c>
      <c r="N98" t="e">
        <v>#VALUE!</v>
      </c>
      <c r="O98" t="e">
        <v>#VALUE!</v>
      </c>
      <c r="P98" t="e">
        <v>#VALUE!</v>
      </c>
      <c r="Q98" t="e">
        <v>#VALUE!</v>
      </c>
      <c r="R98" t="e">
        <v>#VALUE!</v>
      </c>
      <c r="S98" t="e">
        <v>#VALUE!</v>
      </c>
      <c r="T98" t="e">
        <v>#VALUE!</v>
      </c>
      <c r="U98" t="e">
        <v>#VALUE!</v>
      </c>
      <c r="V98" t="e">
        <v>#VALUE!</v>
      </c>
      <c r="W98" t="e">
        <v>#VALUE!</v>
      </c>
      <c r="X98" t="e">
        <v>#VALUE!</v>
      </c>
      <c r="Y98" t="e">
        <v>#VALUE!</v>
      </c>
      <c r="Z98" t="e">
        <v>#VALUE!</v>
      </c>
      <c r="AA98">
        <v>0</v>
      </c>
      <c r="AB98" t="e">
        <v>#VALUE!</v>
      </c>
      <c r="AC98" t="e">
        <v>#VALUE!</v>
      </c>
      <c r="AD98" t="e">
        <v>#VALUE!</v>
      </c>
      <c r="AE98" t="e">
        <v>#VALUE!</v>
      </c>
      <c r="AF98" t="e">
        <v>#VALUE!</v>
      </c>
      <c r="AG98" t="e">
        <v>#VALUE!</v>
      </c>
      <c r="AH98" t="e">
        <v>#VALUE!</v>
      </c>
      <c r="AI98" t="e">
        <v>#VALUE!</v>
      </c>
      <c r="AJ98" t="e">
        <v>#VALUE!</v>
      </c>
      <c r="AK98" t="e">
        <v>#VALUE!</v>
      </c>
      <c r="AL98" t="e">
        <v>#VALUE!</v>
      </c>
      <c r="AM98" t="e">
        <v>#VALUE!</v>
      </c>
      <c r="AN98" t="e">
        <v>#VALUE!</v>
      </c>
      <c r="AO98" t="e">
        <v>#VALUE!</v>
      </c>
      <c r="AP98" t="e">
        <v>#VALUE!</v>
      </c>
      <c r="AQ98" t="e">
        <v>#VALUE!</v>
      </c>
      <c r="AR98" t="e">
        <v>#VALUE!</v>
      </c>
      <c r="AS98" t="e">
        <v>#VALUE!</v>
      </c>
      <c r="AT98">
        <v>0</v>
      </c>
      <c r="AU98" t="e">
        <v>#VALUE!</v>
      </c>
      <c r="AV98" t="e">
        <v>#VALUE!</v>
      </c>
      <c r="AW98" t="e">
        <v>#VALUE!</v>
      </c>
      <c r="AX98" t="e">
        <v>#VALUE!</v>
      </c>
      <c r="AY98" t="e">
        <v>#VALUE!</v>
      </c>
      <c r="AZ98" t="e">
        <v>#VALUE!</v>
      </c>
      <c r="BA98" t="e">
        <v>#VALUE!</v>
      </c>
      <c r="BB98" t="e">
        <v>#VALUE!</v>
      </c>
      <c r="BC98" t="e">
        <v>#VALUE!</v>
      </c>
      <c r="BD98" t="e">
        <v>#VALUE!</v>
      </c>
      <c r="BE98" t="e">
        <v>#VALUE!</v>
      </c>
      <c r="BF98" t="e">
        <v>#VALUE!</v>
      </c>
      <c r="BG98" t="e">
        <v>#VALUE!</v>
      </c>
      <c r="BH98" t="e">
        <v>#VALUE!</v>
      </c>
      <c r="BI98" t="e">
        <v>#VALUE!</v>
      </c>
      <c r="BJ98" t="e">
        <v>#VALUE!</v>
      </c>
      <c r="BK98" t="e">
        <v>#VALUE!</v>
      </c>
      <c r="BL98" t="e">
        <v>#VALUE!</v>
      </c>
      <c r="BM98">
        <v>0</v>
      </c>
      <c r="BN98" t="e">
        <v>#VALUE!</v>
      </c>
      <c r="BO98" t="e">
        <v>#VALUE!</v>
      </c>
      <c r="BP98" t="e">
        <v>#VALUE!</v>
      </c>
      <c r="BQ98" t="e">
        <v>#VALUE!</v>
      </c>
      <c r="BR98" t="e">
        <v>#VALUE!</v>
      </c>
      <c r="BS98" t="e">
        <v>#VALUE!</v>
      </c>
      <c r="BT98" t="e">
        <v>#VALUE!</v>
      </c>
      <c r="BU98" t="e">
        <v>#VALUE!</v>
      </c>
      <c r="BV98" t="e">
        <v>#VALUE!</v>
      </c>
      <c r="BW98" t="e">
        <v>#VALUE!</v>
      </c>
      <c r="BX98" t="e">
        <v>#VALUE!</v>
      </c>
      <c r="BY98" t="e">
        <v>#VALUE!</v>
      </c>
      <c r="BZ98" t="e">
        <v>#VALUE!</v>
      </c>
      <c r="CA98" t="e">
        <v>#VALUE!</v>
      </c>
      <c r="CB98" t="e">
        <v>#VALUE!</v>
      </c>
      <c r="CC98" t="e">
        <v>#VALUE!</v>
      </c>
      <c r="CD98" t="e">
        <v>#VALUE!</v>
      </c>
      <c r="CE98" t="e">
        <v>#VALUE!</v>
      </c>
      <c r="CF98">
        <v>0</v>
      </c>
      <c r="CG98" t="e">
        <v>#VALUE!</v>
      </c>
      <c r="CH98" t="e">
        <v>#VALUE!</v>
      </c>
      <c r="CI98" t="e">
        <v>#VALUE!</v>
      </c>
      <c r="CJ98" t="e">
        <v>#VALUE!</v>
      </c>
      <c r="CK98" t="e">
        <v>#VALUE!</v>
      </c>
      <c r="CL98" t="e">
        <v>#VALUE!</v>
      </c>
      <c r="CM98" t="e">
        <v>#VALUE!</v>
      </c>
      <c r="CN98" t="e">
        <v>#VALUE!</v>
      </c>
      <c r="CO98" t="e">
        <v>#VALUE!</v>
      </c>
      <c r="CP98" t="e">
        <v>#VALUE!</v>
      </c>
      <c r="CQ98" t="e">
        <v>#VALUE!</v>
      </c>
      <c r="CR98" t="e">
        <v>#VALUE!</v>
      </c>
      <c r="CS98" t="e">
        <v>#VALUE!</v>
      </c>
      <c r="CT98" t="e">
        <v>#VALUE!</v>
      </c>
      <c r="CU98" t="e">
        <v>#VALUE!</v>
      </c>
      <c r="CV98" t="e">
        <v>#VALUE!</v>
      </c>
      <c r="CW98" t="e">
        <v>#VALUE!</v>
      </c>
      <c r="CX98" t="e">
        <v>#VALUE!</v>
      </c>
      <c r="CY98">
        <v>0</v>
      </c>
      <c r="CZ98" t="e">
        <v>#VALUE!</v>
      </c>
      <c r="DA98" t="e">
        <v>#VALUE!</v>
      </c>
      <c r="DB98" t="e">
        <v>#VALUE!</v>
      </c>
      <c r="DC98" t="e">
        <v>#VALUE!</v>
      </c>
      <c r="DD98" t="e">
        <v>#VALUE!</v>
      </c>
      <c r="DE98" t="e">
        <v>#VALUE!</v>
      </c>
      <c r="DF98" t="e">
        <v>#VALUE!</v>
      </c>
      <c r="DG98" t="e">
        <v>#VALUE!</v>
      </c>
      <c r="DH98" t="e">
        <v>#VALUE!</v>
      </c>
      <c r="DI98" t="e">
        <v>#VALUE!</v>
      </c>
      <c r="DJ98" t="e">
        <v>#VALUE!</v>
      </c>
      <c r="DK98" t="e">
        <v>#VALUE!</v>
      </c>
      <c r="DL98" t="e">
        <v>#VALUE!</v>
      </c>
      <c r="DM98" t="e">
        <v>#VALUE!</v>
      </c>
      <c r="DN98" t="e">
        <v>#VALUE!</v>
      </c>
      <c r="DO98" t="e">
        <v>#VALUE!</v>
      </c>
      <c r="DP98" t="e">
        <v>#VALUE!</v>
      </c>
      <c r="DQ98" t="e">
        <v>#VALUE!</v>
      </c>
      <c r="DR98">
        <v>0</v>
      </c>
      <c r="DS98" t="e">
        <v>#VALUE!</v>
      </c>
      <c r="DT98" t="e">
        <v>#VALUE!</v>
      </c>
      <c r="DU98" t="e">
        <v>#VALUE!</v>
      </c>
      <c r="DV98" t="e">
        <v>#VALUE!</v>
      </c>
      <c r="DW98" t="e">
        <v>#VALUE!</v>
      </c>
      <c r="DX98" t="e">
        <v>#VALUE!</v>
      </c>
      <c r="DY98" t="e">
        <v>#VALUE!</v>
      </c>
      <c r="DZ98" t="e">
        <v>#VALUE!</v>
      </c>
      <c r="EA98" t="e">
        <v>#VALUE!</v>
      </c>
      <c r="EB98" t="e">
        <v>#VALUE!</v>
      </c>
      <c r="EC98" t="e">
        <v>#VALUE!</v>
      </c>
      <c r="ED98" t="e">
        <v>#VALUE!</v>
      </c>
      <c r="EE98" t="e">
        <v>#VALUE!</v>
      </c>
      <c r="EF98" t="e">
        <v>#VALUE!</v>
      </c>
      <c r="EG98" t="e">
        <v>#VALUE!</v>
      </c>
      <c r="EH98" t="e">
        <v>#VALUE!</v>
      </c>
      <c r="EI98" t="e">
        <v>#VALUE!</v>
      </c>
      <c r="EJ98" t="e">
        <v>#VALUE!</v>
      </c>
      <c r="EK98">
        <v>0</v>
      </c>
      <c r="EL98" t="e">
        <v>#VALUE!</v>
      </c>
      <c r="EM98" t="e">
        <v>#VALUE!</v>
      </c>
      <c r="EN98" t="e">
        <v>#VALUE!</v>
      </c>
      <c r="EO98" t="e">
        <v>#VALUE!</v>
      </c>
      <c r="EP98" t="e">
        <v>#VALUE!</v>
      </c>
      <c r="EQ98" t="e">
        <v>#VALUE!</v>
      </c>
      <c r="ER98" t="e">
        <v>#VALUE!</v>
      </c>
      <c r="ES98" t="e">
        <v>#VALUE!</v>
      </c>
      <c r="ET98" t="e">
        <v>#VALUE!</v>
      </c>
      <c r="EU98" t="e">
        <v>#VALUE!</v>
      </c>
      <c r="EV98" t="e">
        <v>#VALUE!</v>
      </c>
      <c r="EW98" t="e">
        <v>#VALUE!</v>
      </c>
      <c r="EX98" t="e">
        <v>#VALUE!</v>
      </c>
      <c r="EY98" t="e">
        <v>#VALUE!</v>
      </c>
      <c r="EZ98" t="e">
        <v>#VALUE!</v>
      </c>
      <c r="FA98" t="e">
        <v>#VALUE!</v>
      </c>
      <c r="FB98" t="e">
        <v>#VALUE!</v>
      </c>
      <c r="FC98" t="e">
        <v>#VALUE!</v>
      </c>
      <c r="FD98">
        <v>0</v>
      </c>
      <c r="FE98" t="e">
        <v>#VALUE!</v>
      </c>
      <c r="FF98" t="e">
        <v>#VALUE!</v>
      </c>
      <c r="FG98" t="e">
        <v>#VALUE!</v>
      </c>
      <c r="FH98" t="e">
        <v>#VALUE!</v>
      </c>
      <c r="FI98" t="e">
        <v>#VALUE!</v>
      </c>
      <c r="FJ98" t="e">
        <v>#VALUE!</v>
      </c>
      <c r="FK98" t="e">
        <v>#VALUE!</v>
      </c>
      <c r="FL98" t="e">
        <v>#VALUE!</v>
      </c>
      <c r="FM98" t="e">
        <v>#VALUE!</v>
      </c>
      <c r="FN98" t="e">
        <v>#VALUE!</v>
      </c>
      <c r="FO98" t="e">
        <v>#VALUE!</v>
      </c>
      <c r="FP98" t="e">
        <v>#VALUE!</v>
      </c>
      <c r="FQ98" t="e">
        <v>#VALUE!</v>
      </c>
      <c r="FR98" t="e">
        <v>#VALUE!</v>
      </c>
      <c r="FS98" t="e">
        <v>#VALUE!</v>
      </c>
      <c r="FT98" t="e">
        <v>#VALUE!</v>
      </c>
      <c r="FU98" t="e">
        <v>#VALUE!</v>
      </c>
      <c r="FV98" t="e">
        <v>#VALUE!</v>
      </c>
      <c r="FW98">
        <v>0</v>
      </c>
      <c r="FX98" t="e">
        <v>#VALUE!</v>
      </c>
      <c r="FY98" t="e">
        <v>#VALUE!</v>
      </c>
      <c r="FZ98" t="e">
        <v>#VALUE!</v>
      </c>
      <c r="GA98" t="e">
        <v>#VALUE!</v>
      </c>
      <c r="GB98" t="e">
        <v>#VALUE!</v>
      </c>
      <c r="GC98" t="e">
        <v>#VALUE!</v>
      </c>
      <c r="GD98" t="e">
        <v>#VALUE!</v>
      </c>
      <c r="GE98" t="e">
        <v>#VALUE!</v>
      </c>
      <c r="GF98" t="e">
        <v>#VALUE!</v>
      </c>
      <c r="GG98" t="e">
        <v>#VALUE!</v>
      </c>
      <c r="GH98" t="e">
        <v>#VALUE!</v>
      </c>
      <c r="GI98" t="e">
        <v>#VALUE!</v>
      </c>
      <c r="GJ98" t="e">
        <v>#VALUE!</v>
      </c>
      <c r="GK98" t="e">
        <v>#VALUE!</v>
      </c>
      <c r="GL98" t="e">
        <v>#VALUE!</v>
      </c>
      <c r="GM98" t="e">
        <v>#VALUE!</v>
      </c>
      <c r="GN98" t="e">
        <v>#VALUE!</v>
      </c>
      <c r="GO98" t="e">
        <v>#VALUE!</v>
      </c>
      <c r="GP98">
        <v>0</v>
      </c>
      <c r="GQ98" t="e">
        <v>#VALUE!</v>
      </c>
      <c r="GR98" t="e">
        <v>#VALUE!</v>
      </c>
      <c r="GS98" t="e">
        <v>#VALUE!</v>
      </c>
      <c r="GT98" t="e">
        <v>#VALUE!</v>
      </c>
      <c r="GU98" t="e">
        <v>#VALUE!</v>
      </c>
      <c r="GV98" t="e">
        <v>#VALUE!</v>
      </c>
      <c r="GW98" t="e">
        <v>#VALUE!</v>
      </c>
      <c r="GX98" t="e">
        <v>#VALUE!</v>
      </c>
      <c r="GY98" t="e">
        <v>#VALUE!</v>
      </c>
      <c r="GZ98" t="e">
        <v>#VALUE!</v>
      </c>
      <c r="HA98" t="e">
        <v>#VALUE!</v>
      </c>
      <c r="HB98" t="e">
        <v>#VALUE!</v>
      </c>
      <c r="HC98" t="e">
        <v>#VALUE!</v>
      </c>
      <c r="HD98" t="e">
        <v>#VALUE!</v>
      </c>
      <c r="HE98" t="e">
        <v>#VALUE!</v>
      </c>
      <c r="HF98" t="e">
        <v>#VALUE!</v>
      </c>
      <c r="HG98" t="e">
        <v>#VALUE!</v>
      </c>
      <c r="HH98" t="e">
        <v>#VALUE!</v>
      </c>
      <c r="HI98">
        <v>0</v>
      </c>
      <c r="HJ98" t="e">
        <v>#VALUE!</v>
      </c>
      <c r="HK98" t="e">
        <v>#VALUE!</v>
      </c>
      <c r="HL98" t="e">
        <v>#VALUE!</v>
      </c>
      <c r="HM98" t="e">
        <v>#VALUE!</v>
      </c>
      <c r="HN98" t="e">
        <v>#VALUE!</v>
      </c>
      <c r="HO98" t="e">
        <v>#VALUE!</v>
      </c>
      <c r="HP98" t="e">
        <v>#VALUE!</v>
      </c>
      <c r="HQ98" t="e">
        <v>#VALUE!</v>
      </c>
      <c r="HR98" t="e">
        <v>#VALUE!</v>
      </c>
      <c r="HS98" t="e">
        <v>#VALUE!</v>
      </c>
      <c r="HT98" t="e">
        <v>#VALUE!</v>
      </c>
      <c r="HU98" t="e">
        <v>#VALUE!</v>
      </c>
      <c r="HV98" t="e">
        <v>#VALUE!</v>
      </c>
      <c r="HW98" t="e">
        <v>#VALUE!</v>
      </c>
      <c r="HX98" t="e">
        <v>#VALUE!</v>
      </c>
      <c r="HY98" t="e">
        <v>#VALUE!</v>
      </c>
      <c r="HZ98" t="e">
        <v>#VALUE!</v>
      </c>
      <c r="IA98" t="e">
        <v>#VALUE!</v>
      </c>
      <c r="IB98">
        <v>0</v>
      </c>
      <c r="IC98" t="e">
        <v>#VALUE!</v>
      </c>
      <c r="ID98" t="e">
        <v>#VALUE!</v>
      </c>
      <c r="IE98" t="e">
        <v>#VALUE!</v>
      </c>
      <c r="IF98" t="e">
        <v>#VALUE!</v>
      </c>
      <c r="IG98" t="e">
        <v>#VALUE!</v>
      </c>
      <c r="IH98" t="e">
        <v>#VALUE!</v>
      </c>
      <c r="II98" t="e">
        <v>#VALUE!</v>
      </c>
      <c r="IJ98" t="e">
        <v>#VALUE!</v>
      </c>
      <c r="IK98" t="e">
        <v>#VALUE!</v>
      </c>
      <c r="IL98" t="e">
        <v>#VALUE!</v>
      </c>
      <c r="IM98" t="e">
        <v>#VALUE!</v>
      </c>
      <c r="IN98" t="e">
        <v>#VALUE!</v>
      </c>
      <c r="IO98" t="e">
        <v>#VALUE!</v>
      </c>
      <c r="IP98" t="e">
        <v>#VALUE!</v>
      </c>
      <c r="IQ98" t="e">
        <v>#VALUE!</v>
      </c>
      <c r="IR98" t="e">
        <v>#VALUE!</v>
      </c>
      <c r="IS98" t="e">
        <v>#VALUE!</v>
      </c>
      <c r="IT98" t="e">
        <v>#VALUE!</v>
      </c>
      <c r="IU98">
        <v>0</v>
      </c>
      <c r="IV98" t="e">
        <v>#VALUE!</v>
      </c>
    </row>
    <row r="99" spans="1:256" x14ac:dyDescent="0.25">
      <c r="A99" t="e">
        <v>#VALUE!</v>
      </c>
      <c r="B99" t="e">
        <v>#VALUE!</v>
      </c>
      <c r="C99" t="e">
        <v>#VALUE!</v>
      </c>
      <c r="D99" t="e">
        <v>#VALUE!</v>
      </c>
      <c r="E99" t="e">
        <v>#VALUE!</v>
      </c>
      <c r="F99" t="e">
        <v>#VALUE!</v>
      </c>
      <c r="G99" t="e">
        <v>#VALUE!</v>
      </c>
      <c r="H99" t="e">
        <v>#VALUE!</v>
      </c>
      <c r="I99" t="e">
        <v>#VALUE!</v>
      </c>
      <c r="J99" t="e">
        <v>#VALUE!</v>
      </c>
      <c r="K99" t="e">
        <v>#VALUE!</v>
      </c>
      <c r="L99" t="e">
        <v>#VALUE!</v>
      </c>
      <c r="M99" t="e">
        <v>#VALUE!</v>
      </c>
      <c r="N99" t="e">
        <v>#VALUE!</v>
      </c>
      <c r="O99" t="e">
        <v>#VALUE!</v>
      </c>
      <c r="P99" t="e">
        <v>#VALUE!</v>
      </c>
      <c r="Q99" t="e">
        <v>#VALUE!</v>
      </c>
      <c r="R99">
        <v>0</v>
      </c>
      <c r="S99" t="e">
        <v>#VALUE!</v>
      </c>
      <c r="T99" t="e">
        <v>#VALUE!</v>
      </c>
      <c r="U99" t="e">
        <v>#VALUE!</v>
      </c>
      <c r="V99" t="e">
        <v>#VALUE!</v>
      </c>
      <c r="W99" t="e">
        <v>#VALUE!</v>
      </c>
      <c r="X99" t="e">
        <v>#VALUE!</v>
      </c>
      <c r="Y99" t="e">
        <v>#VALUE!</v>
      </c>
      <c r="Z99" t="e">
        <v>#VALUE!</v>
      </c>
      <c r="AA99" t="e">
        <v>#VALUE!</v>
      </c>
      <c r="AB99" t="e">
        <v>#VALUE!</v>
      </c>
      <c r="AC99" t="e">
        <v>#VALUE!</v>
      </c>
      <c r="AD99" t="e">
        <v>#VALUE!</v>
      </c>
      <c r="AE99" t="e">
        <v>#VALUE!</v>
      </c>
      <c r="AF99" t="e">
        <v>#VALUE!</v>
      </c>
      <c r="AG99" t="e">
        <v>#VALUE!</v>
      </c>
      <c r="AH99" t="e">
        <v>#VALUE!</v>
      </c>
      <c r="AI99" t="e">
        <v>#VALUE!</v>
      </c>
      <c r="AJ99" t="e">
        <v>#VALUE!</v>
      </c>
      <c r="AK99">
        <v>0</v>
      </c>
      <c r="AL99" t="e">
        <v>#VALUE!</v>
      </c>
      <c r="AM99" t="e">
        <v>#VALUE!</v>
      </c>
      <c r="AN99" t="e">
        <v>#VALUE!</v>
      </c>
      <c r="AO99" t="e">
        <v>#VALUE!</v>
      </c>
      <c r="AP99" t="e">
        <v>#VALUE!</v>
      </c>
      <c r="AQ99" t="e">
        <v>#VALUE!</v>
      </c>
      <c r="AR99" t="e">
        <v>#VALUE!</v>
      </c>
      <c r="AS99" t="e">
        <v>#VALUE!</v>
      </c>
      <c r="AT99" t="e">
        <v>#VALUE!</v>
      </c>
      <c r="AU99" t="e">
        <v>#VALUE!</v>
      </c>
      <c r="AV99" t="e">
        <v>#VALUE!</v>
      </c>
      <c r="AW99" t="e">
        <v>#VALUE!</v>
      </c>
      <c r="AX99" t="e">
        <v>#VALUE!</v>
      </c>
      <c r="AY99" t="e">
        <v>#VALUE!</v>
      </c>
      <c r="AZ99" t="e">
        <v>#VALUE!</v>
      </c>
      <c r="BA99" t="e">
        <v>#VALUE!</v>
      </c>
      <c r="BB99" t="e">
        <v>#VALUE!</v>
      </c>
      <c r="BC99" t="e">
        <v>#VALUE!</v>
      </c>
      <c r="BD99">
        <v>0</v>
      </c>
      <c r="BE99" t="e">
        <v>#VALUE!</v>
      </c>
      <c r="BF99" t="e">
        <v>#VALUE!</v>
      </c>
      <c r="BG99" t="e">
        <v>#VALUE!</v>
      </c>
      <c r="BH99" t="e">
        <v>#VALUE!</v>
      </c>
      <c r="BI99" t="e">
        <v>#VALUE!</v>
      </c>
      <c r="BJ99" t="e">
        <v>#VALUE!</v>
      </c>
      <c r="BK99" t="e">
        <v>#VALUE!</v>
      </c>
      <c r="BL99" t="e">
        <v>#VALUE!</v>
      </c>
      <c r="BM99" t="e">
        <v>#VALUE!</v>
      </c>
      <c r="BN99" t="e">
        <v>#VALUE!</v>
      </c>
      <c r="BO99" t="e">
        <v>#VALUE!</v>
      </c>
      <c r="BP99" t="e">
        <v>#VALUE!</v>
      </c>
      <c r="BQ99" t="e">
        <v>#VALUE!</v>
      </c>
      <c r="BR99" t="e">
        <v>#VALUE!</v>
      </c>
      <c r="BS99" t="e">
        <v>#VALUE!</v>
      </c>
      <c r="BT99" t="e">
        <v>#VALUE!</v>
      </c>
      <c r="BU99" t="e">
        <v>#VALUE!</v>
      </c>
      <c r="BV99" t="e">
        <v>#VALUE!</v>
      </c>
      <c r="BW99">
        <v>0</v>
      </c>
      <c r="BX99" t="e">
        <v>#VALUE!</v>
      </c>
      <c r="BY99" t="e">
        <v>#VALUE!</v>
      </c>
      <c r="BZ99" t="e">
        <v>#VALUE!</v>
      </c>
      <c r="CA99" t="e">
        <v>#VALUE!</v>
      </c>
      <c r="CB99" t="e">
        <v>#VALUE!</v>
      </c>
      <c r="CC99" t="e">
        <v>#VALUE!</v>
      </c>
      <c r="CD99" t="e">
        <v>#VALUE!</v>
      </c>
      <c r="CE99" t="e">
        <v>#VALUE!</v>
      </c>
      <c r="CF99" t="e">
        <v>#VALUE!</v>
      </c>
      <c r="CG99" t="e">
        <v>#VALUE!</v>
      </c>
      <c r="CH99" t="e">
        <v>#VALUE!</v>
      </c>
      <c r="CI99" t="e">
        <v>#VALUE!</v>
      </c>
      <c r="CJ99" t="e">
        <v>#VALUE!</v>
      </c>
      <c r="CK99" t="e">
        <v>#VALUE!</v>
      </c>
      <c r="CL99" t="e">
        <v>#VALUE!</v>
      </c>
      <c r="CM99" t="e">
        <v>#VALUE!</v>
      </c>
      <c r="CN99" t="e">
        <v>#VALUE!</v>
      </c>
      <c r="CO99" t="e">
        <v>#VALUE!</v>
      </c>
      <c r="CP99">
        <v>0</v>
      </c>
      <c r="CQ99" t="e">
        <v>#VALUE!</v>
      </c>
      <c r="CR99" t="e">
        <v>#VALUE!</v>
      </c>
      <c r="CS99" t="e">
        <v>#VALUE!</v>
      </c>
      <c r="CT99" t="e">
        <v>#VALUE!</v>
      </c>
      <c r="CU99" t="e">
        <v>#VALUE!</v>
      </c>
      <c r="CV99" t="e">
        <v>#VALUE!</v>
      </c>
      <c r="CW99" t="e">
        <v>#VALUE!</v>
      </c>
      <c r="CX99" t="e">
        <v>#VALUE!</v>
      </c>
      <c r="CY99" t="e">
        <v>#VALUE!</v>
      </c>
      <c r="CZ99" t="e">
        <v>#VALUE!</v>
      </c>
      <c r="DA99" t="e">
        <v>#VALUE!</v>
      </c>
      <c r="DB99" t="e">
        <v>#VALUE!</v>
      </c>
      <c r="DC99" t="e">
        <v>#VALUE!</v>
      </c>
      <c r="DD99" t="e">
        <v>#VALUE!</v>
      </c>
      <c r="DE99" t="e">
        <v>#VALUE!</v>
      </c>
      <c r="DF99" t="e">
        <v>#VALUE!</v>
      </c>
      <c r="DG99" t="e">
        <v>#VALUE!</v>
      </c>
      <c r="DH99" t="e">
        <v>#VALUE!</v>
      </c>
      <c r="DI99">
        <v>0</v>
      </c>
      <c r="DJ99" t="e">
        <v>#VALUE!</v>
      </c>
      <c r="DK99" t="e">
        <v>#VALUE!</v>
      </c>
      <c r="DL99" t="e">
        <v>#VALUE!</v>
      </c>
      <c r="DM99" t="e">
        <v>#VALUE!</v>
      </c>
      <c r="DN99" t="e">
        <v>#VALUE!</v>
      </c>
      <c r="DO99" t="e">
        <v>#VALUE!</v>
      </c>
      <c r="DP99" t="e">
        <v>#VALUE!</v>
      </c>
      <c r="DQ99" t="e">
        <v>#VALUE!</v>
      </c>
      <c r="DR99" t="e">
        <v>#VALUE!</v>
      </c>
      <c r="DS99" t="e">
        <v>#VALUE!</v>
      </c>
      <c r="DT99" t="e">
        <v>#VALUE!</v>
      </c>
      <c r="DU99" t="e">
        <v>#VALUE!</v>
      </c>
      <c r="DV99" t="e">
        <v>#VALUE!</v>
      </c>
      <c r="DW99" t="e">
        <v>#VALUE!</v>
      </c>
      <c r="DX99" t="e">
        <v>#VALUE!</v>
      </c>
      <c r="DY99" t="e">
        <v>#VALUE!</v>
      </c>
      <c r="DZ99" t="e">
        <v>#VALUE!</v>
      </c>
      <c r="EA99" t="e">
        <v>#VALUE!</v>
      </c>
      <c r="EB99">
        <v>0</v>
      </c>
      <c r="EC99" t="e">
        <v>#VALUE!</v>
      </c>
      <c r="ED99" t="e">
        <v>#VALUE!</v>
      </c>
      <c r="EE99" t="e">
        <v>#VALUE!</v>
      </c>
      <c r="EF99" t="e">
        <v>#VALUE!</v>
      </c>
      <c r="EG99" t="e">
        <v>#VALUE!</v>
      </c>
      <c r="EH99" t="e">
        <v>#VALUE!</v>
      </c>
      <c r="EI99" t="e">
        <v>#VALUE!</v>
      </c>
      <c r="EJ99" t="e">
        <v>#VALUE!</v>
      </c>
      <c r="EK99" t="e">
        <v>#VALUE!</v>
      </c>
      <c r="EL99" t="e">
        <v>#VALUE!</v>
      </c>
      <c r="EM99" t="e">
        <v>#VALUE!</v>
      </c>
      <c r="EN99" t="e">
        <v>#VALUE!</v>
      </c>
      <c r="EO99" t="e">
        <v>#VALUE!</v>
      </c>
      <c r="EP99" t="e">
        <v>#VALUE!</v>
      </c>
      <c r="EQ99" t="e">
        <v>#VALUE!</v>
      </c>
      <c r="ER99" t="e">
        <v>#VALUE!</v>
      </c>
      <c r="ES99" t="e">
        <v>#VALUE!</v>
      </c>
      <c r="ET99" t="e">
        <v>#VALUE!</v>
      </c>
      <c r="EU99">
        <v>0</v>
      </c>
      <c r="EV99" t="e">
        <v>#VALUE!</v>
      </c>
      <c r="EW99" t="e">
        <v>#VALUE!</v>
      </c>
      <c r="EX99" t="e">
        <v>#VALUE!</v>
      </c>
      <c r="EY99" t="e">
        <v>#VALUE!</v>
      </c>
      <c r="EZ99" t="e">
        <v>#VALUE!</v>
      </c>
      <c r="FA99" t="e">
        <v>#VALUE!</v>
      </c>
      <c r="FB99" t="e">
        <v>#VALUE!</v>
      </c>
      <c r="FC99" t="e">
        <v>#VALUE!</v>
      </c>
      <c r="FD99" t="e">
        <v>#VALUE!</v>
      </c>
      <c r="FE99" t="e">
        <v>#VALUE!</v>
      </c>
      <c r="FF99" t="e">
        <v>#VALUE!</v>
      </c>
      <c r="FG99" t="e">
        <v>#VALUE!</v>
      </c>
      <c r="FH99" t="e">
        <v>#VALUE!</v>
      </c>
      <c r="FI99" t="e">
        <v>#VALUE!</v>
      </c>
      <c r="FJ99" t="e">
        <v>#VALUE!</v>
      </c>
      <c r="FK99" t="e">
        <v>#VALUE!</v>
      </c>
      <c r="FL99" t="e">
        <v>#VALUE!</v>
      </c>
      <c r="FM99" t="e">
        <v>#VALUE!</v>
      </c>
      <c r="FN99">
        <v>0</v>
      </c>
      <c r="FO99" t="e">
        <v>#VALUE!</v>
      </c>
      <c r="FP99" t="e">
        <v>#VALUE!</v>
      </c>
      <c r="FQ99" t="e">
        <v>#VALUE!</v>
      </c>
      <c r="FR99" t="e">
        <v>#VALUE!</v>
      </c>
      <c r="FS99" t="e">
        <v>#VALUE!</v>
      </c>
      <c r="FT99" t="e">
        <v>#VALUE!</v>
      </c>
      <c r="FU99" t="e">
        <v>#VALUE!</v>
      </c>
      <c r="FV99" t="e">
        <v>#VALUE!</v>
      </c>
      <c r="FW99" t="e">
        <v>#VALUE!</v>
      </c>
      <c r="FX99" t="e">
        <v>#VALUE!</v>
      </c>
      <c r="FY99" t="e">
        <v>#VALUE!</v>
      </c>
      <c r="FZ99" t="e">
        <v>#VALUE!</v>
      </c>
      <c r="GA99" t="e">
        <v>#VALUE!</v>
      </c>
      <c r="GB99" t="e">
        <v>#VALUE!</v>
      </c>
      <c r="GC99" t="e">
        <v>#VALUE!</v>
      </c>
      <c r="GD99" t="e">
        <v>#VALUE!</v>
      </c>
      <c r="GE99" t="e">
        <v>#VALUE!</v>
      </c>
      <c r="GF99" t="e">
        <v>#VALUE!</v>
      </c>
      <c r="GG99">
        <v>0</v>
      </c>
      <c r="GH99" t="e">
        <v>#VALUE!</v>
      </c>
      <c r="GI99" t="e">
        <v>#VALUE!</v>
      </c>
      <c r="GJ99" t="e">
        <v>#VALUE!</v>
      </c>
      <c r="GK99" t="e">
        <v>#VALUE!</v>
      </c>
      <c r="GL99" t="e">
        <v>#VALUE!</v>
      </c>
      <c r="GM99" t="e">
        <v>#VALUE!</v>
      </c>
      <c r="GN99" t="e">
        <v>#VALUE!</v>
      </c>
      <c r="GO99" t="e">
        <v>#VALUE!</v>
      </c>
      <c r="GP99" t="e">
        <v>#VALUE!</v>
      </c>
      <c r="GQ99" t="e">
        <v>#VALUE!</v>
      </c>
      <c r="GR99" t="e">
        <v>#VALUE!</v>
      </c>
      <c r="GS99" t="e">
        <v>#VALUE!</v>
      </c>
      <c r="GT99" t="e">
        <v>#VALUE!</v>
      </c>
      <c r="GU99" t="e">
        <v>#VALUE!</v>
      </c>
      <c r="GV99" t="e">
        <v>#VALUE!</v>
      </c>
      <c r="GW99" t="e">
        <v>#VALUE!</v>
      </c>
      <c r="GX99" t="e">
        <v>#VALUE!</v>
      </c>
      <c r="GY99" t="e">
        <v>#VALUE!</v>
      </c>
      <c r="GZ99">
        <v>0</v>
      </c>
      <c r="HA99" t="e">
        <v>#VALUE!</v>
      </c>
      <c r="HB99" t="e">
        <v>#VALUE!</v>
      </c>
      <c r="HC99" t="e">
        <v>#VALUE!</v>
      </c>
      <c r="HD99" t="e">
        <v>#VALUE!</v>
      </c>
      <c r="HE99" t="e">
        <v>#VALUE!</v>
      </c>
      <c r="HF99" t="e">
        <v>#VALUE!</v>
      </c>
      <c r="HG99" t="e">
        <v>#VALUE!</v>
      </c>
      <c r="HH99" t="e">
        <v>#VALUE!</v>
      </c>
      <c r="HI99" t="e">
        <v>#VALUE!</v>
      </c>
      <c r="HJ99" t="e">
        <v>#VALUE!</v>
      </c>
      <c r="HK99" t="e">
        <v>#VALUE!</v>
      </c>
      <c r="HL99" t="e">
        <v>#VALUE!</v>
      </c>
      <c r="HM99" t="e">
        <v>#VALUE!</v>
      </c>
      <c r="HN99" t="e">
        <v>#VALUE!</v>
      </c>
      <c r="HO99" t="e">
        <v>#VALUE!</v>
      </c>
      <c r="HP99" t="e">
        <v>#VALUE!</v>
      </c>
      <c r="HQ99" t="e">
        <v>#VALUE!</v>
      </c>
      <c r="HR99" t="e">
        <v>#VALUE!</v>
      </c>
      <c r="HS99">
        <v>0</v>
      </c>
      <c r="HT99" t="e">
        <v>#VALUE!</v>
      </c>
      <c r="HU99" t="e">
        <v>#VALUE!</v>
      </c>
      <c r="HV99" t="e">
        <v>#VALUE!</v>
      </c>
      <c r="HW99" t="e">
        <v>#VALUE!</v>
      </c>
      <c r="HX99" t="e">
        <v>#VALUE!</v>
      </c>
      <c r="HY99" t="e">
        <v>#VALUE!</v>
      </c>
      <c r="HZ99" t="e">
        <v>#VALUE!</v>
      </c>
      <c r="IA99" t="e">
        <v>#VALUE!</v>
      </c>
      <c r="IB99" t="e">
        <v>#VALUE!</v>
      </c>
      <c r="IC99" t="e">
        <v>#VALUE!</v>
      </c>
      <c r="ID99" t="e">
        <v>#VALUE!</v>
      </c>
      <c r="IE99" t="e">
        <v>#VALUE!</v>
      </c>
      <c r="IF99" t="e">
        <v>#VALUE!</v>
      </c>
      <c r="IG99" t="e">
        <v>#VALUE!</v>
      </c>
      <c r="IH99" t="e">
        <v>#VALUE!</v>
      </c>
      <c r="II99" t="e">
        <v>#VALUE!</v>
      </c>
      <c r="IJ99" t="e">
        <v>#VALUE!</v>
      </c>
      <c r="IK99" t="e">
        <v>#VALUE!</v>
      </c>
      <c r="IL99">
        <v>0</v>
      </c>
      <c r="IM99" t="e">
        <v>#VALUE!</v>
      </c>
      <c r="IN99" t="e">
        <v>#VALUE!</v>
      </c>
      <c r="IO99" t="e">
        <v>#VALUE!</v>
      </c>
      <c r="IP99" t="e">
        <v>#VALUE!</v>
      </c>
      <c r="IQ99" t="e">
        <v>#VALUE!</v>
      </c>
      <c r="IR99" t="e">
        <v>#VALUE!</v>
      </c>
      <c r="IS99" t="e">
        <v>#VALUE!</v>
      </c>
      <c r="IT99" t="e">
        <v>#VALUE!</v>
      </c>
      <c r="IU99" t="e">
        <v>#VALUE!</v>
      </c>
      <c r="IV99" t="e">
        <v>#VALUE!</v>
      </c>
    </row>
    <row r="100" spans="1:256" x14ac:dyDescent="0.25">
      <c r="A100" t="e">
        <v>#VALUE!</v>
      </c>
      <c r="B100" t="e">
        <v>#VALUE!</v>
      </c>
      <c r="C100" t="e">
        <v>#VALUE!</v>
      </c>
      <c r="D100" t="e">
        <v>#VALUE!</v>
      </c>
      <c r="E100" t="e">
        <v>#VALUE!</v>
      </c>
      <c r="F100" t="e">
        <v>#VALUE!</v>
      </c>
      <c r="G100" t="e">
        <v>#VALUE!</v>
      </c>
      <c r="H100" t="e">
        <v>#VALUE!</v>
      </c>
      <c r="I100">
        <v>0</v>
      </c>
      <c r="J100" t="e">
        <v>#VALUE!</v>
      </c>
      <c r="K100" t="e">
        <v>#VALUE!</v>
      </c>
      <c r="L100" t="e">
        <v>#VALUE!</v>
      </c>
      <c r="M100" t="e">
        <v>#VALUE!</v>
      </c>
      <c r="N100" t="e">
        <v>#VALUE!</v>
      </c>
      <c r="O100" t="e">
        <v>#VALUE!</v>
      </c>
      <c r="P100" t="e">
        <v>#VALUE!</v>
      </c>
      <c r="Q100" t="e">
        <v>#VALUE!</v>
      </c>
      <c r="R100" t="e">
        <v>#VALUE!</v>
      </c>
      <c r="S100" t="e">
        <v>#VALUE!</v>
      </c>
      <c r="T100" t="e">
        <v>#VALUE!</v>
      </c>
      <c r="U100" t="e">
        <v>#VALUE!</v>
      </c>
      <c r="V100" t="e">
        <v>#VALUE!</v>
      </c>
      <c r="W100" t="e">
        <v>#VALUE!</v>
      </c>
      <c r="X100" t="e">
        <v>#VALUE!</v>
      </c>
      <c r="Y100" t="e">
        <v>#VALUE!</v>
      </c>
      <c r="Z100" t="e">
        <v>#VALUE!</v>
      </c>
      <c r="AA100" t="e">
        <v>#VALUE!</v>
      </c>
      <c r="AB100">
        <v>0</v>
      </c>
      <c r="AC100" t="e">
        <v>#VALUE!</v>
      </c>
      <c r="AD100" t="e">
        <v>#VALUE!</v>
      </c>
      <c r="AE100" t="e">
        <v>#VALUE!</v>
      </c>
      <c r="AF100" t="e">
        <v>#VALUE!</v>
      </c>
      <c r="AG100" t="e">
        <v>#VALUE!</v>
      </c>
      <c r="AH100" t="e">
        <v>#VALUE!</v>
      </c>
      <c r="AI100" t="e">
        <v>#VALUE!</v>
      </c>
      <c r="AJ100" t="e">
        <v>#VALUE!</v>
      </c>
      <c r="AK100" t="e">
        <v>#VALUE!</v>
      </c>
      <c r="AL100" t="e">
        <v>#VALUE!</v>
      </c>
      <c r="AM100" t="e">
        <v>#VALUE!</v>
      </c>
      <c r="AN100" t="e">
        <v>#VALUE!</v>
      </c>
      <c r="AO100" t="e">
        <v>#VALUE!</v>
      </c>
      <c r="AP100" t="e">
        <v>#VALUE!</v>
      </c>
      <c r="AQ100" t="e">
        <v>#VALUE!</v>
      </c>
      <c r="AR100" t="e">
        <v>#VALUE!</v>
      </c>
      <c r="AS100" t="e">
        <v>#VALUE!</v>
      </c>
      <c r="AT100" t="e">
        <v>#VALUE!</v>
      </c>
      <c r="AU100">
        <v>0</v>
      </c>
      <c r="AV100" t="e">
        <v>#VALUE!</v>
      </c>
      <c r="AW100" t="e">
        <v>#VALUE!</v>
      </c>
      <c r="AX100" t="e">
        <v>#VALUE!</v>
      </c>
      <c r="AY100" t="e">
        <v>#VALUE!</v>
      </c>
      <c r="AZ100" t="e">
        <v>#VALUE!</v>
      </c>
      <c r="BA100" t="e">
        <v>#VALUE!</v>
      </c>
      <c r="BB100" t="e">
        <v>#VALUE!</v>
      </c>
      <c r="BC100" t="e">
        <v>#VALUE!</v>
      </c>
      <c r="BD100" t="e">
        <v>#VALUE!</v>
      </c>
      <c r="BE100" t="e">
        <v>#VALUE!</v>
      </c>
      <c r="BF100" t="e">
        <v>#VALUE!</v>
      </c>
      <c r="BG100" t="e">
        <v>#VALUE!</v>
      </c>
      <c r="BH100" t="e">
        <v>#VALUE!</v>
      </c>
      <c r="BI100" t="e">
        <v>#VALUE!</v>
      </c>
      <c r="BJ100" t="e">
        <v>#VALUE!</v>
      </c>
      <c r="BK100" t="e">
        <v>#VALUE!</v>
      </c>
      <c r="BL100" t="e">
        <v>#VALUE!</v>
      </c>
      <c r="BM100" t="e">
        <v>#VALUE!</v>
      </c>
      <c r="BN100">
        <v>0</v>
      </c>
      <c r="BO100" t="e">
        <v>#VALUE!</v>
      </c>
      <c r="BP100" t="e">
        <v>#VALUE!</v>
      </c>
      <c r="BQ100" t="e">
        <v>#VALUE!</v>
      </c>
      <c r="BR100" t="e">
        <v>#VALUE!</v>
      </c>
      <c r="BS100" t="e">
        <v>#VALUE!</v>
      </c>
      <c r="BT100" t="e">
        <v>#VALUE!</v>
      </c>
      <c r="BU100" t="e">
        <v>#VALUE!</v>
      </c>
      <c r="BV100" t="e">
        <v>#VALUE!</v>
      </c>
      <c r="BW100" t="e">
        <v>#VALUE!</v>
      </c>
      <c r="BX100" t="e">
        <v>#VALUE!</v>
      </c>
      <c r="BY100" t="e">
        <v>#VALUE!</v>
      </c>
      <c r="BZ100" t="e">
        <v>#VALUE!</v>
      </c>
      <c r="CA100" t="e">
        <v>#VALUE!</v>
      </c>
      <c r="CB100" t="e">
        <v>#VALUE!</v>
      </c>
      <c r="CC100" t="e">
        <v>#VALUE!</v>
      </c>
      <c r="CD100" t="e">
        <v>#VALUE!</v>
      </c>
      <c r="CE100" t="e">
        <v>#VALUE!</v>
      </c>
      <c r="CF100" t="e">
        <v>#VALUE!</v>
      </c>
      <c r="CG100">
        <v>0</v>
      </c>
      <c r="CH100" t="e">
        <v>#VALUE!</v>
      </c>
      <c r="CI100" t="e">
        <v>#VALUE!</v>
      </c>
      <c r="CJ100" t="e">
        <v>#VALUE!</v>
      </c>
      <c r="CK100" t="e">
        <v>#VALUE!</v>
      </c>
      <c r="CL100" t="e">
        <v>#VALUE!</v>
      </c>
      <c r="CM100" t="e">
        <v>#VALUE!</v>
      </c>
      <c r="CN100" t="e">
        <v>#VALUE!</v>
      </c>
      <c r="CO100" t="e">
        <v>#VALUE!</v>
      </c>
      <c r="CP100" t="e">
        <v>#VALUE!</v>
      </c>
      <c r="CQ100" t="e">
        <v>#VALUE!</v>
      </c>
      <c r="CR100" t="e">
        <v>#VALUE!</v>
      </c>
      <c r="CS100" t="e">
        <v>#VALUE!</v>
      </c>
      <c r="CT100" t="e">
        <v>#VALUE!</v>
      </c>
      <c r="CU100" t="e">
        <v>#VALUE!</v>
      </c>
      <c r="CV100" t="e">
        <v>#VALUE!</v>
      </c>
      <c r="CW100" t="e">
        <v>#VALUE!</v>
      </c>
      <c r="CX100" t="e">
        <v>#VALUE!</v>
      </c>
      <c r="CY100" t="e">
        <v>#VALUE!</v>
      </c>
      <c r="CZ100">
        <v>0</v>
      </c>
      <c r="DA100" t="e">
        <v>#VALUE!</v>
      </c>
      <c r="DB100" t="e">
        <v>#VALUE!</v>
      </c>
      <c r="DC100" t="e">
        <v>#VALUE!</v>
      </c>
      <c r="DD100" t="e">
        <v>#VALUE!</v>
      </c>
      <c r="DE100" t="e">
        <v>#VALUE!</v>
      </c>
      <c r="DF100" t="e">
        <v>#VALUE!</v>
      </c>
      <c r="DG100" t="e">
        <v>#VALUE!</v>
      </c>
      <c r="DH100" t="e">
        <v>#VALUE!</v>
      </c>
      <c r="DI100" t="e">
        <v>#VALUE!</v>
      </c>
      <c r="DJ100" t="e">
        <v>#VALUE!</v>
      </c>
      <c r="DK100" t="e">
        <v>#VALUE!</v>
      </c>
      <c r="DL100" t="e">
        <v>#VALUE!</v>
      </c>
      <c r="DM100" t="e">
        <v>#VALUE!</v>
      </c>
      <c r="DN100" t="e">
        <v>#VALUE!</v>
      </c>
      <c r="DO100" t="e">
        <v>#VALUE!</v>
      </c>
      <c r="DP100" t="e">
        <v>#VALUE!</v>
      </c>
      <c r="DQ100" t="e">
        <v>#VALUE!</v>
      </c>
      <c r="DR100" t="e">
        <v>#VALUE!</v>
      </c>
      <c r="DS100">
        <v>0</v>
      </c>
      <c r="DT100" t="e">
        <v>#VALUE!</v>
      </c>
      <c r="DU100" t="e">
        <v>#VALUE!</v>
      </c>
      <c r="DV100" t="e">
        <v>#VALUE!</v>
      </c>
      <c r="DW100" t="e">
        <v>#VALUE!</v>
      </c>
      <c r="DX100" t="e">
        <v>#VALUE!</v>
      </c>
      <c r="DY100" t="e">
        <v>#VALUE!</v>
      </c>
      <c r="DZ100" t="e">
        <v>#VALUE!</v>
      </c>
      <c r="EA100" t="e">
        <v>#VALUE!</v>
      </c>
      <c r="EB100" t="e">
        <v>#VALUE!</v>
      </c>
      <c r="EC100" t="e">
        <v>#VALUE!</v>
      </c>
      <c r="ED100" t="e">
        <v>#VALUE!</v>
      </c>
      <c r="EE100" t="e">
        <v>#VALUE!</v>
      </c>
      <c r="EF100" t="e">
        <v>#VALUE!</v>
      </c>
      <c r="EG100" t="e">
        <v>#VALUE!</v>
      </c>
      <c r="EH100" t="e">
        <v>#VALUE!</v>
      </c>
      <c r="EI100" t="e">
        <v>#VALUE!</v>
      </c>
      <c r="EJ100" t="e">
        <v>#VALUE!</v>
      </c>
      <c r="EK100" t="e">
        <v>#VALUE!</v>
      </c>
      <c r="EL100">
        <v>0</v>
      </c>
      <c r="EM100" t="e">
        <v>#VALUE!</v>
      </c>
      <c r="EN100" t="e">
        <v>#VALUE!</v>
      </c>
      <c r="EO100" t="e">
        <v>#VALUE!</v>
      </c>
      <c r="EP100" t="e">
        <v>#VALUE!</v>
      </c>
      <c r="EQ100" t="e">
        <v>#VALUE!</v>
      </c>
      <c r="ER100" t="e">
        <v>#VALUE!</v>
      </c>
      <c r="ES100" t="e">
        <v>#VALUE!</v>
      </c>
      <c r="ET100" t="e">
        <v>#VALUE!</v>
      </c>
      <c r="EU100" t="e">
        <v>#VALUE!</v>
      </c>
      <c r="EV100" t="e">
        <v>#VALUE!</v>
      </c>
      <c r="EW100" t="e">
        <v>#VALUE!</v>
      </c>
      <c r="EX100" t="e">
        <v>#VALUE!</v>
      </c>
      <c r="EY100" t="e">
        <v>#VALUE!</v>
      </c>
      <c r="EZ100" t="e">
        <v>#VALUE!</v>
      </c>
      <c r="FA100" t="e">
        <v>#VALUE!</v>
      </c>
      <c r="FB100" t="e">
        <v>#VALUE!</v>
      </c>
      <c r="FC100" t="e">
        <v>#VALUE!</v>
      </c>
      <c r="FD100" t="e">
        <v>#VALUE!</v>
      </c>
      <c r="FE100">
        <v>0</v>
      </c>
      <c r="FF100" t="e">
        <v>#VALUE!</v>
      </c>
      <c r="FG100" t="e">
        <v>#VALUE!</v>
      </c>
      <c r="FH100" t="e">
        <v>#VALUE!</v>
      </c>
      <c r="FI100" t="e">
        <v>#VALUE!</v>
      </c>
      <c r="FJ100" t="e">
        <v>#VALUE!</v>
      </c>
      <c r="FK100" t="e">
        <v>#VALUE!</v>
      </c>
      <c r="FL100" t="e">
        <v>#VALUE!</v>
      </c>
      <c r="FM100" t="e">
        <v>#VALUE!</v>
      </c>
      <c r="FN100" t="e">
        <v>#VALUE!</v>
      </c>
      <c r="FO100" t="e">
        <v>#VALUE!</v>
      </c>
      <c r="FP100" t="e">
        <v>#VALUE!</v>
      </c>
      <c r="FQ100" t="e">
        <v>#VALUE!</v>
      </c>
      <c r="FR100" t="e">
        <v>#VALUE!</v>
      </c>
      <c r="FS100" t="e">
        <v>#VALUE!</v>
      </c>
      <c r="FT100" t="e">
        <v>#VALUE!</v>
      </c>
      <c r="FU100" t="e">
        <v>#VALUE!</v>
      </c>
      <c r="FV100" t="e">
        <v>#VALUE!</v>
      </c>
      <c r="FW100" t="e">
        <v>#VALUE!</v>
      </c>
      <c r="FX100">
        <v>0</v>
      </c>
      <c r="FY100" t="e">
        <v>#VALUE!</v>
      </c>
      <c r="FZ100" t="e">
        <v>#VALUE!</v>
      </c>
      <c r="GA100" t="e">
        <v>#VALUE!</v>
      </c>
      <c r="GB100" t="e">
        <v>#VALUE!</v>
      </c>
      <c r="GC100" t="e">
        <v>#VALUE!</v>
      </c>
      <c r="GD100" t="e">
        <v>#VALUE!</v>
      </c>
      <c r="GE100" t="e">
        <v>#VALUE!</v>
      </c>
      <c r="GF100" t="e">
        <v>#VALUE!</v>
      </c>
      <c r="GG100" t="e">
        <v>#VALUE!</v>
      </c>
      <c r="GH100" t="e">
        <v>#VALUE!</v>
      </c>
      <c r="GI100" t="e">
        <v>#VALUE!</v>
      </c>
      <c r="GJ100" t="e">
        <v>#VALUE!</v>
      </c>
      <c r="GK100" t="e">
        <v>#VALUE!</v>
      </c>
      <c r="GL100" t="e">
        <v>#VALUE!</v>
      </c>
      <c r="GM100" t="e">
        <v>#VALUE!</v>
      </c>
      <c r="GN100" t="e">
        <v>#VALUE!</v>
      </c>
      <c r="GO100" t="e">
        <v>#VALUE!</v>
      </c>
      <c r="GP100" t="e">
        <v>#VALUE!</v>
      </c>
      <c r="GQ100">
        <v>0</v>
      </c>
      <c r="GR100" t="e">
        <v>#VALUE!</v>
      </c>
      <c r="GS100" t="e">
        <v>#VALUE!</v>
      </c>
      <c r="GT100" t="e">
        <v>#VALUE!</v>
      </c>
      <c r="GU100" t="e">
        <v>#VALUE!</v>
      </c>
      <c r="GV100" t="e">
        <v>#VALUE!</v>
      </c>
      <c r="GW100" t="e">
        <v>#VALUE!</v>
      </c>
      <c r="GX100" t="e">
        <v>#VALUE!</v>
      </c>
      <c r="GY100" t="e">
        <v>#VALUE!</v>
      </c>
      <c r="GZ100" t="e">
        <v>#VALUE!</v>
      </c>
      <c r="HA100" t="e">
        <v>#VALUE!</v>
      </c>
      <c r="HB100" t="e">
        <v>#VALUE!</v>
      </c>
      <c r="HC100" t="e">
        <v>#VALUE!</v>
      </c>
      <c r="HD100" t="e">
        <v>#VALUE!</v>
      </c>
      <c r="HE100" t="e">
        <v>#VALUE!</v>
      </c>
      <c r="HF100" t="e">
        <v>#VALUE!</v>
      </c>
      <c r="HG100" t="e">
        <v>#VALUE!</v>
      </c>
      <c r="HH100" t="e">
        <v>#VALUE!</v>
      </c>
      <c r="HI100" t="e">
        <v>#VALUE!</v>
      </c>
      <c r="HJ100">
        <v>0</v>
      </c>
      <c r="HK100" t="e">
        <v>#VALUE!</v>
      </c>
      <c r="HL100" t="e">
        <v>#VALUE!</v>
      </c>
      <c r="HM100" t="e">
        <v>#VALUE!</v>
      </c>
      <c r="HN100" t="e">
        <v>#VALUE!</v>
      </c>
      <c r="HO100" t="e">
        <v>#VALUE!</v>
      </c>
      <c r="HP100" t="e">
        <v>#VALUE!</v>
      </c>
      <c r="HQ100" t="e">
        <v>#VALUE!</v>
      </c>
      <c r="HR100" t="e">
        <v>#VALUE!</v>
      </c>
      <c r="HS100" t="e">
        <v>#VALUE!</v>
      </c>
      <c r="HT100" t="e">
        <v>#VALUE!</v>
      </c>
      <c r="HU100" t="e">
        <v>#VALUE!</v>
      </c>
      <c r="HV100" t="e">
        <v>#VALUE!</v>
      </c>
      <c r="HW100" t="e">
        <v>#VALUE!</v>
      </c>
      <c r="HX100" t="e">
        <v>#VALUE!</v>
      </c>
      <c r="HY100" t="e">
        <v>#VALUE!</v>
      </c>
      <c r="HZ100" t="e">
        <v>#VALUE!</v>
      </c>
      <c r="IA100" t="e">
        <v>#VALUE!</v>
      </c>
      <c r="IB100" t="e">
        <v>#VALUE!</v>
      </c>
      <c r="IC100">
        <v>0</v>
      </c>
      <c r="ID100" t="e">
        <v>#VALUE!</v>
      </c>
      <c r="IE100" t="e">
        <v>#VALUE!</v>
      </c>
      <c r="IF100" t="e">
        <v>#VALUE!</v>
      </c>
      <c r="IG100" t="e">
        <v>#VALUE!</v>
      </c>
      <c r="IH100" t="e">
        <v>#VALUE!</v>
      </c>
      <c r="II100" t="e">
        <v>#VALUE!</v>
      </c>
      <c r="IJ100" t="e">
        <v>#VALUE!</v>
      </c>
      <c r="IK100" t="e">
        <v>#VALUE!</v>
      </c>
      <c r="IL100" t="e">
        <v>#VALUE!</v>
      </c>
      <c r="IM100" t="e">
        <v>#VALUE!</v>
      </c>
      <c r="IN100" t="e">
        <v>#VALUE!</v>
      </c>
      <c r="IO100" t="e">
        <v>#VALUE!</v>
      </c>
      <c r="IP100" t="e">
        <v>#VALUE!</v>
      </c>
      <c r="IQ100" t="e">
        <v>#VALUE!</v>
      </c>
      <c r="IR100" t="e">
        <v>#VALUE!</v>
      </c>
      <c r="IS100" t="e">
        <v>#VALUE!</v>
      </c>
      <c r="IT100" t="e">
        <v>#VALUE!</v>
      </c>
      <c r="IU100" t="e">
        <v>#VALUE!</v>
      </c>
      <c r="IV100">
        <v>0</v>
      </c>
    </row>
    <row r="101" spans="1:256" x14ac:dyDescent="0.25">
      <c r="A101" t="e">
        <v>#VALUE!</v>
      </c>
      <c r="B101" t="e">
        <v>#VALUE!</v>
      </c>
      <c r="C101" t="e">
        <v>#VALUE!</v>
      </c>
      <c r="D101" t="e">
        <v>#VALUE!</v>
      </c>
      <c r="E101" t="e">
        <v>#VALUE!</v>
      </c>
      <c r="F101" t="e">
        <v>#VALUE!</v>
      </c>
      <c r="G101" t="e">
        <v>#VALUE!</v>
      </c>
      <c r="H101" t="e">
        <v>#VALUE!</v>
      </c>
      <c r="I101" t="e">
        <v>#VALUE!</v>
      </c>
      <c r="J101" t="e">
        <v>#VALUE!</v>
      </c>
      <c r="K101" t="e">
        <v>#VALUE!</v>
      </c>
      <c r="L101" t="e">
        <v>#VALUE!</v>
      </c>
      <c r="M101" t="e">
        <v>#VALUE!</v>
      </c>
      <c r="N101" t="e">
        <v>#VALUE!</v>
      </c>
      <c r="O101" t="e">
        <v>#VALUE!</v>
      </c>
      <c r="P101" t="e">
        <v>#VALUE!</v>
      </c>
      <c r="Q101" t="e">
        <v>#VALUE!</v>
      </c>
      <c r="R101" t="e">
        <v>#VALUE!</v>
      </c>
      <c r="S101">
        <v>0</v>
      </c>
      <c r="T101" t="e">
        <v>#VALUE!</v>
      </c>
      <c r="U101" t="e">
        <v>#VALUE!</v>
      </c>
      <c r="V101" t="e">
        <v>#VALUE!</v>
      </c>
      <c r="W101" t="e">
        <v>#VALUE!</v>
      </c>
      <c r="X101" t="e">
        <v>#VALUE!</v>
      </c>
      <c r="Y101" t="e">
        <v>#VALUE!</v>
      </c>
      <c r="Z101" t="e">
        <v>#VALUE!</v>
      </c>
      <c r="AA101" t="e">
        <v>#VALUE!</v>
      </c>
      <c r="AB101" t="e">
        <v>#VALUE!</v>
      </c>
      <c r="AC101" t="e">
        <v>#VALUE!</v>
      </c>
      <c r="AD101" t="e">
        <v>#VALUE!</v>
      </c>
      <c r="AE101" t="e">
        <v>#VALUE!</v>
      </c>
      <c r="AF101" t="e">
        <v>#VALUE!</v>
      </c>
      <c r="AG101" t="e">
        <v>#VALUE!</v>
      </c>
      <c r="AH101" t="e">
        <v>#VALUE!</v>
      </c>
      <c r="AI101" t="e">
        <v>#VALUE!</v>
      </c>
      <c r="AJ101" t="e">
        <v>#VALUE!</v>
      </c>
      <c r="AK101" t="e">
        <v>#VALUE!</v>
      </c>
      <c r="AL101">
        <v>0</v>
      </c>
      <c r="AM101" t="e">
        <v>#VALUE!</v>
      </c>
      <c r="AN101" t="e">
        <v>#VALUE!</v>
      </c>
      <c r="AO101" t="e">
        <v>#VALUE!</v>
      </c>
      <c r="AP101" t="e">
        <v>#VALUE!</v>
      </c>
      <c r="AQ101" t="e">
        <v>#VALUE!</v>
      </c>
      <c r="AR101" t="e">
        <v>#VALUE!</v>
      </c>
      <c r="AS101" t="e">
        <v>#VALUE!</v>
      </c>
      <c r="AT101" t="e">
        <v>#VALUE!</v>
      </c>
      <c r="AU101" t="e">
        <v>#VALUE!</v>
      </c>
      <c r="AV101" t="e">
        <v>#VALUE!</v>
      </c>
      <c r="AW101" t="e">
        <v>#VALUE!</v>
      </c>
      <c r="AX101" t="e">
        <v>#VALUE!</v>
      </c>
      <c r="AY101" t="e">
        <v>#VALUE!</v>
      </c>
      <c r="AZ101" t="e">
        <v>#VALUE!</v>
      </c>
      <c r="BA101" t="e">
        <v>#VALUE!</v>
      </c>
      <c r="BB101" t="e">
        <v>#VALUE!</v>
      </c>
      <c r="BC101" t="e">
        <v>#VALUE!</v>
      </c>
      <c r="BD101" t="e">
        <v>#VALUE!</v>
      </c>
      <c r="BE101">
        <v>0</v>
      </c>
      <c r="BF101" t="e">
        <v>#VALUE!</v>
      </c>
      <c r="BG101" t="e">
        <v>#VALUE!</v>
      </c>
      <c r="BH101" t="e">
        <v>#VALUE!</v>
      </c>
      <c r="BI101" t="e">
        <v>#VALUE!</v>
      </c>
      <c r="BJ101" t="e">
        <v>#VALUE!</v>
      </c>
      <c r="BK101" t="e">
        <v>#VALUE!</v>
      </c>
      <c r="BL101" t="e">
        <v>#VALUE!</v>
      </c>
      <c r="BM101" t="e">
        <v>#VALUE!</v>
      </c>
      <c r="BN101" t="e">
        <v>#VALUE!</v>
      </c>
      <c r="BO101" t="e">
        <v>#VALUE!</v>
      </c>
      <c r="BP101" t="e">
        <v>#VALUE!</v>
      </c>
      <c r="BQ101" t="e">
        <v>#VALUE!</v>
      </c>
      <c r="BR101" t="e">
        <v>#VALUE!</v>
      </c>
      <c r="BS101" t="e">
        <v>#VALUE!</v>
      </c>
      <c r="BT101" t="e">
        <v>#VALUE!</v>
      </c>
      <c r="BU101" t="e">
        <v>#VALUE!</v>
      </c>
      <c r="BV101" t="e">
        <v>#VALUE!</v>
      </c>
      <c r="BW101" t="e">
        <v>#VALUE!</v>
      </c>
      <c r="BX101">
        <v>0</v>
      </c>
      <c r="BY101" t="e">
        <v>#VALUE!</v>
      </c>
      <c r="BZ101" t="e">
        <v>#VALUE!</v>
      </c>
      <c r="CA101" t="e">
        <v>#VALUE!</v>
      </c>
      <c r="CB101" t="e">
        <v>#VALUE!</v>
      </c>
      <c r="CC101" t="e">
        <v>#VALUE!</v>
      </c>
      <c r="CD101" t="e">
        <v>#VALUE!</v>
      </c>
      <c r="CE101" t="e">
        <v>#VALUE!</v>
      </c>
      <c r="CF101" t="e">
        <v>#VALUE!</v>
      </c>
      <c r="CG101" t="e">
        <v>#VALUE!</v>
      </c>
      <c r="CH101" t="e">
        <v>#VALUE!</v>
      </c>
      <c r="CI101" t="e">
        <v>#VALUE!</v>
      </c>
      <c r="CJ101" t="e">
        <v>#VALUE!</v>
      </c>
      <c r="CK101" t="e">
        <v>#VALUE!</v>
      </c>
      <c r="CL101" t="e">
        <v>#VALUE!</v>
      </c>
      <c r="CM101" t="e">
        <v>#VALUE!</v>
      </c>
      <c r="CN101" t="e">
        <v>#VALUE!</v>
      </c>
      <c r="CO101" t="e">
        <v>#VALUE!</v>
      </c>
      <c r="CP101" t="e">
        <v>#VALUE!</v>
      </c>
      <c r="CQ101">
        <v>0</v>
      </c>
      <c r="CR101" t="e">
        <v>#VALUE!</v>
      </c>
      <c r="CS101" t="e">
        <v>#VALUE!</v>
      </c>
      <c r="CT101" t="e">
        <v>#VALUE!</v>
      </c>
      <c r="CU101" t="e">
        <v>#VALUE!</v>
      </c>
      <c r="CV101" t="e">
        <v>#VALUE!</v>
      </c>
      <c r="CW101" t="e">
        <v>#VALUE!</v>
      </c>
      <c r="CX101" t="e">
        <v>#VALUE!</v>
      </c>
      <c r="CY101" t="e">
        <v>#VALUE!</v>
      </c>
      <c r="CZ101" t="e">
        <v>#VALUE!</v>
      </c>
      <c r="DA101" t="e">
        <v>#VALUE!</v>
      </c>
      <c r="DB101" t="e">
        <v>#VALUE!</v>
      </c>
      <c r="DC101" t="e">
        <v>#VALUE!</v>
      </c>
      <c r="DD101" t="e">
        <v>#VALUE!</v>
      </c>
      <c r="DE101" t="e">
        <v>#VALUE!</v>
      </c>
      <c r="DF101" t="e">
        <v>#VALUE!</v>
      </c>
      <c r="DG101" t="e">
        <v>#VALUE!</v>
      </c>
      <c r="DH101" t="e">
        <v>#VALUE!</v>
      </c>
      <c r="DI101" t="e">
        <v>#VALUE!</v>
      </c>
      <c r="DJ101">
        <v>0</v>
      </c>
      <c r="DK101" t="e">
        <v>#VALUE!</v>
      </c>
      <c r="DL101" t="e">
        <v>#VALUE!</v>
      </c>
      <c r="DM101" t="e">
        <v>#VALUE!</v>
      </c>
      <c r="DN101" t="e">
        <v>#VALUE!</v>
      </c>
      <c r="DO101" t="e">
        <v>#VALUE!</v>
      </c>
      <c r="DP101" t="e">
        <v>#VALUE!</v>
      </c>
      <c r="DQ101" t="e">
        <v>#VALUE!</v>
      </c>
      <c r="DR101" t="e">
        <v>#VALUE!</v>
      </c>
      <c r="DS101" t="e">
        <v>#VALUE!</v>
      </c>
      <c r="DT101" t="e">
        <v>#VALUE!</v>
      </c>
      <c r="DU101" t="e">
        <v>#VALUE!</v>
      </c>
      <c r="DV101" t="e">
        <v>#VALUE!</v>
      </c>
      <c r="DW101" t="e">
        <v>#VALUE!</v>
      </c>
      <c r="DX101" t="e">
        <v>#VALUE!</v>
      </c>
      <c r="DY101" t="e">
        <v>#VALUE!</v>
      </c>
      <c r="DZ101" t="e">
        <v>#VALUE!</v>
      </c>
      <c r="EA101" t="e">
        <v>#VALUE!</v>
      </c>
      <c r="EB101" t="e">
        <v>#VALUE!</v>
      </c>
      <c r="EC101">
        <v>0</v>
      </c>
      <c r="ED101" t="e">
        <v>#VALUE!</v>
      </c>
      <c r="EE101" t="e">
        <v>#VALUE!</v>
      </c>
      <c r="EF101" t="e">
        <v>#VALUE!</v>
      </c>
      <c r="EG101" t="e">
        <v>#VALUE!</v>
      </c>
      <c r="EH101" t="e">
        <v>#VALUE!</v>
      </c>
      <c r="EI101" t="e">
        <v>#VALUE!</v>
      </c>
      <c r="EJ101" t="e">
        <v>#VALUE!</v>
      </c>
      <c r="EK101" t="e">
        <v>#VALUE!</v>
      </c>
      <c r="EL101" t="e">
        <v>#VALUE!</v>
      </c>
      <c r="EM101" t="e">
        <v>#VALUE!</v>
      </c>
      <c r="EN101" t="e">
        <v>#VALUE!</v>
      </c>
      <c r="EO101" t="e">
        <v>#VALUE!</v>
      </c>
      <c r="EP101" t="e">
        <v>#VALUE!</v>
      </c>
      <c r="EQ101" t="e">
        <v>#VALUE!</v>
      </c>
      <c r="ER101" t="e">
        <v>#VALUE!</v>
      </c>
      <c r="ES101" t="e">
        <v>#VALUE!</v>
      </c>
      <c r="ET101" t="e">
        <v>#VALUE!</v>
      </c>
      <c r="EU101" t="e">
        <v>#VALUE!</v>
      </c>
      <c r="EV101">
        <v>0</v>
      </c>
      <c r="EW101" t="e">
        <v>#VALUE!</v>
      </c>
      <c r="EX101" t="e">
        <v>#VALUE!</v>
      </c>
      <c r="EY101" t="e">
        <v>#VALUE!</v>
      </c>
      <c r="EZ101" t="e">
        <v>#VALUE!</v>
      </c>
      <c r="FA101" t="e">
        <v>#VALUE!</v>
      </c>
      <c r="FB101" t="e">
        <v>#VALUE!</v>
      </c>
      <c r="FC101" t="e">
        <v>#VALUE!</v>
      </c>
      <c r="FD101" t="e">
        <v>#VALUE!</v>
      </c>
      <c r="FE101" t="e">
        <v>#VALUE!</v>
      </c>
      <c r="FF101" t="e">
        <v>#VALUE!</v>
      </c>
      <c r="FG101" t="e">
        <v>#VALUE!</v>
      </c>
      <c r="FH101" t="e">
        <v>#VALUE!</v>
      </c>
      <c r="FI101" t="e">
        <v>#VALUE!</v>
      </c>
      <c r="FJ101" t="e">
        <v>#VALUE!</v>
      </c>
      <c r="FK101" t="e">
        <v>#VALUE!</v>
      </c>
      <c r="FL101" t="e">
        <v>#VALUE!</v>
      </c>
      <c r="FM101" t="e">
        <v>#VALUE!</v>
      </c>
      <c r="FN101" t="e">
        <v>#VALUE!</v>
      </c>
      <c r="FO101">
        <v>0</v>
      </c>
      <c r="FP101" t="e">
        <v>#VALUE!</v>
      </c>
      <c r="FQ101" t="e">
        <v>#VALUE!</v>
      </c>
      <c r="FR101" t="e">
        <v>#VALUE!</v>
      </c>
      <c r="FS101" t="e">
        <v>#VALUE!</v>
      </c>
      <c r="FT101" t="e">
        <v>#VALUE!</v>
      </c>
      <c r="FU101" t="e">
        <v>#VALUE!</v>
      </c>
      <c r="FV101" t="e">
        <v>#VALUE!</v>
      </c>
      <c r="FW101" t="e">
        <v>#VALUE!</v>
      </c>
      <c r="FX101" t="e">
        <v>#VALUE!</v>
      </c>
      <c r="FY101" t="e">
        <v>#VALUE!</v>
      </c>
      <c r="FZ101" t="e">
        <v>#VALUE!</v>
      </c>
      <c r="GA101" t="e">
        <v>#VALUE!</v>
      </c>
      <c r="GB101" t="e">
        <v>#VALUE!</v>
      </c>
      <c r="GC101" t="e">
        <v>#VALUE!</v>
      </c>
      <c r="GD101" t="e">
        <v>#VALUE!</v>
      </c>
      <c r="GE101" t="e">
        <v>#VALUE!</v>
      </c>
      <c r="GF101" t="e">
        <v>#VALUE!</v>
      </c>
      <c r="GG101" t="e">
        <v>#VALUE!</v>
      </c>
      <c r="GH101">
        <v>0</v>
      </c>
      <c r="GI101" t="e">
        <v>#VALUE!</v>
      </c>
      <c r="GJ101" t="e">
        <v>#VALUE!</v>
      </c>
      <c r="GK101" t="e">
        <v>#VALUE!</v>
      </c>
      <c r="GL101" t="e">
        <v>#VALUE!</v>
      </c>
      <c r="GM101" t="e">
        <v>#VALUE!</v>
      </c>
      <c r="GN101" t="e">
        <v>#VALUE!</v>
      </c>
      <c r="GO101" t="e">
        <v>#VALUE!</v>
      </c>
      <c r="GP101" t="e">
        <v>#VALUE!</v>
      </c>
      <c r="GQ101" t="e">
        <v>#VALUE!</v>
      </c>
      <c r="GR101" t="e">
        <v>#VALUE!</v>
      </c>
      <c r="GS101" t="e">
        <v>#VALUE!</v>
      </c>
      <c r="GT101" t="e">
        <v>#VALUE!</v>
      </c>
      <c r="GU101" t="e">
        <v>#VALUE!</v>
      </c>
      <c r="GV101" t="e">
        <v>#VALUE!</v>
      </c>
      <c r="GW101" t="e">
        <v>#VALUE!</v>
      </c>
      <c r="GX101" t="e">
        <v>#VALUE!</v>
      </c>
      <c r="GY101" t="e">
        <v>#VALUE!</v>
      </c>
      <c r="GZ101" t="e">
        <v>#VALUE!</v>
      </c>
      <c r="HA101">
        <v>0</v>
      </c>
      <c r="HB101">
        <v>0</v>
      </c>
      <c r="HC101">
        <v>0</v>
      </c>
      <c r="HD101">
        <v>0</v>
      </c>
      <c r="HE101">
        <v>0</v>
      </c>
      <c r="HF101">
        <v>0</v>
      </c>
      <c r="HG101">
        <v>0</v>
      </c>
      <c r="HH101">
        <v>0</v>
      </c>
      <c r="HI101">
        <v>0</v>
      </c>
      <c r="HJ101">
        <v>0</v>
      </c>
      <c r="HK101">
        <v>0</v>
      </c>
      <c r="HL101">
        <v>0</v>
      </c>
      <c r="HM101">
        <v>0</v>
      </c>
      <c r="HN101">
        <v>0</v>
      </c>
      <c r="HO101">
        <v>0</v>
      </c>
      <c r="HP101">
        <v>0</v>
      </c>
      <c r="HQ101">
        <v>0</v>
      </c>
      <c r="HR101">
        <v>0</v>
      </c>
      <c r="HS101">
        <v>0</v>
      </c>
      <c r="HT101" t="e">
        <v>#VALUE!</v>
      </c>
      <c r="HU101" t="e">
        <v>#VALUE!</v>
      </c>
      <c r="HV101" t="e">
        <v>#VALUE!</v>
      </c>
      <c r="HW101" t="e">
        <v>#VALUE!</v>
      </c>
      <c r="HX101" t="e">
        <v>#VALUE!</v>
      </c>
      <c r="HY101" t="e">
        <v>#VALUE!</v>
      </c>
      <c r="HZ101" t="e">
        <v>#VALUE!</v>
      </c>
      <c r="IA101" t="e">
        <v>#VALUE!</v>
      </c>
      <c r="IB101" t="e">
        <v>#VALUE!</v>
      </c>
      <c r="IC101" t="e">
        <v>#VALUE!</v>
      </c>
      <c r="ID101" t="e">
        <v>#VALUE!</v>
      </c>
      <c r="IE101" t="e">
        <v>#VALUE!</v>
      </c>
      <c r="IF101" t="e">
        <v>#VALUE!</v>
      </c>
      <c r="IG101" t="e">
        <v>#VALUE!</v>
      </c>
      <c r="IH101">
        <v>0</v>
      </c>
      <c r="II101" t="e">
        <v>#VALUE!</v>
      </c>
      <c r="IJ101" t="e">
        <v>#VALUE!</v>
      </c>
      <c r="IK101" t="e">
        <v>#VALUE!</v>
      </c>
      <c r="IL101" t="e">
        <v>#VALUE!</v>
      </c>
      <c r="IM101" t="e">
        <v>#VALUE!</v>
      </c>
      <c r="IN101" t="e">
        <v>#VALUE!</v>
      </c>
      <c r="IO101" t="e">
        <v>#VALUE!</v>
      </c>
      <c r="IP101" t="e">
        <v>#VALUE!</v>
      </c>
      <c r="IQ101" t="e">
        <v>#VALUE!</v>
      </c>
      <c r="IR101" t="e">
        <v>#VALUE!</v>
      </c>
      <c r="IS101" t="e">
        <v>#VALUE!</v>
      </c>
      <c r="IT101" t="e">
        <v>#VALUE!</v>
      </c>
      <c r="IU101" t="e">
        <v>#VALUE!</v>
      </c>
      <c r="IV101" t="e">
        <v>#VALUE!</v>
      </c>
    </row>
    <row r="102" spans="1:256" x14ac:dyDescent="0.25">
      <c r="A102" t="e">
        <v>#VALUE!</v>
      </c>
      <c r="B102" t="e">
        <v>#VALUE!</v>
      </c>
      <c r="C102" t="e">
        <v>#VALUE!</v>
      </c>
      <c r="D102" t="e">
        <v>#VALUE!</v>
      </c>
      <c r="E102" t="e">
        <v>#VALUE!</v>
      </c>
      <c r="F102" t="e">
        <v>#VALUE!</v>
      </c>
      <c r="G102" t="e">
        <v>#VALUE!</v>
      </c>
      <c r="H102" t="e">
        <v>#VALUE!</v>
      </c>
      <c r="I102" t="e">
        <v>#VALUE!</v>
      </c>
      <c r="J102" t="e">
        <v>#VALUE!</v>
      </c>
      <c r="K102" t="e">
        <v>#VALUE!</v>
      </c>
      <c r="L102" t="e">
        <v>#VALUE!</v>
      </c>
      <c r="M102" t="e">
        <v>#VALUE!</v>
      </c>
      <c r="N102" t="e">
        <v>#VALUE!</v>
      </c>
      <c r="O102" t="e">
        <v>#VALUE!</v>
      </c>
      <c r="P102">
        <v>0</v>
      </c>
      <c r="Q102" t="e">
        <v>#VALUE!</v>
      </c>
      <c r="R102" t="e">
        <v>#VALUE!</v>
      </c>
      <c r="S102" t="e">
        <v>#VALUE!</v>
      </c>
      <c r="T102" t="e">
        <v>#VALUE!</v>
      </c>
      <c r="U102" t="e">
        <v>#VALUE!</v>
      </c>
      <c r="V102" t="e">
        <v>#VALUE!</v>
      </c>
      <c r="W102" t="e">
        <v>#VALUE!</v>
      </c>
      <c r="X102" t="e">
        <v>#VALUE!</v>
      </c>
      <c r="Y102" t="e">
        <v>#VALUE!</v>
      </c>
      <c r="Z102" t="e">
        <v>#VALUE!</v>
      </c>
      <c r="AA102" t="e">
        <v>#VALUE!</v>
      </c>
      <c r="AB102" t="e">
        <v>#VALUE!</v>
      </c>
      <c r="AC102" t="e">
        <v>#VALUE!</v>
      </c>
      <c r="AD102" t="e">
        <v>#VALUE!</v>
      </c>
      <c r="AE102">
        <v>0</v>
      </c>
      <c r="AF102" t="e">
        <v>#VALUE!</v>
      </c>
      <c r="AG102" t="e">
        <v>#VALUE!</v>
      </c>
      <c r="AH102" t="e">
        <v>#VALUE!</v>
      </c>
      <c r="AI102" t="e">
        <v>#VALUE!</v>
      </c>
      <c r="AJ102" t="e">
        <v>#VALUE!</v>
      </c>
      <c r="AK102" t="e">
        <v>#VALUE!</v>
      </c>
      <c r="AL102" t="e">
        <v>#VALUE!</v>
      </c>
      <c r="AM102" t="e">
        <v>#VALUE!</v>
      </c>
      <c r="AN102" t="e">
        <v>#VALUE!</v>
      </c>
      <c r="AO102" t="e">
        <v>#VALUE!</v>
      </c>
      <c r="AP102" t="e">
        <v>#VALUE!</v>
      </c>
      <c r="AQ102" t="e">
        <v>#VALUE!</v>
      </c>
      <c r="AR102" t="e">
        <v>#VALUE!</v>
      </c>
      <c r="AS102" t="e">
        <v>#VALUE!</v>
      </c>
      <c r="AT102">
        <v>0</v>
      </c>
      <c r="AU102" t="e">
        <v>#VALUE!</v>
      </c>
      <c r="AV102" t="e">
        <v>#VALUE!</v>
      </c>
      <c r="AW102" t="e">
        <v>#VALUE!</v>
      </c>
      <c r="AX102" t="e">
        <v>#VALUE!</v>
      </c>
      <c r="AY102" t="e">
        <v>#VALUE!</v>
      </c>
      <c r="AZ102" t="e">
        <v>#VALUE!</v>
      </c>
      <c r="BA102" t="e">
        <v>#VALUE!</v>
      </c>
      <c r="BB102" t="e">
        <v>#VALUE!</v>
      </c>
      <c r="BC102" t="e">
        <v>#VALUE!</v>
      </c>
      <c r="BD102" t="e">
        <v>#VALUE!</v>
      </c>
      <c r="BE102" t="e">
        <v>#VALUE!</v>
      </c>
      <c r="BF102" t="e">
        <v>#VALUE!</v>
      </c>
      <c r="BG102" t="e">
        <v>#VALUE!</v>
      </c>
      <c r="BH102" t="e">
        <v>#VALUE!</v>
      </c>
      <c r="BI102">
        <v>0</v>
      </c>
      <c r="BJ102" t="e">
        <v>#VALUE!</v>
      </c>
      <c r="BK102" t="e">
        <v>#VALUE!</v>
      </c>
      <c r="BL102" t="e">
        <v>#VALUE!</v>
      </c>
      <c r="BM102" t="e">
        <v>#VALUE!</v>
      </c>
      <c r="BN102" t="e">
        <v>#VALUE!</v>
      </c>
      <c r="BO102" t="e">
        <v>#VALUE!</v>
      </c>
      <c r="BP102" t="e">
        <v>#VALUE!</v>
      </c>
      <c r="BQ102" t="e">
        <v>#VALUE!</v>
      </c>
      <c r="BR102" t="e">
        <v>#VALUE!</v>
      </c>
      <c r="BS102" t="e">
        <v>#VALUE!</v>
      </c>
      <c r="BT102" t="e">
        <v>#VALUE!</v>
      </c>
      <c r="BU102" t="e">
        <v>#VALUE!</v>
      </c>
      <c r="BV102" t="e">
        <v>#VALUE!</v>
      </c>
      <c r="BW102" t="e">
        <v>#VALUE!</v>
      </c>
      <c r="BX102">
        <v>0</v>
      </c>
      <c r="BY102" t="e">
        <v>#VALUE!</v>
      </c>
      <c r="BZ102" t="e">
        <v>#VALUE!</v>
      </c>
      <c r="CA102" t="e">
        <v>#VALUE!</v>
      </c>
      <c r="CB102" t="e">
        <v>#VALUE!</v>
      </c>
      <c r="CC102" t="e">
        <v>#VALUE!</v>
      </c>
      <c r="CD102" t="e">
        <v>#VALUE!</v>
      </c>
      <c r="CE102" t="e">
        <v>#VALUE!</v>
      </c>
      <c r="CF102" t="e">
        <v>#VALUE!</v>
      </c>
      <c r="CG102" t="e">
        <v>#VALUE!</v>
      </c>
      <c r="CH102" t="e">
        <v>#VALUE!</v>
      </c>
      <c r="CI102" t="e">
        <v>#VALUE!</v>
      </c>
      <c r="CJ102" t="e">
        <v>#VALUE!</v>
      </c>
      <c r="CK102" t="e">
        <v>#VALUE!</v>
      </c>
      <c r="CL102" t="e">
        <v>#VALUE!</v>
      </c>
      <c r="CM102">
        <v>0</v>
      </c>
      <c r="CN102" t="e">
        <v>#VALUE!</v>
      </c>
      <c r="CO102" t="e">
        <v>#VALUE!</v>
      </c>
      <c r="CP102" t="e">
        <v>#VALUE!</v>
      </c>
      <c r="CQ102" t="e">
        <v>#VALUE!</v>
      </c>
      <c r="CR102" t="e">
        <v>#VALUE!</v>
      </c>
      <c r="CS102" t="e">
        <v>#VALUE!</v>
      </c>
      <c r="CT102" t="e">
        <v>#VALUE!</v>
      </c>
      <c r="CU102" t="e">
        <v>#VALUE!</v>
      </c>
      <c r="CV102" t="e">
        <v>#VALUE!</v>
      </c>
      <c r="CW102" t="e">
        <v>#VALUE!</v>
      </c>
      <c r="CX102" t="e">
        <v>#VALUE!</v>
      </c>
      <c r="CY102" t="e">
        <v>#VALUE!</v>
      </c>
      <c r="CZ102" t="e">
        <v>#VALUE!</v>
      </c>
      <c r="DA102" t="e">
        <v>#VALUE!</v>
      </c>
      <c r="DB102">
        <v>0</v>
      </c>
      <c r="DC102" t="e">
        <v>#VALUE!</v>
      </c>
      <c r="DD102" t="e">
        <v>#VALUE!</v>
      </c>
      <c r="DE102" t="e">
        <v>#VALUE!</v>
      </c>
      <c r="DF102" t="e">
        <v>#VALUE!</v>
      </c>
      <c r="DG102" t="e">
        <v>#VALUE!</v>
      </c>
      <c r="DH102" t="e">
        <v>#VALUE!</v>
      </c>
      <c r="DI102" t="e">
        <v>#VALUE!</v>
      </c>
      <c r="DJ102" t="e">
        <v>#VALUE!</v>
      </c>
      <c r="DK102" t="e">
        <v>#VALUE!</v>
      </c>
      <c r="DL102" t="e">
        <v>#VALUE!</v>
      </c>
      <c r="DM102" t="e">
        <v>#VALUE!</v>
      </c>
      <c r="DN102" t="e">
        <v>#VALUE!</v>
      </c>
      <c r="DO102" t="e">
        <v>#VALUE!</v>
      </c>
      <c r="DP102" t="e">
        <v>#VALUE!</v>
      </c>
      <c r="DQ102">
        <v>0</v>
      </c>
      <c r="DR102" t="e">
        <v>#VALUE!</v>
      </c>
      <c r="DS102" t="e">
        <v>#VALUE!</v>
      </c>
      <c r="DT102" t="e">
        <v>#VALUE!</v>
      </c>
      <c r="DU102" t="e">
        <v>#VALUE!</v>
      </c>
      <c r="DV102" t="e">
        <v>#VALUE!</v>
      </c>
      <c r="DW102" t="e">
        <v>#VALUE!</v>
      </c>
      <c r="DX102" t="e">
        <v>#VALUE!</v>
      </c>
      <c r="DY102" t="e">
        <v>#VALUE!</v>
      </c>
      <c r="DZ102" t="e">
        <v>#VALUE!</v>
      </c>
      <c r="EA102" t="e">
        <v>#VALUE!</v>
      </c>
      <c r="EB102" t="e">
        <v>#VALUE!</v>
      </c>
      <c r="EC102" t="e">
        <v>#VALUE!</v>
      </c>
      <c r="ED102" t="e">
        <v>#VALUE!</v>
      </c>
      <c r="EE102" t="e">
        <v>#VALUE!</v>
      </c>
      <c r="EF102">
        <v>0</v>
      </c>
      <c r="EG102" t="e">
        <v>#VALUE!</v>
      </c>
      <c r="EH102" t="e">
        <v>#VALUE!</v>
      </c>
      <c r="EI102" t="e">
        <v>#VALUE!</v>
      </c>
      <c r="EJ102" t="e">
        <v>#VALUE!</v>
      </c>
      <c r="EK102" t="e">
        <v>#VALUE!</v>
      </c>
      <c r="EL102" t="e">
        <v>#VALUE!</v>
      </c>
      <c r="EM102" t="e">
        <v>#VALUE!</v>
      </c>
      <c r="EN102" t="e">
        <v>#VALUE!</v>
      </c>
      <c r="EO102" t="e">
        <v>#VALUE!</v>
      </c>
      <c r="EP102" t="e">
        <v>#VALUE!</v>
      </c>
      <c r="EQ102" t="e">
        <v>#VALUE!</v>
      </c>
      <c r="ER102" t="e">
        <v>#VALUE!</v>
      </c>
      <c r="ES102" t="e">
        <v>#VALUE!</v>
      </c>
      <c r="ET102" t="e">
        <v>#VALUE!</v>
      </c>
      <c r="EU102">
        <v>0</v>
      </c>
      <c r="EV102" t="e">
        <v>#VALUE!</v>
      </c>
      <c r="EW102" t="e">
        <v>#VALUE!</v>
      </c>
      <c r="EX102" t="e">
        <v>#VALUE!</v>
      </c>
      <c r="EY102" t="e">
        <v>#VALUE!</v>
      </c>
      <c r="EZ102" t="e">
        <v>#VALUE!</v>
      </c>
      <c r="FA102" t="e">
        <v>#VALUE!</v>
      </c>
      <c r="FB102" t="e">
        <v>#VALUE!</v>
      </c>
      <c r="FC102" t="e">
        <v>#VALUE!</v>
      </c>
      <c r="FD102" t="e">
        <v>#VALUE!</v>
      </c>
      <c r="FE102" t="e">
        <v>#VALUE!</v>
      </c>
      <c r="FF102" t="e">
        <v>#VALUE!</v>
      </c>
      <c r="FG102" t="e">
        <v>#VALUE!</v>
      </c>
      <c r="FH102" t="e">
        <v>#VALUE!</v>
      </c>
      <c r="FI102" t="e">
        <v>#VALUE!</v>
      </c>
      <c r="FJ102">
        <v>0</v>
      </c>
      <c r="FK102" t="e">
        <v>#VALUE!</v>
      </c>
      <c r="FL102" t="e">
        <v>#VALUE!</v>
      </c>
      <c r="FM102" t="e">
        <v>#VALUE!</v>
      </c>
      <c r="FN102" t="e">
        <v>#VALUE!</v>
      </c>
      <c r="FO102" t="e">
        <v>#VALUE!</v>
      </c>
      <c r="FP102" t="e">
        <v>#VALUE!</v>
      </c>
      <c r="FQ102" t="e">
        <v>#VALUE!</v>
      </c>
      <c r="FR102" t="e">
        <v>#VALUE!</v>
      </c>
      <c r="FS102" t="e">
        <v>#VALUE!</v>
      </c>
      <c r="FT102" t="e">
        <v>#VALUE!</v>
      </c>
      <c r="FU102" t="e">
        <v>#VALUE!</v>
      </c>
      <c r="FV102" t="e">
        <v>#VALUE!</v>
      </c>
      <c r="FW102" t="e">
        <v>#VALUE!</v>
      </c>
      <c r="FX102" t="e">
        <v>#VALUE!</v>
      </c>
      <c r="FY102" t="e">
        <v>#REF!</v>
      </c>
      <c r="FZ102" t="e">
        <v>#REF!</v>
      </c>
      <c r="GA102" t="e">
        <v>#REF!</v>
      </c>
      <c r="GB102" t="e">
        <v>#REF!</v>
      </c>
      <c r="GC102" t="e">
        <v>#REF!</v>
      </c>
      <c r="GD102" t="e">
        <v>#REF!</v>
      </c>
      <c r="GE102" t="e">
        <v>#REF!</v>
      </c>
      <c r="GF102" t="e">
        <v>#REF!</v>
      </c>
      <c r="GG102" t="e">
        <v>#REF!</v>
      </c>
      <c r="GH102" t="e">
        <v>#REF!</v>
      </c>
      <c r="GI102" t="e">
        <v>#REF!</v>
      </c>
      <c r="GJ102" t="e">
        <v>#REF!</v>
      </c>
      <c r="GK102" t="e">
        <v>#REF!</v>
      </c>
      <c r="GL102" t="e">
        <v>#REF!</v>
      </c>
      <c r="GM102" t="e">
        <v>#REF!</v>
      </c>
      <c r="GN102" t="e">
        <v>#REF!</v>
      </c>
      <c r="GO102" t="e">
        <v>#REF!</v>
      </c>
      <c r="GP102" t="e">
        <v>#REF!</v>
      </c>
      <c r="GQ102" t="e">
        <v>#REF!</v>
      </c>
      <c r="GR102" t="e">
        <v>#REF!</v>
      </c>
      <c r="GS102" t="e">
        <v>#REF!</v>
      </c>
      <c r="GT102" t="e">
        <v>#REF!</v>
      </c>
      <c r="GU102" t="e">
        <v>#REF!</v>
      </c>
      <c r="GV102" t="e">
        <v>#REF!</v>
      </c>
      <c r="GW102" t="e">
        <v>#REF!</v>
      </c>
      <c r="GX102" t="e">
        <v>#REF!</v>
      </c>
      <c r="GY102" t="e">
        <v>#REF!</v>
      </c>
      <c r="GZ102" t="e">
        <v>#REF!</v>
      </c>
      <c r="HA102" t="e">
        <v>#REF!</v>
      </c>
      <c r="HB102" t="e">
        <v>#REF!</v>
      </c>
      <c r="HC102" t="e">
        <v>#REF!</v>
      </c>
      <c r="HD102" t="e">
        <v>#REF!</v>
      </c>
      <c r="HE102" t="e">
        <v>#REF!</v>
      </c>
      <c r="HF102" t="e">
        <v>#REF!</v>
      </c>
      <c r="HG102" t="e">
        <v>#REF!</v>
      </c>
      <c r="HH102" t="e">
        <v>#REF!</v>
      </c>
      <c r="HI102" t="e">
        <v>#REF!</v>
      </c>
      <c r="HJ102" t="e">
        <v>#REF!</v>
      </c>
      <c r="HK102" t="e">
        <v>#REF!</v>
      </c>
      <c r="HL102" t="e">
        <v>#REF!</v>
      </c>
      <c r="HM102" t="e">
        <v>#REF!</v>
      </c>
      <c r="HN102" t="e">
        <v>#REF!</v>
      </c>
      <c r="HO102" t="e">
        <v>#REF!</v>
      </c>
      <c r="HP102" t="e">
        <v>#REF!</v>
      </c>
      <c r="HQ102" t="e">
        <v>#REF!</v>
      </c>
      <c r="HR102" t="e">
        <v>#REF!</v>
      </c>
      <c r="HS102" t="e">
        <v>#REF!</v>
      </c>
      <c r="HT102" t="e">
        <v>#REF!</v>
      </c>
      <c r="HU102" t="e">
        <v>#REF!</v>
      </c>
      <c r="HV102" t="e">
        <v>#REF!</v>
      </c>
      <c r="HW102" t="e">
        <v>#REF!</v>
      </c>
      <c r="HX102" t="e">
        <v>#REF!</v>
      </c>
      <c r="HY102" t="e">
        <v>#REF!</v>
      </c>
      <c r="HZ102" t="e">
        <v>#REF!</v>
      </c>
      <c r="IA102" t="e">
        <v>#REF!</v>
      </c>
      <c r="IB102" t="e">
        <v>#REF!</v>
      </c>
      <c r="IC102" t="e">
        <v>#REF!</v>
      </c>
      <c r="ID102" t="e">
        <v>#REF!</v>
      </c>
      <c r="IE102" t="e">
        <v>#REF!</v>
      </c>
      <c r="IF102" t="e">
        <v>#REF!</v>
      </c>
      <c r="IG102">
        <v>0</v>
      </c>
      <c r="IH102" t="e">
        <v>#VALUE!</v>
      </c>
      <c r="II102" t="e">
        <v>#VALUE!</v>
      </c>
      <c r="IJ102" t="e">
        <v>#VALUE!</v>
      </c>
      <c r="IK102" t="e">
        <v>#VALUE!</v>
      </c>
      <c r="IL102" t="e">
        <v>#VALUE!</v>
      </c>
      <c r="IM102">
        <v>0</v>
      </c>
      <c r="IN102" t="e">
        <v>#VALUE!</v>
      </c>
      <c r="IO102" t="e">
        <v>#VALUE!</v>
      </c>
      <c r="IP102" t="e">
        <v>#VALUE!</v>
      </c>
      <c r="IQ102" t="e">
        <v>#VALUE!</v>
      </c>
      <c r="IR102" t="e">
        <v>#VALUE!</v>
      </c>
      <c r="IS102">
        <v>0</v>
      </c>
      <c r="IT102">
        <v>0</v>
      </c>
      <c r="IU102">
        <v>0</v>
      </c>
      <c r="IV102">
        <v>0</v>
      </c>
    </row>
    <row r="103" spans="1:256" x14ac:dyDescent="0.25">
      <c r="A103">
        <v>0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 t="e">
        <f>IF('PE1'!1:1,"AAAAAE0+4Qo=",0)</f>
        <v>#VALUE!</v>
      </c>
      <c r="L103" t="e">
        <f>AND('PE1'!A1,"AAAAAE0+4Qs=")</f>
        <v>#VALUE!</v>
      </c>
      <c r="M103" t="e">
        <f>AND('PE1'!B1,"AAAAAE0+4Qw=")</f>
        <v>#VALUE!</v>
      </c>
      <c r="N103" t="e">
        <f>AND('PE1'!#REF!,"AAAAAE0+4Q0=")</f>
        <v>#REF!</v>
      </c>
      <c r="O103" t="e">
        <f>AND('PE1'!#REF!,"AAAAAE0+4Q4=")</f>
        <v>#REF!</v>
      </c>
      <c r="P103" t="e">
        <f>AND('PE1'!D1,"AAAAAE0+4Q8=")</f>
        <v>#VALUE!</v>
      </c>
      <c r="Q103" t="e">
        <f>AND('PE1'!E1,"AAAAAE0+4RA=")</f>
        <v>#VALUE!</v>
      </c>
      <c r="R103" t="e">
        <f>AND('PE1'!F1,"AAAAAE0+4RE=")</f>
        <v>#VALUE!</v>
      </c>
      <c r="S103" t="e">
        <f>AND('PE1'!G1,"AAAAAE0+4RI=")</f>
        <v>#VALUE!</v>
      </c>
      <c r="T103" t="e">
        <f>AND('PE1'!H1,"AAAAAE0+4RM=")</f>
        <v>#VALUE!</v>
      </c>
      <c r="U103" t="e">
        <f>AND('PE1'!I1,"AAAAAE0+4RQ=")</f>
        <v>#VALUE!</v>
      </c>
      <c r="V103" t="e">
        <f>AND('PE1'!J1,"AAAAAE0+4RU=")</f>
        <v>#VALUE!</v>
      </c>
      <c r="W103" t="e">
        <f>AND('PE1'!K1,"AAAAAE0+4RY=")</f>
        <v>#VALUE!</v>
      </c>
      <c r="X103" t="e">
        <f>AND('PE1'!L1,"AAAAAE0+4Rc=")</f>
        <v>#VALUE!</v>
      </c>
      <c r="Y103" t="e">
        <f>AND('PE1'!M1,"AAAAAE0+4Rg=")</f>
        <v>#VALUE!</v>
      </c>
      <c r="Z103" t="e">
        <f>AND('PE1'!N1,"AAAAAE0+4Rk=")</f>
        <v>#VALUE!</v>
      </c>
      <c r="AA103" t="e">
        <f>AND('PE1'!O1,"AAAAAE0+4Ro=")</f>
        <v>#VALUE!</v>
      </c>
      <c r="AB103" t="e">
        <f>AND('PE1'!P1,"AAAAAE0+4Rs=")</f>
        <v>#VALUE!</v>
      </c>
      <c r="AC103" t="e">
        <f>AND('PE1'!Q1,"AAAAAE0+4Rw=")</f>
        <v>#VALUE!</v>
      </c>
      <c r="AD103" t="e">
        <f>AND('PE1'!R1,"AAAAAE0+4R0=")</f>
        <v>#VALUE!</v>
      </c>
      <c r="AE103" t="e">
        <f>AND('PE1'!S1,"AAAAAE0+4R4=")</f>
        <v>#VALUE!</v>
      </c>
      <c r="AF103" t="e">
        <f>AND('PE1'!T1,"AAAAAE0+4R8=")</f>
        <v>#VALUE!</v>
      </c>
      <c r="AG103" t="e">
        <f>AND('PE1'!U1,"AAAAAE0+4SA=")</f>
        <v>#VALUE!</v>
      </c>
      <c r="AH103" t="e">
        <f>AND('PE1'!V1,"AAAAAE0+4SE=")</f>
        <v>#VALUE!</v>
      </c>
      <c r="AI103" t="e">
        <f>AND('PE1'!W1,"AAAAAE0+4SI=")</f>
        <v>#VALUE!</v>
      </c>
      <c r="AJ103" t="e">
        <f>AND('PE1'!X1,"AAAAAE0+4SM=")</f>
        <v>#VALUE!</v>
      </c>
      <c r="AK103" t="e">
        <f>AND('PE1'!Y1,"AAAAAE0+4SQ=")</f>
        <v>#VALUE!</v>
      </c>
      <c r="AL103" t="e">
        <f>AND('PE1'!Z1,"AAAAAE0+4SU=")</f>
        <v>#VALUE!</v>
      </c>
      <c r="AM103">
        <f>IF('PE1'!2:2,"AAAAAE0+4SY=",0)</f>
        <v>0</v>
      </c>
      <c r="AN103" t="e">
        <f>AND('PE1'!A2,"AAAAAE0+4Sc=")</f>
        <v>#VALUE!</v>
      </c>
      <c r="AO103" t="e">
        <f>AND('PE1'!B2,"AAAAAE0+4Sg=")</f>
        <v>#VALUE!</v>
      </c>
      <c r="AP103" t="e">
        <f>AND('PE1'!#REF!,"AAAAAE0+4Sk=")</f>
        <v>#REF!</v>
      </c>
      <c r="AQ103" t="e">
        <f>AND('PE1'!#REF!,"AAAAAE0+4So=")</f>
        <v>#REF!</v>
      </c>
      <c r="AR103" t="e">
        <f>AND('PE1'!D2,"AAAAAE0+4Ss=")</f>
        <v>#VALUE!</v>
      </c>
      <c r="AS103" t="e">
        <f>AND('PE1'!E2,"AAAAAE0+4Sw=")</f>
        <v>#VALUE!</v>
      </c>
      <c r="AT103" t="e">
        <f>AND('PE1'!F2,"AAAAAE0+4S0=")</f>
        <v>#VALUE!</v>
      </c>
      <c r="AU103" t="e">
        <f>AND('PE1'!G2,"AAAAAE0+4S4=")</f>
        <v>#VALUE!</v>
      </c>
      <c r="AV103" t="e">
        <f>AND('PE1'!H2,"AAAAAE0+4S8=")</f>
        <v>#VALUE!</v>
      </c>
      <c r="AW103" t="e">
        <f>AND('PE1'!I2,"AAAAAE0+4TA=")</f>
        <v>#VALUE!</v>
      </c>
      <c r="AX103" t="e">
        <f>AND('PE1'!J2,"AAAAAE0+4TE=")</f>
        <v>#VALUE!</v>
      </c>
      <c r="AY103" t="e">
        <f>AND('PE1'!K2,"AAAAAE0+4TI=")</f>
        <v>#VALUE!</v>
      </c>
      <c r="AZ103" t="e">
        <f>AND('PE1'!L2,"AAAAAE0+4TM=")</f>
        <v>#VALUE!</v>
      </c>
      <c r="BA103" t="e">
        <f>AND('PE1'!M2,"AAAAAE0+4TQ=")</f>
        <v>#VALUE!</v>
      </c>
      <c r="BB103" t="e">
        <f>AND('PE1'!N2,"AAAAAE0+4TU=")</f>
        <v>#VALUE!</v>
      </c>
      <c r="BC103" t="e">
        <f>AND('PE1'!O2,"AAAAAE0+4TY=")</f>
        <v>#VALUE!</v>
      </c>
      <c r="BD103" t="e">
        <f>AND('PE1'!P2,"AAAAAE0+4Tc=")</f>
        <v>#VALUE!</v>
      </c>
      <c r="BE103" t="e">
        <f>AND('PE1'!Q2,"AAAAAE0+4Tg=")</f>
        <v>#VALUE!</v>
      </c>
      <c r="BF103" t="e">
        <f>AND('PE1'!R2,"AAAAAE0+4Tk=")</f>
        <v>#VALUE!</v>
      </c>
      <c r="BG103" t="e">
        <f>AND('PE1'!S2,"AAAAAE0+4To=")</f>
        <v>#VALUE!</v>
      </c>
      <c r="BH103" t="e">
        <f>AND('PE1'!T2,"AAAAAE0+4Ts=")</f>
        <v>#VALUE!</v>
      </c>
      <c r="BI103" t="e">
        <f ca="1">AND('PE1'!U2,"AAAAAE0+4Tw=")</f>
        <v>#VALUE!</v>
      </c>
      <c r="BJ103" t="e">
        <f>AND('PE1'!V2,"AAAAAE0+4T0=")</f>
        <v>#VALUE!</v>
      </c>
      <c r="BK103" t="e">
        <f>AND('PE1'!W2,"AAAAAE0+4T4=")</f>
        <v>#VALUE!</v>
      </c>
      <c r="BL103" t="e">
        <f>AND('PE1'!X2,"AAAAAE0+4T8=")</f>
        <v>#VALUE!</v>
      </c>
      <c r="BM103" t="e">
        <f ca="1">AND('PE1'!Y2,"AAAAAE0+4UA=")</f>
        <v>#VALUE!</v>
      </c>
      <c r="BN103" t="e">
        <f>AND('PE1'!Z2,"AAAAAE0+4UE=")</f>
        <v>#VALUE!</v>
      </c>
      <c r="BO103">
        <f>IF('PE1'!3:3,"AAAAAE0+4UI=",0)</f>
        <v>0</v>
      </c>
      <c r="BP103" t="e">
        <f>AND('PE1'!A3,"AAAAAE0+4UM=")</f>
        <v>#VALUE!</v>
      </c>
      <c r="BQ103" t="e">
        <f>AND('PE1'!B3,"AAAAAE0+4UQ=")</f>
        <v>#VALUE!</v>
      </c>
      <c r="BR103" t="e">
        <f>AND('PE1'!#REF!,"AAAAAE0+4UU=")</f>
        <v>#REF!</v>
      </c>
      <c r="BS103" t="e">
        <f>AND('PE1'!#REF!,"AAAAAE0+4UY=")</f>
        <v>#REF!</v>
      </c>
      <c r="BT103" t="e">
        <f>AND('PE1'!D3,"AAAAAE0+4Uc=")</f>
        <v>#VALUE!</v>
      </c>
      <c r="BU103" t="e">
        <f>AND('PE1'!E3,"AAAAAE0+4Ug=")</f>
        <v>#VALUE!</v>
      </c>
      <c r="BV103" t="e">
        <f>AND('PE1'!F3,"AAAAAE0+4Uk=")</f>
        <v>#VALUE!</v>
      </c>
      <c r="BW103" t="e">
        <f>AND('PE1'!G3,"AAAAAE0+4Uo=")</f>
        <v>#VALUE!</v>
      </c>
      <c r="BX103" t="e">
        <f>AND('PE1'!H3,"AAAAAE0+4Us=")</f>
        <v>#VALUE!</v>
      </c>
      <c r="BY103" t="e">
        <f>AND('PE1'!I3,"AAAAAE0+4Uw=")</f>
        <v>#VALUE!</v>
      </c>
      <c r="BZ103" t="e">
        <f>AND('PE1'!J3,"AAAAAE0+4U0=")</f>
        <v>#VALUE!</v>
      </c>
      <c r="CA103" t="e">
        <f>AND('PE1'!K3,"AAAAAE0+4U4=")</f>
        <v>#VALUE!</v>
      </c>
      <c r="CB103" t="e">
        <f>AND('PE1'!L3,"AAAAAE0+4U8=")</f>
        <v>#VALUE!</v>
      </c>
      <c r="CC103" t="e">
        <f>AND('PE1'!M3,"AAAAAE0+4VA=")</f>
        <v>#VALUE!</v>
      </c>
      <c r="CD103" t="e">
        <f>AND('PE1'!N3,"AAAAAE0+4VE=")</f>
        <v>#VALUE!</v>
      </c>
      <c r="CE103" t="e">
        <f>AND('PE1'!O3,"AAAAAE0+4VI=")</f>
        <v>#VALUE!</v>
      </c>
      <c r="CF103" t="e">
        <f>AND('PE1'!P3,"AAAAAE0+4VM=")</f>
        <v>#VALUE!</v>
      </c>
      <c r="CG103" t="e">
        <f>AND('PE1'!Q3,"AAAAAE0+4VQ=")</f>
        <v>#VALUE!</v>
      </c>
      <c r="CH103" t="e">
        <f>AND('PE1'!R3,"AAAAAE0+4VU=")</f>
        <v>#VALUE!</v>
      </c>
      <c r="CI103" t="e">
        <f>AND('PE1'!S3,"AAAAAE0+4VY=")</f>
        <v>#VALUE!</v>
      </c>
      <c r="CJ103" t="e">
        <f>AND('PE1'!T3,"AAAAAE0+4Vc=")</f>
        <v>#VALUE!</v>
      </c>
      <c r="CK103" t="e">
        <f>AND('PE1'!U3,"AAAAAE0+4Vg=")</f>
        <v>#VALUE!</v>
      </c>
      <c r="CL103" t="e">
        <f>AND('PE1'!V3,"AAAAAE0+4Vk=")</f>
        <v>#VALUE!</v>
      </c>
      <c r="CM103" t="e">
        <f>AND('PE1'!W3,"AAAAAE0+4Vo=")</f>
        <v>#VALUE!</v>
      </c>
      <c r="CN103" t="e">
        <f>AND('PE1'!X3,"AAAAAE0+4Vs=")</f>
        <v>#VALUE!</v>
      </c>
      <c r="CO103">
        <f>IF('PE1'!4:4,"AAAAAE0+4Vw=",0)</f>
        <v>0</v>
      </c>
      <c r="CP103" t="e">
        <f>AND('PE1'!A4,"AAAAAE0+4V0=")</f>
        <v>#VALUE!</v>
      </c>
      <c r="CQ103" t="e">
        <f>AND('PE1'!B4,"AAAAAE0+4V4=")</f>
        <v>#VALUE!</v>
      </c>
      <c r="CR103" t="e">
        <f>AND('PE1'!#REF!,"AAAAAE0+4V8=")</f>
        <v>#REF!</v>
      </c>
      <c r="CS103" t="e">
        <f>AND('PE1'!#REF!,"AAAAAE0+4WA=")</f>
        <v>#REF!</v>
      </c>
      <c r="CT103" t="e">
        <f>AND('PE1'!D4,"AAAAAE0+4WE=")</f>
        <v>#VALUE!</v>
      </c>
      <c r="CU103" t="e">
        <f>AND('PE1'!E4,"AAAAAE0+4WI=")</f>
        <v>#VALUE!</v>
      </c>
      <c r="CV103" t="e">
        <f>AND('PE1'!F4,"AAAAAE0+4WM=")</f>
        <v>#VALUE!</v>
      </c>
      <c r="CW103" t="e">
        <f>AND('PE1'!G4,"AAAAAE0+4WQ=")</f>
        <v>#VALUE!</v>
      </c>
      <c r="CX103" t="e">
        <f>AND('PE1'!H4,"AAAAAE0+4WU=")</f>
        <v>#VALUE!</v>
      </c>
      <c r="CY103" t="e">
        <f>AND('PE1'!I4,"AAAAAE0+4WY=")</f>
        <v>#VALUE!</v>
      </c>
      <c r="CZ103" t="e">
        <f>AND('PE1'!J4,"AAAAAE0+4Wc=")</f>
        <v>#VALUE!</v>
      </c>
      <c r="DA103" t="e">
        <f>AND('PE1'!K4,"AAAAAE0+4Wg=")</f>
        <v>#VALUE!</v>
      </c>
      <c r="DB103" t="e">
        <f>AND('PE1'!L4,"AAAAAE0+4Wk=")</f>
        <v>#VALUE!</v>
      </c>
      <c r="DC103" t="e">
        <f>AND('PE1'!M4,"AAAAAE0+4Wo=")</f>
        <v>#VALUE!</v>
      </c>
      <c r="DD103" t="e">
        <f>AND('PE1'!N4,"AAAAAE0+4Ws=")</f>
        <v>#VALUE!</v>
      </c>
      <c r="DE103" t="e">
        <f>AND('PE1'!O4,"AAAAAE0+4Ww=")</f>
        <v>#VALUE!</v>
      </c>
      <c r="DF103" t="e">
        <f>AND('PE1'!P4,"AAAAAE0+4W0=")</f>
        <v>#VALUE!</v>
      </c>
      <c r="DG103" t="e">
        <f>AND('PE1'!Q4,"AAAAAE0+4W4=")</f>
        <v>#VALUE!</v>
      </c>
      <c r="DH103" t="e">
        <f>AND('PE1'!R4,"AAAAAE0+4W8=")</f>
        <v>#VALUE!</v>
      </c>
      <c r="DI103" t="e">
        <f>AND('PE1'!S4,"AAAAAE0+4XA=")</f>
        <v>#VALUE!</v>
      </c>
      <c r="DJ103" t="e">
        <f>AND('PE1'!T4,"AAAAAE0+4XE=")</f>
        <v>#VALUE!</v>
      </c>
      <c r="DK103" t="e">
        <f>AND('PE1'!U4,"AAAAAE0+4XI=")</f>
        <v>#VALUE!</v>
      </c>
      <c r="DL103" t="e">
        <f>AND('PE1'!V4,"AAAAAE0+4XM=")</f>
        <v>#VALUE!</v>
      </c>
      <c r="DM103" t="e">
        <f>AND('PE1'!W4,"AAAAAE0+4XQ=")</f>
        <v>#VALUE!</v>
      </c>
      <c r="DN103" t="e">
        <f>AND('PE1'!X4,"AAAAAE0+4XU=")</f>
        <v>#VALUE!</v>
      </c>
      <c r="DO103">
        <f>IF('PE1'!5:5,"AAAAAE0+4XY=",0)</f>
        <v>0</v>
      </c>
      <c r="DP103" t="e">
        <f>AND('PE1'!A5,"AAAAAE0+4Xc=")</f>
        <v>#VALUE!</v>
      </c>
      <c r="DQ103" t="e">
        <f>AND('PE1'!B5,"AAAAAE0+4Xg=")</f>
        <v>#VALUE!</v>
      </c>
      <c r="DR103" t="e">
        <f>AND('PE1'!#REF!,"AAAAAE0+4Xk=")</f>
        <v>#REF!</v>
      </c>
      <c r="DS103" t="e">
        <f>AND('PE1'!#REF!,"AAAAAE0+4Xo=")</f>
        <v>#REF!</v>
      </c>
      <c r="DT103" t="e">
        <f>AND('PE1'!D5,"AAAAAE0+4Xs=")</f>
        <v>#VALUE!</v>
      </c>
      <c r="DU103" t="e">
        <f>AND('PE1'!E5,"AAAAAE0+4Xw=")</f>
        <v>#VALUE!</v>
      </c>
      <c r="DV103" t="e">
        <f>AND('PE1'!F5,"AAAAAE0+4X0=")</f>
        <v>#VALUE!</v>
      </c>
      <c r="DW103" t="e">
        <f>AND('PE1'!G5,"AAAAAE0+4X4=")</f>
        <v>#VALUE!</v>
      </c>
      <c r="DX103" t="e">
        <f>AND('PE1'!H5,"AAAAAE0+4X8=")</f>
        <v>#VALUE!</v>
      </c>
      <c r="DY103" t="e">
        <f>AND('PE1'!I5,"AAAAAE0+4YA=")</f>
        <v>#VALUE!</v>
      </c>
      <c r="DZ103" t="e">
        <f>AND('PE1'!J5,"AAAAAE0+4YE=")</f>
        <v>#VALUE!</v>
      </c>
      <c r="EA103" t="e">
        <f>AND('PE1'!K5,"AAAAAE0+4YI=")</f>
        <v>#VALUE!</v>
      </c>
      <c r="EB103" t="e">
        <f>AND('PE1'!L5,"AAAAAE0+4YM=")</f>
        <v>#VALUE!</v>
      </c>
      <c r="EC103" t="e">
        <f>AND('PE1'!M5,"AAAAAE0+4YQ=")</f>
        <v>#VALUE!</v>
      </c>
      <c r="ED103" t="e">
        <f>AND('PE1'!N5,"AAAAAE0+4YU=")</f>
        <v>#VALUE!</v>
      </c>
      <c r="EE103" t="e">
        <f>AND('PE1'!O5,"AAAAAE0+4YY=")</f>
        <v>#VALUE!</v>
      </c>
      <c r="EF103" t="e">
        <f>AND('PE1'!P5,"AAAAAE0+4Yc=")</f>
        <v>#VALUE!</v>
      </c>
      <c r="EG103" t="e">
        <f>AND('PE1'!Q5,"AAAAAE0+4Yg=")</f>
        <v>#VALUE!</v>
      </c>
      <c r="EH103" t="e">
        <f>AND('PE1'!R5,"AAAAAE0+4Yk=")</f>
        <v>#VALUE!</v>
      </c>
      <c r="EI103" t="e">
        <f>AND('PE1'!S5,"AAAAAE0+4Yo=")</f>
        <v>#VALUE!</v>
      </c>
      <c r="EJ103" t="e">
        <f>AND('PE1'!T5,"AAAAAE0+4Ys=")</f>
        <v>#VALUE!</v>
      </c>
      <c r="EK103" t="e">
        <f>AND('PE1'!U5,"AAAAAE0+4Yw=")</f>
        <v>#VALUE!</v>
      </c>
      <c r="EL103" t="e">
        <f>AND('PE1'!V5,"AAAAAE0+4Y0=")</f>
        <v>#VALUE!</v>
      </c>
      <c r="EM103" t="e">
        <f>AND('PE1'!W5,"AAAAAE0+4Y4=")</f>
        <v>#VALUE!</v>
      </c>
      <c r="EN103" t="e">
        <f>AND('PE1'!X5,"AAAAAE0+4Y8=")</f>
        <v>#VALUE!</v>
      </c>
      <c r="EO103">
        <f>IF('PE1'!6:6,"AAAAAE0+4ZA=",0)</f>
        <v>0</v>
      </c>
      <c r="EP103" t="e">
        <f>AND('PE1'!A6,"AAAAAE0+4ZE=")</f>
        <v>#VALUE!</v>
      </c>
      <c r="EQ103" t="e">
        <f>AND('PE1'!B6,"AAAAAE0+4ZI=")</f>
        <v>#VALUE!</v>
      </c>
      <c r="ER103" t="e">
        <f>AND('PE1'!#REF!,"AAAAAE0+4ZM=")</f>
        <v>#REF!</v>
      </c>
      <c r="ES103" t="e">
        <f>AND('PE1'!#REF!,"AAAAAE0+4ZQ=")</f>
        <v>#REF!</v>
      </c>
      <c r="ET103" t="e">
        <f>AND('PE1'!D6,"AAAAAE0+4ZU=")</f>
        <v>#VALUE!</v>
      </c>
      <c r="EU103" t="e">
        <f>AND('PE1'!E6,"AAAAAE0+4ZY=")</f>
        <v>#VALUE!</v>
      </c>
      <c r="EV103" t="e">
        <f>AND('PE1'!F6,"AAAAAE0+4Zc=")</f>
        <v>#VALUE!</v>
      </c>
      <c r="EW103" t="e">
        <f>AND('PE1'!G6,"AAAAAE0+4Zg=")</f>
        <v>#VALUE!</v>
      </c>
      <c r="EX103" t="e">
        <f>AND('PE1'!H6,"AAAAAE0+4Zk=")</f>
        <v>#VALUE!</v>
      </c>
      <c r="EY103" t="e">
        <f>AND('PE1'!I6,"AAAAAE0+4Zo=")</f>
        <v>#VALUE!</v>
      </c>
      <c r="EZ103" t="e">
        <f>AND('PE1'!J6,"AAAAAE0+4Zs=")</f>
        <v>#VALUE!</v>
      </c>
      <c r="FA103" t="e">
        <f>AND('PE1'!K6,"AAAAAE0+4Zw=")</f>
        <v>#VALUE!</v>
      </c>
      <c r="FB103" t="e">
        <f>AND('PE1'!L6,"AAAAAE0+4Z0=")</f>
        <v>#VALUE!</v>
      </c>
      <c r="FC103" t="e">
        <f>AND('PE1'!M6,"AAAAAE0+4Z4=")</f>
        <v>#VALUE!</v>
      </c>
      <c r="FD103" t="e">
        <f>AND('PE1'!N6,"AAAAAE0+4Z8=")</f>
        <v>#VALUE!</v>
      </c>
      <c r="FE103" t="e">
        <f>AND('PE1'!O6,"AAAAAE0+4aA=")</f>
        <v>#VALUE!</v>
      </c>
      <c r="FF103" t="e">
        <f>AND('PE1'!P6,"AAAAAE0+4aE=")</f>
        <v>#VALUE!</v>
      </c>
      <c r="FG103" t="e">
        <f>AND('PE1'!Q6,"AAAAAE0+4aI=")</f>
        <v>#VALUE!</v>
      </c>
      <c r="FH103" t="e">
        <f>AND('PE1'!R6,"AAAAAE0+4aM=")</f>
        <v>#VALUE!</v>
      </c>
      <c r="FI103" t="e">
        <f>AND('PE1'!S6,"AAAAAE0+4aQ=")</f>
        <v>#VALUE!</v>
      </c>
      <c r="FJ103" t="e">
        <f>AND('PE1'!T6,"AAAAAE0+4aU=")</f>
        <v>#VALUE!</v>
      </c>
      <c r="FK103" t="e">
        <f>AND('PE1'!U6,"AAAAAE0+4aY=")</f>
        <v>#VALUE!</v>
      </c>
      <c r="FL103" t="e">
        <f>AND('PE1'!V6,"AAAAAE0+4ac=")</f>
        <v>#VALUE!</v>
      </c>
      <c r="FM103" t="e">
        <f>AND('PE1'!W6,"AAAAAE0+4ag=")</f>
        <v>#VALUE!</v>
      </c>
      <c r="FN103" t="e">
        <f>AND('PE1'!X6,"AAAAAE0+4ak=")</f>
        <v>#VALUE!</v>
      </c>
      <c r="FO103">
        <f>IF('PE1'!7:7,"AAAAAE0+4ao=",0)</f>
        <v>0</v>
      </c>
      <c r="FP103" t="e">
        <f>AND('PE1'!A7,"AAAAAE0+4as=")</f>
        <v>#VALUE!</v>
      </c>
      <c r="FQ103" t="e">
        <f>AND('PE1'!B7,"AAAAAE0+4aw=")</f>
        <v>#VALUE!</v>
      </c>
      <c r="FR103" t="e">
        <f>AND('PE1'!#REF!,"AAAAAE0+4a0=")</f>
        <v>#REF!</v>
      </c>
      <c r="FS103" t="e">
        <f>AND('PE1'!#REF!,"AAAAAE0+4a4=")</f>
        <v>#REF!</v>
      </c>
      <c r="FT103" t="e">
        <f>AND('PE1'!D7,"AAAAAE0+4a8=")</f>
        <v>#VALUE!</v>
      </c>
      <c r="FU103" t="e">
        <f>AND('PE1'!E7,"AAAAAE0+4bA=")</f>
        <v>#VALUE!</v>
      </c>
      <c r="FV103" t="e">
        <f>AND('PE1'!F7,"AAAAAE0+4bE=")</f>
        <v>#VALUE!</v>
      </c>
      <c r="FW103" t="e">
        <f>AND('PE1'!G7,"AAAAAE0+4bI=")</f>
        <v>#VALUE!</v>
      </c>
      <c r="FX103" t="e">
        <f>AND('PE1'!H7,"AAAAAE0+4bM=")</f>
        <v>#VALUE!</v>
      </c>
      <c r="FY103" t="e">
        <f>AND('PE1'!I7,"AAAAAE0+4bQ=")</f>
        <v>#VALUE!</v>
      </c>
      <c r="FZ103" t="e">
        <f>AND('PE1'!J7,"AAAAAE0+4bU=")</f>
        <v>#VALUE!</v>
      </c>
      <c r="GA103" t="e">
        <f>AND('PE1'!K7,"AAAAAE0+4bY=")</f>
        <v>#VALUE!</v>
      </c>
      <c r="GB103" t="e">
        <f>AND('PE1'!L7,"AAAAAE0+4bc=")</f>
        <v>#VALUE!</v>
      </c>
      <c r="GC103" t="e">
        <f>AND('PE1'!M7,"AAAAAE0+4bg=")</f>
        <v>#VALUE!</v>
      </c>
      <c r="GD103" t="e">
        <f>AND('PE1'!N7,"AAAAAE0+4bk=")</f>
        <v>#VALUE!</v>
      </c>
      <c r="GE103" t="e">
        <f>AND('PE1'!O7,"AAAAAE0+4bo=")</f>
        <v>#VALUE!</v>
      </c>
      <c r="GF103" t="e">
        <f>AND('PE1'!P7,"AAAAAE0+4bs=")</f>
        <v>#VALUE!</v>
      </c>
      <c r="GG103" t="e">
        <f>AND('PE1'!Q7,"AAAAAE0+4bw=")</f>
        <v>#VALUE!</v>
      </c>
      <c r="GH103" t="e">
        <f>AND('PE1'!R7,"AAAAAE0+4b0=")</f>
        <v>#VALUE!</v>
      </c>
      <c r="GI103" t="e">
        <f>AND('PE1'!S7,"AAAAAE0+4b4=")</f>
        <v>#VALUE!</v>
      </c>
      <c r="GJ103" t="e">
        <f>AND('PE1'!T7,"AAAAAE0+4b8=")</f>
        <v>#VALUE!</v>
      </c>
      <c r="GK103" t="e">
        <f>AND('PE1'!U7,"AAAAAE0+4cA=")</f>
        <v>#VALUE!</v>
      </c>
      <c r="GL103" t="e">
        <f>AND('PE1'!V7,"AAAAAE0+4cE=")</f>
        <v>#VALUE!</v>
      </c>
      <c r="GM103" t="e">
        <f>AND('PE1'!W7,"AAAAAE0+4cI=")</f>
        <v>#VALUE!</v>
      </c>
      <c r="GN103" t="e">
        <f>AND('PE1'!X7,"AAAAAE0+4cM=")</f>
        <v>#VALUE!</v>
      </c>
      <c r="GO103">
        <f>IF('PE1'!8:8,"AAAAAE0+4cQ=",0)</f>
        <v>0</v>
      </c>
      <c r="GP103" t="e">
        <f>AND('PE1'!A8,"AAAAAE0+4cU=")</f>
        <v>#VALUE!</v>
      </c>
      <c r="GQ103" t="e">
        <f>AND('PE1'!B8,"AAAAAE0+4cY=")</f>
        <v>#VALUE!</v>
      </c>
      <c r="GR103" t="e">
        <f>AND('PE1'!#REF!,"AAAAAE0+4cc=")</f>
        <v>#REF!</v>
      </c>
      <c r="GS103" t="e">
        <f>AND('PE1'!#REF!,"AAAAAE0+4cg=")</f>
        <v>#REF!</v>
      </c>
      <c r="GT103" t="e">
        <f>AND('PE1'!D8,"AAAAAE0+4ck=")</f>
        <v>#VALUE!</v>
      </c>
      <c r="GU103" t="e">
        <f>AND('PE1'!E8,"AAAAAE0+4co=")</f>
        <v>#VALUE!</v>
      </c>
      <c r="GV103" t="e">
        <f>AND('PE1'!F8,"AAAAAE0+4cs=")</f>
        <v>#VALUE!</v>
      </c>
      <c r="GW103" t="e">
        <f>AND('PE1'!G8,"AAAAAE0+4cw=")</f>
        <v>#VALUE!</v>
      </c>
      <c r="GX103" t="e">
        <f>AND('PE1'!H8,"AAAAAE0+4c0=")</f>
        <v>#VALUE!</v>
      </c>
      <c r="GY103" t="e">
        <f>AND('PE1'!I8,"AAAAAE0+4c4=")</f>
        <v>#VALUE!</v>
      </c>
      <c r="GZ103" t="e">
        <f>AND('PE1'!J8,"AAAAAE0+4c8=")</f>
        <v>#VALUE!</v>
      </c>
      <c r="HA103" t="e">
        <f>AND('PE1'!K8,"AAAAAE0+4dA=")</f>
        <v>#VALUE!</v>
      </c>
      <c r="HB103" t="e">
        <f>AND('PE1'!L8,"AAAAAE0+4dE=")</f>
        <v>#VALUE!</v>
      </c>
      <c r="HC103" t="e">
        <f>AND('PE1'!M8,"AAAAAE0+4dI=")</f>
        <v>#VALUE!</v>
      </c>
      <c r="HD103" t="e">
        <f>AND('PE1'!N8,"AAAAAE0+4dM=")</f>
        <v>#VALUE!</v>
      </c>
      <c r="HE103" t="e">
        <f>AND('PE1'!O8,"AAAAAE0+4dQ=")</f>
        <v>#VALUE!</v>
      </c>
      <c r="HF103" t="e">
        <f>AND('PE1'!P8,"AAAAAE0+4dU=")</f>
        <v>#VALUE!</v>
      </c>
      <c r="HG103" t="e">
        <f>AND('PE1'!Q8,"AAAAAE0+4dY=")</f>
        <v>#VALUE!</v>
      </c>
      <c r="HH103" t="e">
        <f>AND('PE1'!R8,"AAAAAE0+4dc=")</f>
        <v>#VALUE!</v>
      </c>
      <c r="HI103" t="e">
        <f>AND('PE1'!S8,"AAAAAE0+4dg=")</f>
        <v>#VALUE!</v>
      </c>
      <c r="HJ103" t="e">
        <f>AND('PE1'!T8,"AAAAAE0+4dk=")</f>
        <v>#VALUE!</v>
      </c>
      <c r="HK103" t="e">
        <f>AND('PE1'!U8,"AAAAAE0+4do=")</f>
        <v>#VALUE!</v>
      </c>
      <c r="HL103" t="e">
        <f>AND('PE1'!V8,"AAAAAE0+4ds=")</f>
        <v>#VALUE!</v>
      </c>
      <c r="HM103" t="e">
        <f>AND('PE1'!W8,"AAAAAE0+4dw=")</f>
        <v>#VALUE!</v>
      </c>
      <c r="HN103" t="e">
        <f>AND('PE1'!X8,"AAAAAE0+4d0=")</f>
        <v>#VALUE!</v>
      </c>
      <c r="HO103">
        <f>IF('PE1'!9:9,"AAAAAE0+4d4=",0)</f>
        <v>0</v>
      </c>
      <c r="HP103" t="e">
        <f>AND('PE1'!A9,"AAAAAE0+4d8=")</f>
        <v>#VALUE!</v>
      </c>
      <c r="HQ103" t="e">
        <f>AND('PE1'!B9,"AAAAAE0+4eA=")</f>
        <v>#VALUE!</v>
      </c>
      <c r="HR103" t="e">
        <f>AND('PE1'!#REF!,"AAAAAE0+4eE=")</f>
        <v>#REF!</v>
      </c>
      <c r="HS103" t="e">
        <f>AND('PE1'!#REF!,"AAAAAE0+4eI=")</f>
        <v>#REF!</v>
      </c>
      <c r="HT103" t="e">
        <f>AND('PE1'!D9,"AAAAAE0+4eM=")</f>
        <v>#VALUE!</v>
      </c>
      <c r="HU103" t="e">
        <f>AND('PE1'!E9,"AAAAAE0+4eQ=")</f>
        <v>#VALUE!</v>
      </c>
      <c r="HV103" t="e">
        <f>AND('PE1'!F9,"AAAAAE0+4eU=")</f>
        <v>#VALUE!</v>
      </c>
      <c r="HW103" t="e">
        <f>AND('PE1'!G9,"AAAAAE0+4eY=")</f>
        <v>#VALUE!</v>
      </c>
      <c r="HX103" t="e">
        <f>AND('PE1'!H9,"AAAAAE0+4ec=")</f>
        <v>#VALUE!</v>
      </c>
      <c r="HY103" t="e">
        <f>AND('PE1'!I9,"AAAAAE0+4eg=")</f>
        <v>#VALUE!</v>
      </c>
      <c r="HZ103" t="e">
        <f>AND('PE1'!J9,"AAAAAE0+4ek=")</f>
        <v>#VALUE!</v>
      </c>
      <c r="IA103" t="e">
        <f>AND('PE1'!K9,"AAAAAE0+4eo=")</f>
        <v>#VALUE!</v>
      </c>
      <c r="IB103" t="e">
        <f>AND('PE1'!L9,"AAAAAE0+4es=")</f>
        <v>#VALUE!</v>
      </c>
      <c r="IC103" t="e">
        <f>AND('PE1'!M9,"AAAAAE0+4ew=")</f>
        <v>#VALUE!</v>
      </c>
      <c r="ID103" t="e">
        <f>AND('PE1'!N9,"AAAAAE0+4e0=")</f>
        <v>#VALUE!</v>
      </c>
      <c r="IE103" t="e">
        <f>AND('PE1'!O9,"AAAAAE0+4e4=")</f>
        <v>#VALUE!</v>
      </c>
      <c r="IF103" t="e">
        <f>AND('PE1'!P9,"AAAAAE0+4e8=")</f>
        <v>#VALUE!</v>
      </c>
      <c r="IG103" t="e">
        <f>AND('PE1'!Q9,"AAAAAE0+4fA=")</f>
        <v>#VALUE!</v>
      </c>
      <c r="IH103" t="e">
        <f>AND('PE1'!R9,"AAAAAE0+4fE=")</f>
        <v>#VALUE!</v>
      </c>
      <c r="II103" t="e">
        <f>AND('PE1'!S9,"AAAAAE0+4fI=")</f>
        <v>#VALUE!</v>
      </c>
      <c r="IJ103" t="e">
        <f>AND('PE1'!T9,"AAAAAE0+4fM=")</f>
        <v>#VALUE!</v>
      </c>
      <c r="IK103" t="e">
        <f>AND('PE1'!U9,"AAAAAE0+4fQ=")</f>
        <v>#VALUE!</v>
      </c>
      <c r="IL103" t="e">
        <f>AND('PE1'!V9,"AAAAAE0+4fU=")</f>
        <v>#VALUE!</v>
      </c>
      <c r="IM103" t="e">
        <f>AND('PE1'!W9,"AAAAAE0+4fY=")</f>
        <v>#VALUE!</v>
      </c>
      <c r="IN103" t="e">
        <f>AND('PE1'!X9,"AAAAAE0+4fc=")</f>
        <v>#VALUE!</v>
      </c>
      <c r="IO103">
        <f>IF('PE1'!10:10,"AAAAAE0+4fg=",0)</f>
        <v>0</v>
      </c>
      <c r="IP103" t="e">
        <f>AND('PE1'!A10,"AAAAAE0+4fk=")</f>
        <v>#VALUE!</v>
      </c>
      <c r="IQ103" t="e">
        <f>AND('PE1'!B10,"AAAAAE0+4fo=")</f>
        <v>#VALUE!</v>
      </c>
      <c r="IR103" t="e">
        <f>AND('PE1'!#REF!,"AAAAAE0+4fs=")</f>
        <v>#REF!</v>
      </c>
      <c r="IS103" t="e">
        <f>AND('PE1'!#REF!,"AAAAAE0+4fw=")</f>
        <v>#REF!</v>
      </c>
      <c r="IT103" t="e">
        <f>AND('PE1'!D10,"AAAAAE0+4f0=")</f>
        <v>#VALUE!</v>
      </c>
      <c r="IU103" t="b">
        <f>AND('PE1'!E10,"AAAAAE0+4f4=")</f>
        <v>1</v>
      </c>
      <c r="IV103" t="e">
        <f>AND('PE1'!F10,"AAAAAE0+4f8=")</f>
        <v>#VALUE!</v>
      </c>
    </row>
    <row r="104" spans="1:256" x14ac:dyDescent="0.25">
      <c r="A104" t="e">
        <f>AND('PE1'!G10,"AAAAAHftZwA=")</f>
        <v>#VALUE!</v>
      </c>
      <c r="B104" t="e">
        <f>AND('PE1'!H10,"AAAAAHftZwE=")</f>
        <v>#VALUE!</v>
      </c>
      <c r="C104" t="b">
        <f>AND('PE1'!I10,"AAAAAHftZwI=")</f>
        <v>1</v>
      </c>
      <c r="D104" t="e">
        <f>AND('PE1'!J10,"AAAAAHftZwM=")</f>
        <v>#VALUE!</v>
      </c>
      <c r="E104" t="e">
        <f>AND('PE1'!K10,"AAAAAHftZwQ=")</f>
        <v>#VALUE!</v>
      </c>
      <c r="F104" t="e">
        <f>AND('PE1'!L10,"AAAAAHftZwU=")</f>
        <v>#VALUE!</v>
      </c>
      <c r="G104" t="b">
        <f>AND('PE1'!M10,"AAAAAHftZwY=")</f>
        <v>1</v>
      </c>
      <c r="H104" t="e">
        <f>AND('PE1'!N10,"AAAAAHftZwc=")</f>
        <v>#VALUE!</v>
      </c>
      <c r="I104" t="e">
        <f>AND('PE1'!O10,"AAAAAHftZwg=")</f>
        <v>#VALUE!</v>
      </c>
      <c r="J104" t="e">
        <f>AND('PE1'!P10,"AAAAAHftZwk=")</f>
        <v>#VALUE!</v>
      </c>
      <c r="K104" t="b">
        <f>AND('PE1'!Q10,"AAAAAHftZwo=")</f>
        <v>1</v>
      </c>
      <c r="L104" t="e">
        <f>AND('PE1'!R10,"AAAAAHftZws=")</f>
        <v>#VALUE!</v>
      </c>
      <c r="M104" t="e">
        <f>AND('PE1'!S10,"AAAAAHftZww=")</f>
        <v>#VALUE!</v>
      </c>
      <c r="N104" t="e">
        <f>AND('PE1'!T10,"AAAAAHftZw0=")</f>
        <v>#VALUE!</v>
      </c>
      <c r="O104" t="b">
        <f>AND('PE1'!U10,"AAAAAHftZw4=")</f>
        <v>1</v>
      </c>
      <c r="P104" t="e">
        <f>AND('PE1'!V10,"AAAAAHftZw8=")</f>
        <v>#VALUE!</v>
      </c>
      <c r="Q104" t="e">
        <f>AND('PE1'!W10,"AAAAAHftZxA=")</f>
        <v>#VALUE!</v>
      </c>
      <c r="R104" t="e">
        <f>AND('PE1'!X10,"AAAAAHftZxE=")</f>
        <v>#VALUE!</v>
      </c>
      <c r="S104">
        <f>IF('PE1'!11:11,"AAAAAHftZxI=",0)</f>
        <v>0</v>
      </c>
      <c r="T104" t="e">
        <f>AND('PE1'!A11,"AAAAAHftZxM=")</f>
        <v>#VALUE!</v>
      </c>
      <c r="U104" t="e">
        <f>AND('PE1'!B11,"AAAAAHftZxQ=")</f>
        <v>#VALUE!</v>
      </c>
      <c r="V104" t="e">
        <f>AND('PE1'!#REF!,"AAAAAHftZxU=")</f>
        <v>#REF!</v>
      </c>
      <c r="W104" t="e">
        <f>AND('PE1'!#REF!,"AAAAAHftZxY=")</f>
        <v>#REF!</v>
      </c>
      <c r="X104" t="e">
        <f>AND('PE1'!D11,"AAAAAHftZxc=")</f>
        <v>#VALUE!</v>
      </c>
      <c r="Y104" t="b">
        <f>AND('PE1'!E11,"AAAAAHftZxg=")</f>
        <v>1</v>
      </c>
      <c r="Z104" t="e">
        <f>AND('PE1'!F11,"AAAAAHftZxk=")</f>
        <v>#VALUE!</v>
      </c>
      <c r="AA104" t="e">
        <f>AND('PE1'!G11,"AAAAAHftZxo=")</f>
        <v>#VALUE!</v>
      </c>
      <c r="AB104" t="e">
        <f>AND('PE1'!H11,"AAAAAHftZxs=")</f>
        <v>#VALUE!</v>
      </c>
      <c r="AC104" t="b">
        <f>AND('PE1'!I11,"AAAAAHftZxw=")</f>
        <v>1</v>
      </c>
      <c r="AD104" t="e">
        <f>AND('PE1'!J11,"AAAAAHftZx0=")</f>
        <v>#VALUE!</v>
      </c>
      <c r="AE104" t="e">
        <f>AND('PE1'!K11,"AAAAAHftZx4=")</f>
        <v>#VALUE!</v>
      </c>
      <c r="AF104" t="e">
        <f>AND('PE1'!L11,"AAAAAHftZx8=")</f>
        <v>#VALUE!</v>
      </c>
      <c r="AG104" t="b">
        <f>AND('PE1'!M11,"AAAAAHftZyA=")</f>
        <v>1</v>
      </c>
      <c r="AH104" t="e">
        <f>AND('PE1'!N11,"AAAAAHftZyE=")</f>
        <v>#VALUE!</v>
      </c>
      <c r="AI104" t="e">
        <f>AND('PE1'!O11,"AAAAAHftZyI=")</f>
        <v>#VALUE!</v>
      </c>
      <c r="AJ104" t="e">
        <f>AND('PE1'!P11,"AAAAAHftZyM=")</f>
        <v>#VALUE!</v>
      </c>
      <c r="AK104" t="b">
        <f>AND('PE1'!Q11,"AAAAAHftZyQ=")</f>
        <v>1</v>
      </c>
      <c r="AL104" t="e">
        <f>AND('PE1'!R11,"AAAAAHftZyU=")</f>
        <v>#VALUE!</v>
      </c>
      <c r="AM104" t="e">
        <f>AND('PE1'!S11,"AAAAAHftZyY=")</f>
        <v>#VALUE!</v>
      </c>
      <c r="AN104" t="e">
        <f>AND('PE1'!T11,"AAAAAHftZyc=")</f>
        <v>#VALUE!</v>
      </c>
      <c r="AO104" t="b">
        <f>AND('PE1'!U11,"AAAAAHftZyg=")</f>
        <v>1</v>
      </c>
      <c r="AP104" t="e">
        <f>AND('PE1'!V11,"AAAAAHftZyk=")</f>
        <v>#VALUE!</v>
      </c>
      <c r="AQ104" t="e">
        <f>AND('PE1'!W11,"AAAAAHftZyo=")</f>
        <v>#VALUE!</v>
      </c>
      <c r="AR104" t="e">
        <f>AND('PE1'!X11,"AAAAAHftZys=")</f>
        <v>#VALUE!</v>
      </c>
      <c r="AS104">
        <f>IF('PE1'!12:12,"AAAAAHftZyw=",0)</f>
        <v>0</v>
      </c>
      <c r="AT104" t="e">
        <f>AND('PE1'!A12,"AAAAAHftZy0=")</f>
        <v>#VALUE!</v>
      </c>
      <c r="AU104" t="e">
        <f>AND('PE1'!B12,"AAAAAHftZy4=")</f>
        <v>#VALUE!</v>
      </c>
      <c r="AV104" t="e">
        <f>AND('PE1'!#REF!,"AAAAAHftZy8=")</f>
        <v>#REF!</v>
      </c>
      <c r="AW104" t="e">
        <f>AND('PE1'!#REF!,"AAAAAHftZzA=")</f>
        <v>#REF!</v>
      </c>
      <c r="AX104" t="e">
        <f>AND('PE1'!D12,"AAAAAHftZzE=")</f>
        <v>#VALUE!</v>
      </c>
      <c r="AY104" t="e">
        <f>AND('PE1'!E12,"AAAAAHftZzI=")</f>
        <v>#VALUE!</v>
      </c>
      <c r="AZ104" t="e">
        <f>AND('PE1'!F12,"AAAAAHftZzM=")</f>
        <v>#VALUE!</v>
      </c>
      <c r="BA104" t="e">
        <f>AND('PE1'!G12,"AAAAAHftZzQ=")</f>
        <v>#VALUE!</v>
      </c>
      <c r="BB104" t="e">
        <f>AND('PE1'!H12,"AAAAAHftZzU=")</f>
        <v>#VALUE!</v>
      </c>
      <c r="BC104" t="e">
        <f>AND('PE1'!I12,"AAAAAHftZzY=")</f>
        <v>#VALUE!</v>
      </c>
      <c r="BD104" t="e">
        <f>AND('PE1'!J12,"AAAAAHftZzc=")</f>
        <v>#VALUE!</v>
      </c>
      <c r="BE104" t="e">
        <f>AND('PE1'!K12,"AAAAAHftZzg=")</f>
        <v>#VALUE!</v>
      </c>
      <c r="BF104" t="e">
        <f>AND('PE1'!L12,"AAAAAHftZzk=")</f>
        <v>#VALUE!</v>
      </c>
      <c r="BG104" t="e">
        <f>AND('PE1'!M12,"AAAAAHftZzo=")</f>
        <v>#VALUE!</v>
      </c>
      <c r="BH104" t="e">
        <f>AND('PE1'!N12,"AAAAAHftZzs=")</f>
        <v>#VALUE!</v>
      </c>
      <c r="BI104" t="e">
        <f>AND('PE1'!O12,"AAAAAHftZzw=")</f>
        <v>#VALUE!</v>
      </c>
      <c r="BJ104" t="e">
        <f>AND('PE1'!P12,"AAAAAHftZz0=")</f>
        <v>#VALUE!</v>
      </c>
      <c r="BK104" t="e">
        <f>AND('PE1'!Q12,"AAAAAHftZz4=")</f>
        <v>#VALUE!</v>
      </c>
      <c r="BL104" t="e">
        <f>AND('PE1'!R12,"AAAAAHftZz8=")</f>
        <v>#VALUE!</v>
      </c>
      <c r="BM104" t="e">
        <f>AND('PE1'!S12,"AAAAAHftZ0A=")</f>
        <v>#VALUE!</v>
      </c>
      <c r="BN104" t="e">
        <f>AND('PE1'!T12,"AAAAAHftZ0E=")</f>
        <v>#VALUE!</v>
      </c>
      <c r="BO104" t="e">
        <f>AND('PE1'!U12,"AAAAAHftZ0I=")</f>
        <v>#VALUE!</v>
      </c>
      <c r="BP104" t="e">
        <f>AND('PE1'!V12,"AAAAAHftZ0M=")</f>
        <v>#VALUE!</v>
      </c>
      <c r="BQ104" t="e">
        <f>AND('PE1'!W12,"AAAAAHftZ0Q=")</f>
        <v>#VALUE!</v>
      </c>
      <c r="BR104" t="e">
        <f>AND('PE1'!X12,"AAAAAHftZ0U=")</f>
        <v>#VALUE!</v>
      </c>
      <c r="BS104">
        <f>IF('PE1'!13:13,"AAAAAHftZ0Y=",0)</f>
        <v>0</v>
      </c>
      <c r="BT104" t="e">
        <f>AND('PE1'!A13,"AAAAAHftZ0c=")</f>
        <v>#VALUE!</v>
      </c>
      <c r="BU104" t="e">
        <f>AND('PE1'!B13,"AAAAAHftZ0g=")</f>
        <v>#VALUE!</v>
      </c>
      <c r="BV104" t="e">
        <f>AND('PE1'!#REF!,"AAAAAHftZ0k=")</f>
        <v>#REF!</v>
      </c>
      <c r="BW104" t="e">
        <f>AND('PE1'!#REF!,"AAAAAHftZ0o=")</f>
        <v>#REF!</v>
      </c>
      <c r="BX104" t="e">
        <f>AND('PE1'!D13,"AAAAAHftZ0s=")</f>
        <v>#VALUE!</v>
      </c>
      <c r="BY104" t="b">
        <f>AND('PE1'!E13,"AAAAAHftZ0w=")</f>
        <v>1</v>
      </c>
      <c r="BZ104" t="e">
        <f>AND('PE1'!F13,"AAAAAHftZ00=")</f>
        <v>#VALUE!</v>
      </c>
      <c r="CA104" t="e">
        <f>AND('PE1'!G13,"AAAAAHftZ04=")</f>
        <v>#VALUE!</v>
      </c>
      <c r="CB104" t="e">
        <f>AND('PE1'!H13,"AAAAAHftZ08=")</f>
        <v>#VALUE!</v>
      </c>
      <c r="CC104" t="b">
        <f>AND('PE1'!I13,"AAAAAHftZ1A=")</f>
        <v>1</v>
      </c>
      <c r="CD104" t="e">
        <f>AND('PE1'!J13,"AAAAAHftZ1E=")</f>
        <v>#VALUE!</v>
      </c>
      <c r="CE104" t="e">
        <f>AND('PE1'!K13,"AAAAAHftZ1I=")</f>
        <v>#VALUE!</v>
      </c>
      <c r="CF104" t="e">
        <f>AND('PE1'!L13,"AAAAAHftZ1M=")</f>
        <v>#VALUE!</v>
      </c>
      <c r="CG104" t="b">
        <f>AND('PE1'!M13,"AAAAAHftZ1Q=")</f>
        <v>0</v>
      </c>
      <c r="CH104" t="e">
        <f>AND('PE1'!N13,"AAAAAHftZ1U=")</f>
        <v>#VALUE!</v>
      </c>
      <c r="CI104" t="e">
        <f>AND('PE1'!O13,"AAAAAHftZ1Y=")</f>
        <v>#VALUE!</v>
      </c>
      <c r="CJ104" t="e">
        <f>AND('PE1'!P13,"AAAAAHftZ1c=")</f>
        <v>#VALUE!</v>
      </c>
      <c r="CK104" t="b">
        <f>AND('PE1'!Q13,"AAAAAHftZ1g=")</f>
        <v>1</v>
      </c>
      <c r="CL104" t="e">
        <f>AND('PE1'!R13,"AAAAAHftZ1k=")</f>
        <v>#VALUE!</v>
      </c>
      <c r="CM104" t="e">
        <f>AND('PE1'!S13,"AAAAAHftZ1o=")</f>
        <v>#VALUE!</v>
      </c>
      <c r="CN104" t="e">
        <f>AND('PE1'!T13,"AAAAAHftZ1s=")</f>
        <v>#VALUE!</v>
      </c>
      <c r="CO104" t="b">
        <f>AND('PE1'!U13,"AAAAAHftZ1w=")</f>
        <v>1</v>
      </c>
      <c r="CP104" t="e">
        <f>AND('PE1'!V13,"AAAAAHftZ10=")</f>
        <v>#VALUE!</v>
      </c>
      <c r="CQ104" t="e">
        <f>AND('PE1'!W13,"AAAAAHftZ14=")</f>
        <v>#VALUE!</v>
      </c>
      <c r="CR104" t="e">
        <f>AND('PE1'!X13,"AAAAAHftZ18=")</f>
        <v>#VALUE!</v>
      </c>
      <c r="CS104">
        <f>IF('PE1'!14:14,"AAAAAHftZ2A=",0)</f>
        <v>0</v>
      </c>
      <c r="CT104" t="e">
        <f>AND('PE1'!A14,"AAAAAHftZ2E=")</f>
        <v>#VALUE!</v>
      </c>
      <c r="CU104" t="e">
        <f>AND('PE1'!B14,"AAAAAHftZ2I=")</f>
        <v>#VALUE!</v>
      </c>
      <c r="CV104" t="e">
        <f>AND('PE1'!#REF!,"AAAAAHftZ2M=")</f>
        <v>#REF!</v>
      </c>
      <c r="CW104" t="e">
        <f>AND('PE1'!#REF!,"AAAAAHftZ2Q=")</f>
        <v>#REF!</v>
      </c>
      <c r="CX104" t="e">
        <f>AND('PE1'!D14,"AAAAAHftZ2U=")</f>
        <v>#VALUE!</v>
      </c>
      <c r="CY104" t="b">
        <f>AND('PE1'!E14,"AAAAAHftZ2Y=")</f>
        <v>1</v>
      </c>
      <c r="CZ104" t="e">
        <f>AND('PE1'!F14,"AAAAAHftZ2c=")</f>
        <v>#VALUE!</v>
      </c>
      <c r="DA104" t="e">
        <f>AND('PE1'!G14,"AAAAAHftZ2g=")</f>
        <v>#VALUE!</v>
      </c>
      <c r="DB104" t="e">
        <f>AND('PE1'!H14,"AAAAAHftZ2k=")</f>
        <v>#VALUE!</v>
      </c>
      <c r="DC104" t="b">
        <f>AND('PE1'!I14,"AAAAAHftZ2o=")</f>
        <v>1</v>
      </c>
      <c r="DD104" t="e">
        <f>AND('PE1'!J14,"AAAAAHftZ2s=")</f>
        <v>#VALUE!</v>
      </c>
      <c r="DE104" t="e">
        <f>AND('PE1'!K14,"AAAAAHftZ2w=")</f>
        <v>#VALUE!</v>
      </c>
      <c r="DF104" t="e">
        <f>AND('PE1'!L14,"AAAAAHftZ20=")</f>
        <v>#VALUE!</v>
      </c>
      <c r="DG104" t="b">
        <f>AND('PE1'!M14,"AAAAAHftZ24=")</f>
        <v>1</v>
      </c>
      <c r="DH104" t="e">
        <f>AND('PE1'!N14,"AAAAAHftZ28=")</f>
        <v>#VALUE!</v>
      </c>
      <c r="DI104" t="e">
        <f>AND('PE1'!O14,"AAAAAHftZ3A=")</f>
        <v>#VALUE!</v>
      </c>
      <c r="DJ104" t="e">
        <f>AND('PE1'!P14,"AAAAAHftZ3E=")</f>
        <v>#VALUE!</v>
      </c>
      <c r="DK104" t="b">
        <f>AND('PE1'!Q14,"AAAAAHftZ3I=")</f>
        <v>1</v>
      </c>
      <c r="DL104" t="e">
        <f>AND('PE1'!R14,"AAAAAHftZ3M=")</f>
        <v>#VALUE!</v>
      </c>
      <c r="DM104" t="e">
        <f>AND('PE1'!S14,"AAAAAHftZ3Q=")</f>
        <v>#VALUE!</v>
      </c>
      <c r="DN104" t="e">
        <f>AND('PE1'!T14,"AAAAAHftZ3U=")</f>
        <v>#VALUE!</v>
      </c>
      <c r="DO104" t="b">
        <f>AND('PE1'!U14,"AAAAAHftZ3Y=")</f>
        <v>1</v>
      </c>
      <c r="DP104" t="e">
        <f>AND('PE1'!V14,"AAAAAHftZ3c=")</f>
        <v>#VALUE!</v>
      </c>
      <c r="DQ104" t="e">
        <f>AND('PE1'!W14,"AAAAAHftZ3g=")</f>
        <v>#VALUE!</v>
      </c>
      <c r="DR104" t="e">
        <f>AND('PE1'!X14,"AAAAAHftZ3k=")</f>
        <v>#VALUE!</v>
      </c>
      <c r="DS104">
        <f>IF('PE1'!15:15,"AAAAAHftZ3o=",0)</f>
        <v>0</v>
      </c>
      <c r="DT104" t="e">
        <f>AND('PE1'!A15,"AAAAAHftZ3s=")</f>
        <v>#VALUE!</v>
      </c>
      <c r="DU104" t="e">
        <f>AND('PE1'!B15,"AAAAAHftZ3w=")</f>
        <v>#VALUE!</v>
      </c>
      <c r="DV104" t="e">
        <f>AND('PE1'!#REF!,"AAAAAHftZ30=")</f>
        <v>#REF!</v>
      </c>
      <c r="DW104" t="e">
        <f>AND('PE1'!#REF!,"AAAAAHftZ34=")</f>
        <v>#REF!</v>
      </c>
      <c r="DX104" t="e">
        <f>AND('PE1'!D15,"AAAAAHftZ38=")</f>
        <v>#VALUE!</v>
      </c>
      <c r="DY104" t="b">
        <f>AND('PE1'!E15,"AAAAAHftZ4A=")</f>
        <v>1</v>
      </c>
      <c r="DZ104" t="e">
        <f>AND('PE1'!F15,"AAAAAHftZ4E=")</f>
        <v>#VALUE!</v>
      </c>
      <c r="EA104" t="e">
        <f>AND('PE1'!G15,"AAAAAHftZ4I=")</f>
        <v>#VALUE!</v>
      </c>
      <c r="EB104" t="e">
        <f>AND('PE1'!H15,"AAAAAHftZ4M=")</f>
        <v>#VALUE!</v>
      </c>
      <c r="EC104" t="b">
        <f>AND('PE1'!I15,"AAAAAHftZ4Q=")</f>
        <v>1</v>
      </c>
      <c r="ED104" t="e">
        <f>AND('PE1'!J15,"AAAAAHftZ4U=")</f>
        <v>#VALUE!</v>
      </c>
      <c r="EE104" t="e">
        <f>AND('PE1'!K15,"AAAAAHftZ4Y=")</f>
        <v>#VALUE!</v>
      </c>
      <c r="EF104" t="e">
        <f>AND('PE1'!L15,"AAAAAHftZ4c=")</f>
        <v>#VALUE!</v>
      </c>
      <c r="EG104" t="b">
        <f>AND('PE1'!M15,"AAAAAHftZ4g=")</f>
        <v>1</v>
      </c>
      <c r="EH104" t="e">
        <f>AND('PE1'!N15,"AAAAAHftZ4k=")</f>
        <v>#VALUE!</v>
      </c>
      <c r="EI104" t="e">
        <f>AND('PE1'!O15,"AAAAAHftZ4o=")</f>
        <v>#VALUE!</v>
      </c>
      <c r="EJ104" t="e">
        <f>AND('PE1'!P15,"AAAAAHftZ4s=")</f>
        <v>#VALUE!</v>
      </c>
      <c r="EK104" t="b">
        <f>AND('PE1'!Q15,"AAAAAHftZ4w=")</f>
        <v>1</v>
      </c>
      <c r="EL104" t="e">
        <f>AND('PE1'!R15,"AAAAAHftZ40=")</f>
        <v>#VALUE!</v>
      </c>
      <c r="EM104" t="e">
        <f>AND('PE1'!S15,"AAAAAHftZ44=")</f>
        <v>#VALUE!</v>
      </c>
      <c r="EN104" t="e">
        <f>AND('PE1'!T15,"AAAAAHftZ48=")</f>
        <v>#VALUE!</v>
      </c>
      <c r="EO104" t="b">
        <f>AND('PE1'!U15,"AAAAAHftZ5A=")</f>
        <v>1</v>
      </c>
      <c r="EP104" t="e">
        <f>AND('PE1'!V15,"AAAAAHftZ5E=")</f>
        <v>#VALUE!</v>
      </c>
      <c r="EQ104" t="e">
        <f>AND('PE1'!W15,"AAAAAHftZ5I=")</f>
        <v>#VALUE!</v>
      </c>
      <c r="ER104" t="e">
        <f>AND('PE1'!X15,"AAAAAHftZ5M=")</f>
        <v>#VALUE!</v>
      </c>
      <c r="ES104">
        <f>IF('PE1'!16:16,"AAAAAHftZ5Q=",0)</f>
        <v>0</v>
      </c>
      <c r="ET104" t="e">
        <f>AND('PE1'!A16,"AAAAAHftZ5U=")</f>
        <v>#VALUE!</v>
      </c>
      <c r="EU104" t="e">
        <f>AND('PE1'!B16,"AAAAAHftZ5Y=")</f>
        <v>#VALUE!</v>
      </c>
      <c r="EV104" t="e">
        <f>AND('PE1'!#REF!,"AAAAAHftZ5c=")</f>
        <v>#REF!</v>
      </c>
      <c r="EW104" t="e">
        <f>AND('PE1'!#REF!,"AAAAAHftZ5g=")</f>
        <v>#REF!</v>
      </c>
      <c r="EX104" t="e">
        <f>AND('PE1'!D16,"AAAAAHftZ5k=")</f>
        <v>#VALUE!</v>
      </c>
      <c r="EY104" t="b">
        <f>AND('PE1'!E16,"AAAAAHftZ5o=")</f>
        <v>1</v>
      </c>
      <c r="EZ104" t="e">
        <f>AND('PE1'!F16,"AAAAAHftZ5s=")</f>
        <v>#VALUE!</v>
      </c>
      <c r="FA104" t="e">
        <f>AND('PE1'!G16,"AAAAAHftZ5w=")</f>
        <v>#VALUE!</v>
      </c>
      <c r="FB104" t="e">
        <f>AND('PE1'!H16,"AAAAAHftZ50=")</f>
        <v>#VALUE!</v>
      </c>
      <c r="FC104" t="b">
        <f>AND('PE1'!I16,"AAAAAHftZ54=")</f>
        <v>1</v>
      </c>
      <c r="FD104" t="e">
        <f>AND('PE1'!J16,"AAAAAHftZ58=")</f>
        <v>#VALUE!</v>
      </c>
      <c r="FE104" t="e">
        <f>AND('PE1'!K16,"AAAAAHftZ6A=")</f>
        <v>#VALUE!</v>
      </c>
      <c r="FF104" t="e">
        <f>AND('PE1'!L16,"AAAAAHftZ6E=")</f>
        <v>#VALUE!</v>
      </c>
      <c r="FG104" t="b">
        <f>AND('PE1'!M16,"AAAAAHftZ6I=")</f>
        <v>1</v>
      </c>
      <c r="FH104" t="e">
        <f>AND('PE1'!N16,"AAAAAHftZ6M=")</f>
        <v>#VALUE!</v>
      </c>
      <c r="FI104" t="e">
        <f>AND('PE1'!O16,"AAAAAHftZ6Q=")</f>
        <v>#VALUE!</v>
      </c>
      <c r="FJ104" t="e">
        <f>AND('PE1'!P16,"AAAAAHftZ6U=")</f>
        <v>#VALUE!</v>
      </c>
      <c r="FK104" t="b">
        <f>AND('PE1'!Q16,"AAAAAHftZ6Y=")</f>
        <v>1</v>
      </c>
      <c r="FL104" t="e">
        <f>AND('PE1'!R16,"AAAAAHftZ6c=")</f>
        <v>#VALUE!</v>
      </c>
      <c r="FM104" t="e">
        <f>AND('PE1'!S16,"AAAAAHftZ6g=")</f>
        <v>#VALUE!</v>
      </c>
      <c r="FN104" t="e">
        <f>AND('PE1'!T16,"AAAAAHftZ6k=")</f>
        <v>#VALUE!</v>
      </c>
      <c r="FO104" t="b">
        <f>AND('PE1'!U16,"AAAAAHftZ6o=")</f>
        <v>1</v>
      </c>
      <c r="FP104" t="e">
        <f>AND('PE1'!V16,"AAAAAHftZ6s=")</f>
        <v>#VALUE!</v>
      </c>
      <c r="FQ104" t="e">
        <f>AND('PE1'!W16,"AAAAAHftZ6w=")</f>
        <v>#VALUE!</v>
      </c>
      <c r="FR104" t="e">
        <f>AND('PE1'!X16,"AAAAAHftZ60=")</f>
        <v>#VALUE!</v>
      </c>
      <c r="FS104">
        <f>IF('PE1'!17:17,"AAAAAHftZ64=",0)</f>
        <v>0</v>
      </c>
      <c r="FT104" t="e">
        <f>AND('PE1'!A17,"AAAAAHftZ68=")</f>
        <v>#VALUE!</v>
      </c>
      <c r="FU104" t="e">
        <f>AND('PE1'!B17,"AAAAAHftZ7A=")</f>
        <v>#VALUE!</v>
      </c>
      <c r="FV104" t="e">
        <f>AND('PE1'!#REF!,"AAAAAHftZ7E=")</f>
        <v>#REF!</v>
      </c>
      <c r="FW104" t="e">
        <f>AND('PE1'!#REF!,"AAAAAHftZ7I=")</f>
        <v>#REF!</v>
      </c>
      <c r="FX104" t="e">
        <f>AND('PE1'!D17,"AAAAAHftZ7M=")</f>
        <v>#VALUE!</v>
      </c>
      <c r="FY104" t="b">
        <f>AND('PE1'!E17,"AAAAAHftZ7Q=")</f>
        <v>0</v>
      </c>
      <c r="FZ104" t="e">
        <f>AND('PE1'!F17,"AAAAAHftZ7U=")</f>
        <v>#VALUE!</v>
      </c>
      <c r="GA104" t="e">
        <f>AND('PE1'!G17,"AAAAAHftZ7Y=")</f>
        <v>#VALUE!</v>
      </c>
      <c r="GB104" t="e">
        <f>AND('PE1'!H17,"AAAAAHftZ7c=")</f>
        <v>#VALUE!</v>
      </c>
      <c r="GC104" t="b">
        <f>AND('PE1'!I17,"AAAAAHftZ7g=")</f>
        <v>1</v>
      </c>
      <c r="GD104" t="e">
        <f>AND('PE1'!J17,"AAAAAHftZ7k=")</f>
        <v>#VALUE!</v>
      </c>
      <c r="GE104" t="e">
        <f>AND('PE1'!K17,"AAAAAHftZ7o=")</f>
        <v>#VALUE!</v>
      </c>
      <c r="GF104" t="e">
        <f>AND('PE1'!L17,"AAAAAHftZ7s=")</f>
        <v>#VALUE!</v>
      </c>
      <c r="GG104" t="b">
        <f>AND('PE1'!M17,"AAAAAHftZ7w=")</f>
        <v>0</v>
      </c>
      <c r="GH104" t="e">
        <f>AND('PE1'!N17,"AAAAAHftZ70=")</f>
        <v>#VALUE!</v>
      </c>
      <c r="GI104" t="e">
        <f>AND('PE1'!O17,"AAAAAHftZ74=")</f>
        <v>#VALUE!</v>
      </c>
      <c r="GJ104" t="e">
        <f>AND('PE1'!P17,"AAAAAHftZ78=")</f>
        <v>#VALUE!</v>
      </c>
      <c r="GK104" t="b">
        <f>AND('PE1'!Q17,"AAAAAHftZ8A=")</f>
        <v>1</v>
      </c>
      <c r="GL104" t="e">
        <f>AND('PE1'!R17,"AAAAAHftZ8E=")</f>
        <v>#VALUE!</v>
      </c>
      <c r="GM104" t="e">
        <f>AND('PE1'!S17,"AAAAAHftZ8I=")</f>
        <v>#VALUE!</v>
      </c>
      <c r="GN104" t="e">
        <f>AND('PE1'!T17,"AAAAAHftZ8M=")</f>
        <v>#VALUE!</v>
      </c>
      <c r="GO104" t="b">
        <f>AND('PE1'!U17,"AAAAAHftZ8Q=")</f>
        <v>1</v>
      </c>
      <c r="GP104" t="e">
        <f>AND('PE1'!V17,"AAAAAHftZ8U=")</f>
        <v>#VALUE!</v>
      </c>
      <c r="GQ104" t="e">
        <f>AND('PE1'!W17,"AAAAAHftZ8Y=")</f>
        <v>#VALUE!</v>
      </c>
      <c r="GR104" t="e">
        <f>AND('PE1'!X17,"AAAAAHftZ8c=")</f>
        <v>#VALUE!</v>
      </c>
      <c r="GS104">
        <f>IF('PE1'!18:18,"AAAAAHftZ8g=",0)</f>
        <v>0</v>
      </c>
      <c r="GT104" t="e">
        <f>AND('PE1'!A18,"AAAAAHftZ8k=")</f>
        <v>#VALUE!</v>
      </c>
      <c r="GU104" t="e">
        <f>AND('PE1'!B18,"AAAAAHftZ8o=")</f>
        <v>#VALUE!</v>
      </c>
      <c r="GV104" t="e">
        <f>AND('PE1'!#REF!,"AAAAAHftZ8s=")</f>
        <v>#REF!</v>
      </c>
      <c r="GW104" t="e">
        <f>AND('PE1'!#REF!,"AAAAAHftZ8w=")</f>
        <v>#REF!</v>
      </c>
      <c r="GX104" t="e">
        <f>AND('PE1'!D18,"AAAAAHftZ80=")</f>
        <v>#VALUE!</v>
      </c>
      <c r="GY104" t="b">
        <f>AND('PE1'!E18,"AAAAAHftZ84=")</f>
        <v>1</v>
      </c>
      <c r="GZ104" t="e">
        <f>AND('PE1'!F18,"AAAAAHftZ88=")</f>
        <v>#VALUE!</v>
      </c>
      <c r="HA104" t="e">
        <f>AND('PE1'!G18,"AAAAAHftZ9A=")</f>
        <v>#VALUE!</v>
      </c>
      <c r="HB104" t="e">
        <f>AND('PE1'!H18,"AAAAAHftZ9E=")</f>
        <v>#VALUE!</v>
      </c>
      <c r="HC104" t="b">
        <f>AND('PE1'!I18,"AAAAAHftZ9I=")</f>
        <v>1</v>
      </c>
      <c r="HD104" t="e">
        <f>AND('PE1'!J18,"AAAAAHftZ9M=")</f>
        <v>#VALUE!</v>
      </c>
      <c r="HE104" t="e">
        <f>AND('PE1'!K18,"AAAAAHftZ9Q=")</f>
        <v>#VALUE!</v>
      </c>
      <c r="HF104" t="e">
        <f>AND('PE1'!L18,"AAAAAHftZ9U=")</f>
        <v>#VALUE!</v>
      </c>
      <c r="HG104" t="b">
        <f>AND('PE1'!M18,"AAAAAHftZ9Y=")</f>
        <v>1</v>
      </c>
      <c r="HH104" t="e">
        <f>AND('PE1'!N18,"AAAAAHftZ9c=")</f>
        <v>#VALUE!</v>
      </c>
      <c r="HI104" t="e">
        <f>AND('PE1'!O18,"AAAAAHftZ9g=")</f>
        <v>#VALUE!</v>
      </c>
      <c r="HJ104" t="e">
        <f>AND('PE1'!P18,"AAAAAHftZ9k=")</f>
        <v>#VALUE!</v>
      </c>
      <c r="HK104" t="b">
        <f>AND('PE1'!Q18,"AAAAAHftZ9o=")</f>
        <v>1</v>
      </c>
      <c r="HL104" t="e">
        <f>AND('PE1'!R18,"AAAAAHftZ9s=")</f>
        <v>#VALUE!</v>
      </c>
      <c r="HM104" t="e">
        <f>AND('PE1'!S18,"AAAAAHftZ9w=")</f>
        <v>#VALUE!</v>
      </c>
      <c r="HN104" t="e">
        <f>AND('PE1'!T18,"AAAAAHftZ90=")</f>
        <v>#VALUE!</v>
      </c>
      <c r="HO104" t="b">
        <f>AND('PE1'!U18,"AAAAAHftZ94=")</f>
        <v>1</v>
      </c>
      <c r="HP104" t="e">
        <f>AND('PE1'!V18,"AAAAAHftZ98=")</f>
        <v>#VALUE!</v>
      </c>
      <c r="HQ104" t="e">
        <f>AND('PE1'!W18,"AAAAAHftZ+A=")</f>
        <v>#VALUE!</v>
      </c>
      <c r="HR104" t="e">
        <f>AND('PE1'!X18,"AAAAAHftZ+E=")</f>
        <v>#VALUE!</v>
      </c>
      <c r="HS104">
        <f>IF('PE1'!19:19,"AAAAAHftZ+I=",0)</f>
        <v>0</v>
      </c>
      <c r="HT104" t="e">
        <f>AND('PE1'!A19,"AAAAAHftZ+M=")</f>
        <v>#VALUE!</v>
      </c>
      <c r="HU104" t="e">
        <f>AND('PE1'!B19,"AAAAAHftZ+Q=")</f>
        <v>#VALUE!</v>
      </c>
      <c r="HV104" t="e">
        <f>AND('PE1'!#REF!,"AAAAAHftZ+U=")</f>
        <v>#REF!</v>
      </c>
      <c r="HW104" t="e">
        <f>AND('PE1'!#REF!,"AAAAAHftZ+Y=")</f>
        <v>#REF!</v>
      </c>
      <c r="HX104" t="e">
        <f>AND('PE1'!D19,"AAAAAHftZ+c=")</f>
        <v>#VALUE!</v>
      </c>
      <c r="HY104" t="b">
        <f>AND('PE1'!E19,"AAAAAHftZ+g=")</f>
        <v>1</v>
      </c>
      <c r="HZ104" t="e">
        <f>AND('PE1'!F19,"AAAAAHftZ+k=")</f>
        <v>#VALUE!</v>
      </c>
      <c r="IA104" t="e">
        <f>AND('PE1'!G19,"AAAAAHftZ+o=")</f>
        <v>#VALUE!</v>
      </c>
      <c r="IB104" t="e">
        <f>AND('PE1'!H19,"AAAAAHftZ+s=")</f>
        <v>#VALUE!</v>
      </c>
      <c r="IC104" t="b">
        <f>AND('PE1'!I19,"AAAAAHftZ+w=")</f>
        <v>1</v>
      </c>
      <c r="ID104" t="e">
        <f>AND('PE1'!J19,"AAAAAHftZ+0=")</f>
        <v>#VALUE!</v>
      </c>
      <c r="IE104" t="e">
        <f>AND('PE1'!K19,"AAAAAHftZ+4=")</f>
        <v>#VALUE!</v>
      </c>
      <c r="IF104" t="e">
        <f>AND('PE1'!L19,"AAAAAHftZ+8=")</f>
        <v>#VALUE!</v>
      </c>
      <c r="IG104" t="b">
        <f>AND('PE1'!M19,"AAAAAHftZ/A=")</f>
        <v>1</v>
      </c>
      <c r="IH104" t="e">
        <f>AND('PE1'!N19,"AAAAAHftZ/E=")</f>
        <v>#VALUE!</v>
      </c>
      <c r="II104" t="e">
        <f>AND('PE1'!O19,"AAAAAHftZ/I=")</f>
        <v>#VALUE!</v>
      </c>
      <c r="IJ104" t="e">
        <f>AND('PE1'!P19,"AAAAAHftZ/M=")</f>
        <v>#VALUE!</v>
      </c>
      <c r="IK104" t="b">
        <f>AND('PE1'!Q19,"AAAAAHftZ/Q=")</f>
        <v>1</v>
      </c>
      <c r="IL104" t="e">
        <f>AND('PE1'!R19,"AAAAAHftZ/U=")</f>
        <v>#VALUE!</v>
      </c>
      <c r="IM104" t="e">
        <f>AND('PE1'!S19,"AAAAAHftZ/Y=")</f>
        <v>#VALUE!</v>
      </c>
      <c r="IN104" t="e">
        <f>AND('PE1'!T19,"AAAAAHftZ/c=")</f>
        <v>#VALUE!</v>
      </c>
      <c r="IO104" t="b">
        <f>AND('PE1'!U19,"AAAAAHftZ/g=")</f>
        <v>1</v>
      </c>
      <c r="IP104" t="e">
        <f>AND('PE1'!V19,"AAAAAHftZ/k=")</f>
        <v>#VALUE!</v>
      </c>
      <c r="IQ104" t="e">
        <f>AND('PE1'!W19,"AAAAAHftZ/o=")</f>
        <v>#VALUE!</v>
      </c>
      <c r="IR104" t="e">
        <f>AND('PE1'!X19,"AAAAAHftZ/s=")</f>
        <v>#VALUE!</v>
      </c>
      <c r="IS104">
        <f>IF('PE1'!20:20,"AAAAAHftZ/w=",0)</f>
        <v>0</v>
      </c>
      <c r="IT104" t="e">
        <f>AND('PE1'!A20,"AAAAAHftZ/0=")</f>
        <v>#VALUE!</v>
      </c>
      <c r="IU104" t="e">
        <f>AND('PE1'!B20,"AAAAAHftZ/4=")</f>
        <v>#VALUE!</v>
      </c>
      <c r="IV104" t="e">
        <f>AND('PE1'!#REF!,"AAAAAHftZ/8=")</f>
        <v>#REF!</v>
      </c>
    </row>
    <row r="105" spans="1:256" x14ac:dyDescent="0.25">
      <c r="A105" t="e">
        <f>AND('PE1'!#REF!,"AAAAAHf/6wA=")</f>
        <v>#REF!</v>
      </c>
      <c r="B105" t="e">
        <f>AND('PE1'!D20,"AAAAAHf/6wE=")</f>
        <v>#VALUE!</v>
      </c>
      <c r="C105" t="e">
        <f>AND('PE1'!E20,"AAAAAHf/6wI=")</f>
        <v>#VALUE!</v>
      </c>
      <c r="D105" t="e">
        <f>AND('PE1'!F20,"AAAAAHf/6wM=")</f>
        <v>#VALUE!</v>
      </c>
      <c r="E105" t="e">
        <f>AND('PE1'!G20,"AAAAAHf/6wQ=")</f>
        <v>#VALUE!</v>
      </c>
      <c r="F105" t="e">
        <f>AND('PE1'!H20,"AAAAAHf/6wU=")</f>
        <v>#VALUE!</v>
      </c>
      <c r="G105" t="e">
        <f>AND('PE1'!I20,"AAAAAHf/6wY=")</f>
        <v>#VALUE!</v>
      </c>
      <c r="H105" t="e">
        <f>AND('PE1'!J20,"AAAAAHf/6wc=")</f>
        <v>#VALUE!</v>
      </c>
      <c r="I105" t="e">
        <f>AND('PE1'!K20,"AAAAAHf/6wg=")</f>
        <v>#VALUE!</v>
      </c>
      <c r="J105" t="e">
        <f>AND('PE1'!L20,"AAAAAHf/6wk=")</f>
        <v>#VALUE!</v>
      </c>
      <c r="K105" t="b">
        <f>AND('PE1'!M20,"AAAAAHf/6wo=")</f>
        <v>1</v>
      </c>
      <c r="L105" t="e">
        <f>AND('PE1'!N20,"AAAAAHf/6ws=")</f>
        <v>#VALUE!</v>
      </c>
      <c r="M105" t="e">
        <f>AND('PE1'!O20,"AAAAAHf/6ww=")</f>
        <v>#VALUE!</v>
      </c>
      <c r="N105" t="e">
        <f>AND('PE1'!P20,"AAAAAHf/6w0=")</f>
        <v>#VALUE!</v>
      </c>
      <c r="O105" t="e">
        <f>AND('PE1'!Q20,"AAAAAHf/6w4=")</f>
        <v>#VALUE!</v>
      </c>
      <c r="P105" t="e">
        <f>AND('PE1'!R20,"AAAAAHf/6w8=")</f>
        <v>#VALUE!</v>
      </c>
      <c r="Q105" t="e">
        <f>AND('PE1'!S20,"AAAAAHf/6xA=")</f>
        <v>#VALUE!</v>
      </c>
      <c r="R105" t="e">
        <f>AND('PE1'!T20,"AAAAAHf/6xE=")</f>
        <v>#VALUE!</v>
      </c>
      <c r="S105" t="e">
        <f>AND('PE1'!U20,"AAAAAHf/6xI=")</f>
        <v>#VALUE!</v>
      </c>
      <c r="T105" t="e">
        <f>AND('PE1'!V20,"AAAAAHf/6xM=")</f>
        <v>#VALUE!</v>
      </c>
      <c r="U105" t="e">
        <f>AND('PE1'!W20,"AAAAAHf/6xQ=")</f>
        <v>#VALUE!</v>
      </c>
      <c r="V105" t="e">
        <f>AND('PE1'!X20,"AAAAAHf/6xU=")</f>
        <v>#VALUE!</v>
      </c>
      <c r="W105" t="e">
        <f>IF('PE1'!#REF!,"AAAAAHf/6xY=",0)</f>
        <v>#REF!</v>
      </c>
      <c r="X105" t="e">
        <f>AND('PE1'!#REF!,"AAAAAHf/6xc=")</f>
        <v>#REF!</v>
      </c>
      <c r="Y105" t="e">
        <f>AND('PE1'!#REF!,"AAAAAHf/6xg=")</f>
        <v>#REF!</v>
      </c>
      <c r="Z105" t="e">
        <f>AND('PE1'!#REF!,"AAAAAHf/6xk=")</f>
        <v>#REF!</v>
      </c>
      <c r="AA105" t="e">
        <f>AND('PE1'!#REF!,"AAAAAHf/6xo=")</f>
        <v>#REF!</v>
      </c>
      <c r="AB105" t="e">
        <f>AND('PE1'!#REF!,"AAAAAHf/6xs=")</f>
        <v>#REF!</v>
      </c>
      <c r="AC105" t="e">
        <f>AND('PE1'!#REF!,"AAAAAHf/6xw=")</f>
        <v>#REF!</v>
      </c>
      <c r="AD105" t="e">
        <f>AND('PE1'!#REF!,"AAAAAHf/6x0=")</f>
        <v>#REF!</v>
      </c>
      <c r="AE105" t="e">
        <f>AND('PE1'!#REF!,"AAAAAHf/6x4=")</f>
        <v>#REF!</v>
      </c>
      <c r="AF105" t="e">
        <f>AND('PE1'!#REF!,"AAAAAHf/6x8=")</f>
        <v>#REF!</v>
      </c>
      <c r="AG105" t="e">
        <f>AND('PE1'!#REF!,"AAAAAHf/6yA=")</f>
        <v>#REF!</v>
      </c>
      <c r="AH105" t="e">
        <f>AND('PE1'!#REF!,"AAAAAHf/6yE=")</f>
        <v>#REF!</v>
      </c>
      <c r="AI105" t="e">
        <f>AND('PE1'!#REF!,"AAAAAHf/6yI=")</f>
        <v>#REF!</v>
      </c>
      <c r="AJ105" t="e">
        <f>AND('PE1'!#REF!,"AAAAAHf/6yM=")</f>
        <v>#REF!</v>
      </c>
      <c r="AK105" t="e">
        <f>AND('PE1'!#REF!,"AAAAAHf/6yQ=")</f>
        <v>#REF!</v>
      </c>
      <c r="AL105" t="e">
        <f>AND('PE1'!#REF!,"AAAAAHf/6yU=")</f>
        <v>#REF!</v>
      </c>
      <c r="AM105" t="e">
        <f>AND('PE1'!#REF!,"AAAAAHf/6yY=")</f>
        <v>#REF!</v>
      </c>
      <c r="AN105" t="e">
        <f>AND('PE1'!#REF!,"AAAAAHf/6yc=")</f>
        <v>#REF!</v>
      </c>
      <c r="AO105" t="e">
        <f>AND('PE1'!#REF!,"AAAAAHf/6yg=")</f>
        <v>#REF!</v>
      </c>
      <c r="AP105" t="e">
        <f>AND('PE1'!#REF!,"AAAAAHf/6yk=")</f>
        <v>#REF!</v>
      </c>
      <c r="AQ105" t="e">
        <f>AND('PE1'!#REF!,"AAAAAHf/6yo=")</f>
        <v>#REF!</v>
      </c>
      <c r="AR105" t="e">
        <f>AND('PE1'!#REF!,"AAAAAHf/6ys=")</f>
        <v>#REF!</v>
      </c>
      <c r="AS105" t="e">
        <f>AND('PE1'!#REF!,"AAAAAHf/6yw=")</f>
        <v>#REF!</v>
      </c>
      <c r="AT105" t="e">
        <f>AND('PE1'!#REF!,"AAAAAHf/6y0=")</f>
        <v>#REF!</v>
      </c>
      <c r="AU105" t="e">
        <f>AND('PE1'!#REF!,"AAAAAHf/6y4=")</f>
        <v>#REF!</v>
      </c>
      <c r="AV105" t="e">
        <f>AND('PE1'!#REF!,"AAAAAHf/6y8=")</f>
        <v>#REF!</v>
      </c>
      <c r="AW105">
        <f>IF('PE1'!21:21,"AAAAAHf/6zA=",0)</f>
        <v>0</v>
      </c>
      <c r="AX105" t="e">
        <f>AND('PE1'!A21,"AAAAAHf/6zE=")</f>
        <v>#VALUE!</v>
      </c>
      <c r="AY105" t="e">
        <f>AND('PE1'!B21,"AAAAAHf/6zI=")</f>
        <v>#VALUE!</v>
      </c>
      <c r="AZ105" t="e">
        <f>AND('PE1'!#REF!,"AAAAAHf/6zM=")</f>
        <v>#REF!</v>
      </c>
      <c r="BA105" t="e">
        <f>AND('PE1'!#REF!,"AAAAAHf/6zQ=")</f>
        <v>#REF!</v>
      </c>
      <c r="BB105" t="e">
        <f>AND('PE1'!D21,"AAAAAHf/6zU=")</f>
        <v>#VALUE!</v>
      </c>
      <c r="BC105" t="b">
        <f>AND('PE1'!E21,"AAAAAHf/6zY=")</f>
        <v>1</v>
      </c>
      <c r="BD105" t="e">
        <f>AND('PE1'!F21,"AAAAAHf/6zc=")</f>
        <v>#VALUE!</v>
      </c>
      <c r="BE105" t="e">
        <f>AND('PE1'!G21,"AAAAAHf/6zg=")</f>
        <v>#VALUE!</v>
      </c>
      <c r="BF105" t="e">
        <f>AND('PE1'!H21,"AAAAAHf/6zk=")</f>
        <v>#VALUE!</v>
      </c>
      <c r="BG105" t="b">
        <f>AND('PE1'!I21,"AAAAAHf/6zo=")</f>
        <v>1</v>
      </c>
      <c r="BH105" t="e">
        <f>AND('PE1'!J21,"AAAAAHf/6zs=")</f>
        <v>#VALUE!</v>
      </c>
      <c r="BI105" t="e">
        <f>AND('PE1'!K21,"AAAAAHf/6zw=")</f>
        <v>#VALUE!</v>
      </c>
      <c r="BJ105" t="e">
        <f>AND('PE1'!L21,"AAAAAHf/6z0=")</f>
        <v>#VALUE!</v>
      </c>
      <c r="BK105" t="b">
        <f>AND('PE1'!M21,"AAAAAHf/6z4=")</f>
        <v>1</v>
      </c>
      <c r="BL105" t="e">
        <f>AND('PE1'!N21,"AAAAAHf/6z8=")</f>
        <v>#VALUE!</v>
      </c>
      <c r="BM105" t="e">
        <f>AND('PE1'!O21,"AAAAAHf/60A=")</f>
        <v>#VALUE!</v>
      </c>
      <c r="BN105" t="e">
        <f>AND('PE1'!P21,"AAAAAHf/60E=")</f>
        <v>#VALUE!</v>
      </c>
      <c r="BO105" t="b">
        <f>AND('PE1'!Q21,"AAAAAHf/60I=")</f>
        <v>1</v>
      </c>
      <c r="BP105" t="e">
        <f>AND('PE1'!R21,"AAAAAHf/60M=")</f>
        <v>#VALUE!</v>
      </c>
      <c r="BQ105" t="e">
        <f>AND('PE1'!S21,"AAAAAHf/60Q=")</f>
        <v>#VALUE!</v>
      </c>
      <c r="BR105" t="e">
        <f>AND('PE1'!T21,"AAAAAHf/60U=")</f>
        <v>#VALUE!</v>
      </c>
      <c r="BS105" t="b">
        <f>AND('PE1'!U21,"AAAAAHf/60Y=")</f>
        <v>1</v>
      </c>
      <c r="BT105" t="e">
        <f>AND('PE1'!V21,"AAAAAHf/60c=")</f>
        <v>#VALUE!</v>
      </c>
      <c r="BU105" t="e">
        <f>AND('PE1'!W21,"AAAAAHf/60g=")</f>
        <v>#VALUE!</v>
      </c>
      <c r="BV105" t="e">
        <f>AND('PE1'!X21,"AAAAAHf/60k=")</f>
        <v>#VALUE!</v>
      </c>
      <c r="BW105">
        <f>IF('PE1'!22:22,"AAAAAHf/60o=",0)</f>
        <v>0</v>
      </c>
      <c r="BX105" t="e">
        <f>AND('PE1'!A22,"AAAAAHf/60s=")</f>
        <v>#VALUE!</v>
      </c>
      <c r="BY105" t="e">
        <f>AND('PE1'!B22,"AAAAAHf/60w=")</f>
        <v>#VALUE!</v>
      </c>
      <c r="BZ105" t="e">
        <f>AND('PE1'!#REF!,"AAAAAHf/600=")</f>
        <v>#REF!</v>
      </c>
      <c r="CA105" t="e">
        <f>AND('PE1'!#REF!,"AAAAAHf/604=")</f>
        <v>#REF!</v>
      </c>
      <c r="CB105" t="e">
        <f>AND('PE1'!D22,"AAAAAHf/608=")</f>
        <v>#VALUE!</v>
      </c>
      <c r="CC105" t="b">
        <f>AND('PE1'!E22,"AAAAAHf/61A=")</f>
        <v>1</v>
      </c>
      <c r="CD105" t="e">
        <f>AND('PE1'!F22,"AAAAAHf/61E=")</f>
        <v>#VALUE!</v>
      </c>
      <c r="CE105" t="e">
        <f>AND('PE1'!G22,"AAAAAHf/61I=")</f>
        <v>#VALUE!</v>
      </c>
      <c r="CF105" t="e">
        <f>AND('PE1'!H22,"AAAAAHf/61M=")</f>
        <v>#VALUE!</v>
      </c>
      <c r="CG105" t="b">
        <f>AND('PE1'!I22,"AAAAAHf/61Q=")</f>
        <v>1</v>
      </c>
      <c r="CH105" t="e">
        <f>AND('PE1'!J22,"AAAAAHf/61U=")</f>
        <v>#VALUE!</v>
      </c>
      <c r="CI105" t="e">
        <f>AND('PE1'!K22,"AAAAAHf/61Y=")</f>
        <v>#VALUE!</v>
      </c>
      <c r="CJ105" t="e">
        <f>AND('PE1'!L22,"AAAAAHf/61c=")</f>
        <v>#VALUE!</v>
      </c>
      <c r="CK105" t="b">
        <f>AND('PE1'!M22,"AAAAAHf/61g=")</f>
        <v>1</v>
      </c>
      <c r="CL105" t="e">
        <f>AND('PE1'!N22,"AAAAAHf/61k=")</f>
        <v>#VALUE!</v>
      </c>
      <c r="CM105" t="e">
        <f>AND('PE1'!O22,"AAAAAHf/61o=")</f>
        <v>#VALUE!</v>
      </c>
      <c r="CN105" t="e">
        <f>AND('PE1'!P22,"AAAAAHf/61s=")</f>
        <v>#VALUE!</v>
      </c>
      <c r="CO105" t="b">
        <f>AND('PE1'!Q22,"AAAAAHf/61w=")</f>
        <v>0</v>
      </c>
      <c r="CP105" t="e">
        <f>AND('PE1'!R22,"AAAAAHf/610=")</f>
        <v>#VALUE!</v>
      </c>
      <c r="CQ105" t="e">
        <f>AND('PE1'!S22,"AAAAAHf/614=")</f>
        <v>#VALUE!</v>
      </c>
      <c r="CR105" t="e">
        <f>AND('PE1'!T22,"AAAAAHf/618=")</f>
        <v>#VALUE!</v>
      </c>
      <c r="CS105" t="b">
        <f>AND('PE1'!U22,"AAAAAHf/62A=")</f>
        <v>1</v>
      </c>
      <c r="CT105" t="e">
        <f>AND('PE1'!V22,"AAAAAHf/62E=")</f>
        <v>#VALUE!</v>
      </c>
      <c r="CU105" t="e">
        <f>AND('PE1'!W22,"AAAAAHf/62I=")</f>
        <v>#VALUE!</v>
      </c>
      <c r="CV105" t="e">
        <f>AND('PE1'!X22,"AAAAAHf/62M=")</f>
        <v>#VALUE!</v>
      </c>
      <c r="CW105" t="e">
        <f>IF('PE1'!#REF!,"AAAAAHf/62Q=",0)</f>
        <v>#REF!</v>
      </c>
      <c r="CX105" t="e">
        <f>AND('PE1'!#REF!,"AAAAAHf/62U=")</f>
        <v>#REF!</v>
      </c>
      <c r="CY105" t="e">
        <f>AND('PE1'!#REF!,"AAAAAHf/62Y=")</f>
        <v>#REF!</v>
      </c>
      <c r="CZ105" t="e">
        <f>AND('PE1'!#REF!,"AAAAAHf/62c=")</f>
        <v>#REF!</v>
      </c>
      <c r="DA105" t="e">
        <f>AND('PE1'!#REF!,"AAAAAHf/62g=")</f>
        <v>#REF!</v>
      </c>
      <c r="DB105" t="e">
        <f>AND('PE1'!#REF!,"AAAAAHf/62k=")</f>
        <v>#REF!</v>
      </c>
      <c r="DC105" t="e">
        <f>AND('PE1'!#REF!,"AAAAAHf/62o=")</f>
        <v>#REF!</v>
      </c>
      <c r="DD105" t="e">
        <f>AND('PE1'!#REF!,"AAAAAHf/62s=")</f>
        <v>#REF!</v>
      </c>
      <c r="DE105" t="e">
        <f>AND('PE1'!#REF!,"AAAAAHf/62w=")</f>
        <v>#REF!</v>
      </c>
      <c r="DF105" t="e">
        <f>AND('PE1'!#REF!,"AAAAAHf/620=")</f>
        <v>#REF!</v>
      </c>
      <c r="DG105" t="e">
        <f>AND('PE1'!#REF!,"AAAAAHf/624=")</f>
        <v>#REF!</v>
      </c>
      <c r="DH105" t="e">
        <f>AND('PE1'!#REF!,"AAAAAHf/628=")</f>
        <v>#REF!</v>
      </c>
      <c r="DI105" t="e">
        <f>AND('PE1'!#REF!,"AAAAAHf/63A=")</f>
        <v>#REF!</v>
      </c>
      <c r="DJ105" t="e">
        <f>AND('PE1'!#REF!,"AAAAAHf/63E=")</f>
        <v>#REF!</v>
      </c>
      <c r="DK105" t="e">
        <f>AND('PE1'!#REF!,"AAAAAHf/63I=")</f>
        <v>#REF!</v>
      </c>
      <c r="DL105" t="e">
        <f>AND('PE1'!#REF!,"AAAAAHf/63M=")</f>
        <v>#REF!</v>
      </c>
      <c r="DM105" t="e">
        <f>AND('PE1'!#REF!,"AAAAAHf/63Q=")</f>
        <v>#REF!</v>
      </c>
      <c r="DN105" t="e">
        <f>AND('PE1'!#REF!,"AAAAAHf/63U=")</f>
        <v>#REF!</v>
      </c>
      <c r="DO105" t="e">
        <f>AND('PE1'!#REF!,"AAAAAHf/63Y=")</f>
        <v>#REF!</v>
      </c>
      <c r="DP105" t="e">
        <f>AND('PE1'!#REF!,"AAAAAHf/63c=")</f>
        <v>#REF!</v>
      </c>
      <c r="DQ105" t="e">
        <f>AND('PE1'!#REF!,"AAAAAHf/63g=")</f>
        <v>#REF!</v>
      </c>
      <c r="DR105" t="e">
        <f>AND('PE1'!#REF!,"AAAAAHf/63k=")</f>
        <v>#REF!</v>
      </c>
      <c r="DS105" t="e">
        <f>AND('PE1'!#REF!,"AAAAAHf/63o=")</f>
        <v>#REF!</v>
      </c>
      <c r="DT105" t="e">
        <f>AND('PE1'!#REF!,"AAAAAHf/63s=")</f>
        <v>#REF!</v>
      </c>
      <c r="DU105" t="e">
        <f>AND('PE1'!#REF!,"AAAAAHf/63w=")</f>
        <v>#REF!</v>
      </c>
      <c r="DV105" t="e">
        <f>AND('PE1'!#REF!,"AAAAAHf/630=")</f>
        <v>#REF!</v>
      </c>
      <c r="DW105">
        <f>IF('PE1'!23:23,"AAAAAHf/634=",0)</f>
        <v>0</v>
      </c>
      <c r="DX105" t="e">
        <f>AND('PE1'!A23,"AAAAAHf/638=")</f>
        <v>#VALUE!</v>
      </c>
      <c r="DY105" t="e">
        <f>AND('PE1'!B23,"AAAAAHf/64A=")</f>
        <v>#VALUE!</v>
      </c>
      <c r="DZ105" t="e">
        <f>AND('PE1'!#REF!,"AAAAAHf/64E=")</f>
        <v>#REF!</v>
      </c>
      <c r="EA105" t="e">
        <f>AND('PE1'!#REF!,"AAAAAHf/64I=")</f>
        <v>#REF!</v>
      </c>
      <c r="EB105" t="e">
        <f>AND('PE1'!D23,"AAAAAHf/64M=")</f>
        <v>#VALUE!</v>
      </c>
      <c r="EC105" t="b">
        <f>AND('PE1'!E23,"AAAAAHf/64Q=")</f>
        <v>1</v>
      </c>
      <c r="ED105" t="e">
        <f>AND('PE1'!F23,"AAAAAHf/64U=")</f>
        <v>#VALUE!</v>
      </c>
      <c r="EE105" t="e">
        <f>AND('PE1'!G23,"AAAAAHf/64Y=")</f>
        <v>#VALUE!</v>
      </c>
      <c r="EF105" t="e">
        <f>AND('PE1'!H23,"AAAAAHf/64c=")</f>
        <v>#VALUE!</v>
      </c>
      <c r="EG105" t="b">
        <f>AND('PE1'!I23,"AAAAAHf/64g=")</f>
        <v>1</v>
      </c>
      <c r="EH105" t="e">
        <f>AND('PE1'!J23,"AAAAAHf/64k=")</f>
        <v>#VALUE!</v>
      </c>
      <c r="EI105" t="e">
        <f>AND('PE1'!K23,"AAAAAHf/64o=")</f>
        <v>#VALUE!</v>
      </c>
      <c r="EJ105" t="e">
        <f>AND('PE1'!L23,"AAAAAHf/64s=")</f>
        <v>#VALUE!</v>
      </c>
      <c r="EK105" t="b">
        <f>AND('PE1'!M23,"AAAAAHf/64w=")</f>
        <v>1</v>
      </c>
      <c r="EL105" t="e">
        <f>AND('PE1'!N23,"AAAAAHf/640=")</f>
        <v>#VALUE!</v>
      </c>
      <c r="EM105" t="e">
        <f>AND('PE1'!O23,"AAAAAHf/644=")</f>
        <v>#VALUE!</v>
      </c>
      <c r="EN105" t="e">
        <f>AND('PE1'!P23,"AAAAAHf/648=")</f>
        <v>#VALUE!</v>
      </c>
      <c r="EO105" t="b">
        <f>AND('PE1'!Q23,"AAAAAHf/65A=")</f>
        <v>1</v>
      </c>
      <c r="EP105" t="e">
        <f>AND('PE1'!R23,"AAAAAHf/65E=")</f>
        <v>#VALUE!</v>
      </c>
      <c r="EQ105" t="e">
        <f>AND('PE1'!S23,"AAAAAHf/65I=")</f>
        <v>#VALUE!</v>
      </c>
      <c r="ER105" t="e">
        <f>AND('PE1'!T23,"AAAAAHf/65M=")</f>
        <v>#VALUE!</v>
      </c>
      <c r="ES105" t="b">
        <f>AND('PE1'!U23,"AAAAAHf/65Q=")</f>
        <v>1</v>
      </c>
      <c r="ET105" t="e">
        <f>AND('PE1'!V23,"AAAAAHf/65U=")</f>
        <v>#VALUE!</v>
      </c>
      <c r="EU105" t="e">
        <f>AND('PE1'!W23,"AAAAAHf/65Y=")</f>
        <v>#VALUE!</v>
      </c>
      <c r="EV105" t="e">
        <f>AND('PE1'!X23,"AAAAAHf/65c=")</f>
        <v>#VALUE!</v>
      </c>
      <c r="EW105">
        <f>IF('PE1'!24:24,"AAAAAHf/65g=",0)</f>
        <v>0</v>
      </c>
      <c r="EX105" t="e">
        <f>AND('PE1'!A24,"AAAAAHf/65k=")</f>
        <v>#VALUE!</v>
      </c>
      <c r="EY105" t="e">
        <f>AND('PE1'!B24,"AAAAAHf/65o=")</f>
        <v>#VALUE!</v>
      </c>
      <c r="EZ105" t="e">
        <f>AND('PE1'!#REF!,"AAAAAHf/65s=")</f>
        <v>#REF!</v>
      </c>
      <c r="FA105" t="e">
        <f>AND('PE1'!#REF!,"AAAAAHf/65w=")</f>
        <v>#REF!</v>
      </c>
      <c r="FB105" t="e">
        <f>AND('PE1'!D24,"AAAAAHf/650=")</f>
        <v>#VALUE!</v>
      </c>
      <c r="FC105" t="b">
        <f>AND('PE1'!E24,"AAAAAHf/654=")</f>
        <v>1</v>
      </c>
      <c r="FD105" t="e">
        <f>AND('PE1'!F24,"AAAAAHf/658=")</f>
        <v>#VALUE!</v>
      </c>
      <c r="FE105" t="e">
        <f>AND('PE1'!G24,"AAAAAHf/66A=")</f>
        <v>#VALUE!</v>
      </c>
      <c r="FF105" t="e">
        <f>AND('PE1'!H24,"AAAAAHf/66E=")</f>
        <v>#VALUE!</v>
      </c>
      <c r="FG105" t="b">
        <f>AND('PE1'!I24,"AAAAAHf/66I=")</f>
        <v>1</v>
      </c>
      <c r="FH105" t="e">
        <f>AND('PE1'!J24,"AAAAAHf/66M=")</f>
        <v>#VALUE!</v>
      </c>
      <c r="FI105" t="e">
        <f>AND('PE1'!K24,"AAAAAHf/66Q=")</f>
        <v>#VALUE!</v>
      </c>
      <c r="FJ105" t="e">
        <f>AND('PE1'!L24,"AAAAAHf/66U=")</f>
        <v>#VALUE!</v>
      </c>
      <c r="FK105" t="b">
        <f>AND('PE1'!M24,"AAAAAHf/66Y=")</f>
        <v>1</v>
      </c>
      <c r="FL105" t="e">
        <f>AND('PE1'!N24,"AAAAAHf/66c=")</f>
        <v>#VALUE!</v>
      </c>
      <c r="FM105" t="e">
        <f>AND('PE1'!O24,"AAAAAHf/66g=")</f>
        <v>#VALUE!</v>
      </c>
      <c r="FN105" t="e">
        <f>AND('PE1'!P24,"AAAAAHf/66k=")</f>
        <v>#VALUE!</v>
      </c>
      <c r="FO105" t="b">
        <f>AND('PE1'!Q24,"AAAAAHf/66o=")</f>
        <v>1</v>
      </c>
      <c r="FP105" t="e">
        <f>AND('PE1'!R24,"AAAAAHf/66s=")</f>
        <v>#VALUE!</v>
      </c>
      <c r="FQ105" t="e">
        <f>AND('PE1'!S24,"AAAAAHf/66w=")</f>
        <v>#VALUE!</v>
      </c>
      <c r="FR105" t="e">
        <f>AND('PE1'!T24,"AAAAAHf/660=")</f>
        <v>#VALUE!</v>
      </c>
      <c r="FS105" t="b">
        <f>AND('PE1'!U24,"AAAAAHf/664=")</f>
        <v>1</v>
      </c>
      <c r="FT105" t="e">
        <f>AND('PE1'!V24,"AAAAAHf/668=")</f>
        <v>#VALUE!</v>
      </c>
      <c r="FU105" t="e">
        <f>AND('PE1'!W24,"AAAAAHf/67A=")</f>
        <v>#VALUE!</v>
      </c>
      <c r="FV105" t="e">
        <f>AND('PE1'!X24,"AAAAAHf/67E=")</f>
        <v>#VALUE!</v>
      </c>
      <c r="FW105">
        <f>IF('PE1'!25:25,"AAAAAHf/67I=",0)</f>
        <v>0</v>
      </c>
      <c r="FX105" t="e">
        <f>AND('PE1'!A25,"AAAAAHf/67M=")</f>
        <v>#VALUE!</v>
      </c>
      <c r="FY105" t="e">
        <f>AND('PE1'!B25,"AAAAAHf/67Q=")</f>
        <v>#VALUE!</v>
      </c>
      <c r="FZ105" t="e">
        <f>AND('PE1'!#REF!,"AAAAAHf/67U=")</f>
        <v>#REF!</v>
      </c>
      <c r="GA105" t="e">
        <f>AND('PE1'!#REF!,"AAAAAHf/67Y=")</f>
        <v>#REF!</v>
      </c>
      <c r="GB105" t="e">
        <f>AND('PE1'!D25,"AAAAAHf/67c=")</f>
        <v>#VALUE!</v>
      </c>
      <c r="GC105" t="e">
        <f>AND('PE1'!E25,"AAAAAHf/67g=")</f>
        <v>#VALUE!</v>
      </c>
      <c r="GD105" t="e">
        <f>AND('PE1'!F25,"AAAAAHf/67k=")</f>
        <v>#VALUE!</v>
      </c>
      <c r="GE105" t="e">
        <f>AND('PE1'!G25,"AAAAAHf/67o=")</f>
        <v>#VALUE!</v>
      </c>
      <c r="GF105" t="e">
        <f>AND('PE1'!H25,"AAAAAHf/67s=")</f>
        <v>#VALUE!</v>
      </c>
      <c r="GG105" t="e">
        <f>AND('PE1'!I25,"AAAAAHf/67w=")</f>
        <v>#VALUE!</v>
      </c>
      <c r="GH105" t="e">
        <f>AND('PE1'!J25,"AAAAAHf/670=")</f>
        <v>#VALUE!</v>
      </c>
      <c r="GI105" t="e">
        <f>AND('PE1'!K25,"AAAAAHf/674=")</f>
        <v>#VALUE!</v>
      </c>
      <c r="GJ105" t="e">
        <f>AND('PE1'!L25,"AAAAAHf/678=")</f>
        <v>#VALUE!</v>
      </c>
      <c r="GK105" t="e">
        <f>AND('PE1'!M25,"AAAAAHf/68A=")</f>
        <v>#VALUE!</v>
      </c>
      <c r="GL105" t="e">
        <f>AND('PE1'!N25,"AAAAAHf/68E=")</f>
        <v>#VALUE!</v>
      </c>
      <c r="GM105" t="e">
        <f>AND('PE1'!O25,"AAAAAHf/68I=")</f>
        <v>#VALUE!</v>
      </c>
      <c r="GN105" t="e">
        <f>AND('PE1'!P25,"AAAAAHf/68M=")</f>
        <v>#VALUE!</v>
      </c>
      <c r="GO105" t="e">
        <f>AND('PE1'!Q25,"AAAAAHf/68Q=")</f>
        <v>#VALUE!</v>
      </c>
      <c r="GP105" t="e">
        <f>AND('PE1'!R25,"AAAAAHf/68U=")</f>
        <v>#VALUE!</v>
      </c>
      <c r="GQ105" t="e">
        <f>AND('PE1'!S25,"AAAAAHf/68Y=")</f>
        <v>#VALUE!</v>
      </c>
      <c r="GR105" t="e">
        <f>AND('PE1'!T25,"AAAAAHf/68c=")</f>
        <v>#VALUE!</v>
      </c>
      <c r="GS105" t="e">
        <f>AND('PE1'!U25,"AAAAAHf/68g=")</f>
        <v>#VALUE!</v>
      </c>
      <c r="GT105" t="e">
        <f>AND('PE1'!V25,"AAAAAHf/68k=")</f>
        <v>#VALUE!</v>
      </c>
      <c r="GU105" t="e">
        <f>AND('PE1'!W25,"AAAAAHf/68o=")</f>
        <v>#VALUE!</v>
      </c>
      <c r="GV105" t="e">
        <f>AND('PE1'!X25,"AAAAAHf/68s=")</f>
        <v>#VALUE!</v>
      </c>
      <c r="GW105">
        <f>IF('PE1'!26:26,"AAAAAHf/68w=",0)</f>
        <v>0</v>
      </c>
      <c r="GX105" t="e">
        <f ca="1">AND('PE1'!A26,"AAAAAHf/680=")</f>
        <v>#VALUE!</v>
      </c>
      <c r="GY105" t="e">
        <f ca="1">AND('PE1'!B26,"AAAAAHf/684=")</f>
        <v>#VALUE!</v>
      </c>
      <c r="GZ105" t="e">
        <f>AND('PE1'!#REF!,"AAAAAHf/688=")</f>
        <v>#REF!</v>
      </c>
      <c r="HA105" t="e">
        <f>AND('PE1'!#REF!,"AAAAAHf/69A=")</f>
        <v>#REF!</v>
      </c>
      <c r="HB105" t="e">
        <f>AND('PE1'!D26,"AAAAAHf/69E=")</f>
        <v>#VALUE!</v>
      </c>
      <c r="HC105" t="e">
        <f>AND('PE1'!E26,"AAAAAHf/69I=")</f>
        <v>#VALUE!</v>
      </c>
      <c r="HD105" t="e">
        <f>AND('PE1'!F26,"AAAAAHf/69M=")</f>
        <v>#VALUE!</v>
      </c>
      <c r="HE105" t="e">
        <f>AND('PE1'!G26,"AAAAAHf/69Q=")</f>
        <v>#VALUE!</v>
      </c>
      <c r="HF105" t="e">
        <f>AND('PE1'!H26,"AAAAAHf/69U=")</f>
        <v>#VALUE!</v>
      </c>
      <c r="HG105" t="e">
        <f>AND('PE1'!I26,"AAAAAHf/69Y=")</f>
        <v>#VALUE!</v>
      </c>
      <c r="HH105" t="e">
        <f>AND('PE1'!J26,"AAAAAHf/69c=")</f>
        <v>#VALUE!</v>
      </c>
      <c r="HI105" t="e">
        <f>AND('PE1'!K26,"AAAAAHf/69g=")</f>
        <v>#VALUE!</v>
      </c>
      <c r="HJ105" t="e">
        <f>AND('PE1'!L26,"AAAAAHf/69k=")</f>
        <v>#VALUE!</v>
      </c>
      <c r="HK105" t="e">
        <f>AND('PE1'!M26,"AAAAAHf/69o=")</f>
        <v>#VALUE!</v>
      </c>
      <c r="HL105" t="e">
        <f>AND('PE1'!N26,"AAAAAHf/69s=")</f>
        <v>#VALUE!</v>
      </c>
      <c r="HM105" t="e">
        <f>AND('PE1'!O26,"AAAAAHf/69w=")</f>
        <v>#VALUE!</v>
      </c>
      <c r="HN105" t="e">
        <f>AND('PE1'!P26,"AAAAAHf/690=")</f>
        <v>#VALUE!</v>
      </c>
      <c r="HO105" t="e">
        <f>AND('PE1'!Q26,"AAAAAHf/694=")</f>
        <v>#VALUE!</v>
      </c>
      <c r="HP105" t="e">
        <f>AND('PE1'!R26,"AAAAAHf/698=")</f>
        <v>#VALUE!</v>
      </c>
      <c r="HQ105" t="e">
        <f>AND('PE1'!S26,"AAAAAHf/6+A=")</f>
        <v>#VALUE!</v>
      </c>
      <c r="HR105" t="e">
        <f>AND('PE1'!T26,"AAAAAHf/6+E=")</f>
        <v>#VALUE!</v>
      </c>
      <c r="HS105" t="e">
        <f>AND('PE1'!U26,"AAAAAHf/6+I=")</f>
        <v>#VALUE!</v>
      </c>
      <c r="HT105" t="e">
        <f>AND('PE1'!V26,"AAAAAHf/6+M=")</f>
        <v>#VALUE!</v>
      </c>
      <c r="HU105" t="e">
        <f>AND('PE1'!W26,"AAAAAHf/6+Q=")</f>
        <v>#VALUE!</v>
      </c>
      <c r="HV105" t="e">
        <f>AND('PE1'!X26,"AAAAAHf/6+U=")</f>
        <v>#VALUE!</v>
      </c>
      <c r="HW105">
        <f>IF('PE1'!27:27,"AAAAAHf/6+Y=",0)</f>
        <v>0</v>
      </c>
      <c r="HX105" t="e">
        <f ca="1">AND('PE1'!A27,"AAAAAHf/6+c=")</f>
        <v>#VALUE!</v>
      </c>
      <c r="HY105" t="e">
        <f>AND('PE1'!B27,"AAAAAHf/6+g=")</f>
        <v>#VALUE!</v>
      </c>
      <c r="HZ105" t="e">
        <f>AND('PE1'!#REF!,"AAAAAHf/6+k=")</f>
        <v>#REF!</v>
      </c>
      <c r="IA105" t="e">
        <f>AND('PE1'!#REF!,"AAAAAHf/6+o=")</f>
        <v>#REF!</v>
      </c>
      <c r="IB105" t="e">
        <f>AND('PE1'!D27,"AAAAAHf/6+s=")</f>
        <v>#VALUE!</v>
      </c>
      <c r="IC105" t="e">
        <f>AND('PE1'!E27,"AAAAAHf/6+w=")</f>
        <v>#VALUE!</v>
      </c>
      <c r="ID105" t="e">
        <f>AND('PE1'!F27,"AAAAAHf/6+0=")</f>
        <v>#VALUE!</v>
      </c>
      <c r="IE105" t="e">
        <f>AND('PE1'!G27,"AAAAAHf/6+4=")</f>
        <v>#VALUE!</v>
      </c>
      <c r="IF105" t="e">
        <f>AND('PE1'!H27,"AAAAAHf/6+8=")</f>
        <v>#VALUE!</v>
      </c>
      <c r="IG105" t="e">
        <f>AND('PE1'!I27,"AAAAAHf/6/A=")</f>
        <v>#VALUE!</v>
      </c>
      <c r="IH105" t="e">
        <f>AND('PE1'!J27,"AAAAAHf/6/E=")</f>
        <v>#VALUE!</v>
      </c>
      <c r="II105" t="e">
        <f>AND('PE1'!K27,"AAAAAHf/6/I=")</f>
        <v>#VALUE!</v>
      </c>
      <c r="IJ105" t="e">
        <f>AND('PE1'!L27,"AAAAAHf/6/M=")</f>
        <v>#VALUE!</v>
      </c>
      <c r="IK105" t="e">
        <f>AND('PE1'!M27,"AAAAAHf/6/Q=")</f>
        <v>#VALUE!</v>
      </c>
      <c r="IL105" t="e">
        <f>AND('PE1'!N27,"AAAAAHf/6/U=")</f>
        <v>#VALUE!</v>
      </c>
      <c r="IM105" t="e">
        <f>AND('PE1'!O27,"AAAAAHf/6/Y=")</f>
        <v>#VALUE!</v>
      </c>
      <c r="IN105" t="e">
        <f>AND('PE1'!P27,"AAAAAHf/6/c=")</f>
        <v>#VALUE!</v>
      </c>
      <c r="IO105" t="e">
        <f>AND('PE1'!Q27,"AAAAAHf/6/g=")</f>
        <v>#VALUE!</v>
      </c>
      <c r="IP105" t="e">
        <f>AND('PE1'!R27,"AAAAAHf/6/k=")</f>
        <v>#VALUE!</v>
      </c>
      <c r="IQ105" t="e">
        <f>AND('PE1'!S27,"AAAAAHf/6/o=")</f>
        <v>#VALUE!</v>
      </c>
      <c r="IR105" t="e">
        <f>AND('PE1'!T27,"AAAAAHf/6/s=")</f>
        <v>#VALUE!</v>
      </c>
      <c r="IS105" t="e">
        <f>AND('PE1'!U27,"AAAAAHf/6/w=")</f>
        <v>#VALUE!</v>
      </c>
      <c r="IT105" t="e">
        <f>AND('PE1'!V27,"AAAAAHf/6/0=")</f>
        <v>#VALUE!</v>
      </c>
      <c r="IU105" t="e">
        <f>AND('PE1'!W27,"AAAAAHf/6/4=")</f>
        <v>#VALUE!</v>
      </c>
      <c r="IV105" t="e">
        <f>AND('PE1'!X27,"AAAAAHf/6/8=")</f>
        <v>#VALUE!</v>
      </c>
    </row>
    <row r="106" spans="1:256" x14ac:dyDescent="0.25">
      <c r="A106" t="e">
        <f ca="1">IF('PE1'!28:28,"AAAAAHfanwA=",0)</f>
        <v>#VALUE!</v>
      </c>
      <c r="B106" t="e">
        <f ca="1">AND('PE1'!A28,"AAAAAHfanwE=")</f>
        <v>#VALUE!</v>
      </c>
      <c r="C106" t="e">
        <f ca="1">AND('PE1'!B28,"AAAAAHfanwI=")</f>
        <v>#VALUE!</v>
      </c>
      <c r="D106" t="e">
        <f>AND('PE1'!#REF!,"AAAAAHfanwM=")</f>
        <v>#REF!</v>
      </c>
      <c r="E106" t="e">
        <f>AND('PE1'!#REF!,"AAAAAHfanwQ=")</f>
        <v>#REF!</v>
      </c>
      <c r="F106" t="e">
        <f>AND('PE1'!D28,"AAAAAHfanwU=")</f>
        <v>#VALUE!</v>
      </c>
      <c r="G106" t="e">
        <f>AND('PE1'!E28,"AAAAAHfanwY=")</f>
        <v>#VALUE!</v>
      </c>
      <c r="H106" t="e">
        <f>AND('PE1'!F28,"AAAAAHfanwc=")</f>
        <v>#VALUE!</v>
      </c>
      <c r="I106" t="e">
        <f>AND('PE1'!G28,"AAAAAHfanwg=")</f>
        <v>#VALUE!</v>
      </c>
      <c r="J106" t="e">
        <f>AND('PE1'!H28,"AAAAAHfanwk=")</f>
        <v>#VALUE!</v>
      </c>
      <c r="K106" t="e">
        <f>AND('PE1'!I28,"AAAAAHfanwo=")</f>
        <v>#VALUE!</v>
      </c>
      <c r="L106" t="e">
        <f>AND('PE1'!J28,"AAAAAHfanws=")</f>
        <v>#VALUE!</v>
      </c>
      <c r="M106" t="e">
        <f>AND('PE1'!K28,"AAAAAHfanww=")</f>
        <v>#VALUE!</v>
      </c>
      <c r="N106" t="e">
        <f>AND('PE1'!L28,"AAAAAHfanw0=")</f>
        <v>#VALUE!</v>
      </c>
      <c r="O106" t="e">
        <f>AND('PE1'!M28,"AAAAAHfanw4=")</f>
        <v>#VALUE!</v>
      </c>
      <c r="P106" t="e">
        <f>AND('PE1'!N28,"AAAAAHfanw8=")</f>
        <v>#VALUE!</v>
      </c>
      <c r="Q106" t="e">
        <f>AND('PE1'!O28,"AAAAAHfanxA=")</f>
        <v>#VALUE!</v>
      </c>
      <c r="R106" t="e">
        <f>AND('PE1'!P28,"AAAAAHfanxE=")</f>
        <v>#VALUE!</v>
      </c>
      <c r="S106" t="e">
        <f>AND('PE1'!Q28,"AAAAAHfanxI=")</f>
        <v>#VALUE!</v>
      </c>
      <c r="T106" t="e">
        <f>AND('PE1'!R28,"AAAAAHfanxM=")</f>
        <v>#VALUE!</v>
      </c>
      <c r="U106" t="e">
        <f>AND('PE1'!S28,"AAAAAHfanxQ=")</f>
        <v>#VALUE!</v>
      </c>
      <c r="V106" t="e">
        <f>AND('PE1'!T28,"AAAAAHfanxU=")</f>
        <v>#VALUE!</v>
      </c>
      <c r="W106" t="e">
        <f>AND('PE1'!U28,"AAAAAHfanxY=")</f>
        <v>#VALUE!</v>
      </c>
      <c r="X106" t="e">
        <f>AND('PE1'!V28,"AAAAAHfanxc=")</f>
        <v>#VALUE!</v>
      </c>
      <c r="Y106" t="e">
        <f>AND('PE1'!W28,"AAAAAHfanxg=")</f>
        <v>#VALUE!</v>
      </c>
      <c r="Z106" t="e">
        <f>AND('PE1'!X28,"AAAAAHfanxk=")</f>
        <v>#VALUE!</v>
      </c>
      <c r="AA106">
        <f>IF('PE1'!29:29,"AAAAAHfanxo=",0)</f>
        <v>0</v>
      </c>
      <c r="AB106" t="e">
        <f ca="1">AND('PE1'!A29,"AAAAAHfanxs=")</f>
        <v>#VALUE!</v>
      </c>
      <c r="AC106" t="e">
        <f ca="1">AND('PE1'!B29,"AAAAAHfanxw=")</f>
        <v>#VALUE!</v>
      </c>
      <c r="AD106" t="e">
        <f>AND('PE1'!#REF!,"AAAAAHfanx0=")</f>
        <v>#REF!</v>
      </c>
      <c r="AE106" t="e">
        <f>AND('PE1'!#REF!,"AAAAAHfanx4=")</f>
        <v>#REF!</v>
      </c>
      <c r="AF106" t="e">
        <f>AND('PE1'!D29,"AAAAAHfanx8=")</f>
        <v>#VALUE!</v>
      </c>
      <c r="AG106" t="e">
        <f>AND('PE1'!E29,"AAAAAHfanyA=")</f>
        <v>#VALUE!</v>
      </c>
      <c r="AH106" t="e">
        <f>AND('PE1'!F29,"AAAAAHfanyE=")</f>
        <v>#VALUE!</v>
      </c>
      <c r="AI106" t="e">
        <f>AND('PE1'!G29,"AAAAAHfanyI=")</f>
        <v>#VALUE!</v>
      </c>
      <c r="AJ106" t="e">
        <f>AND('PE1'!H29,"AAAAAHfanyM=")</f>
        <v>#VALUE!</v>
      </c>
      <c r="AK106" t="e">
        <f>AND('PE1'!I29,"AAAAAHfanyQ=")</f>
        <v>#VALUE!</v>
      </c>
      <c r="AL106" t="e">
        <f>AND('PE1'!J29,"AAAAAHfanyU=")</f>
        <v>#VALUE!</v>
      </c>
      <c r="AM106" t="e">
        <f>AND('PE1'!K29,"AAAAAHfanyY=")</f>
        <v>#VALUE!</v>
      </c>
      <c r="AN106" t="e">
        <f>AND('PE1'!L29,"AAAAAHfanyc=")</f>
        <v>#VALUE!</v>
      </c>
      <c r="AO106" t="e">
        <f>AND('PE1'!M29,"AAAAAHfanyg=")</f>
        <v>#VALUE!</v>
      </c>
      <c r="AP106" t="e">
        <f>AND('PE1'!N29,"AAAAAHfanyk=")</f>
        <v>#VALUE!</v>
      </c>
      <c r="AQ106" t="e">
        <f>AND('PE1'!O29,"AAAAAHfanyo=")</f>
        <v>#VALUE!</v>
      </c>
      <c r="AR106" t="e">
        <f>AND('PE1'!P29,"AAAAAHfanys=")</f>
        <v>#VALUE!</v>
      </c>
      <c r="AS106" t="e">
        <f>AND('PE1'!Q29,"AAAAAHfanyw=")</f>
        <v>#VALUE!</v>
      </c>
      <c r="AT106" t="e">
        <f>AND('PE1'!R29,"AAAAAHfany0=")</f>
        <v>#VALUE!</v>
      </c>
      <c r="AU106" t="e">
        <f>AND('PE1'!S29,"AAAAAHfany4=")</f>
        <v>#VALUE!</v>
      </c>
      <c r="AV106" t="e">
        <f>AND('PE1'!T29,"AAAAAHfany8=")</f>
        <v>#VALUE!</v>
      </c>
      <c r="AW106" t="e">
        <f>AND('PE1'!U29,"AAAAAHfanzA=")</f>
        <v>#VALUE!</v>
      </c>
      <c r="AX106" t="e">
        <f>AND('PE1'!V29,"AAAAAHfanzE=")</f>
        <v>#VALUE!</v>
      </c>
      <c r="AY106" t="e">
        <f>AND('PE1'!W29,"AAAAAHfanzI=")</f>
        <v>#VALUE!</v>
      </c>
      <c r="AZ106" t="e">
        <f>AND('PE1'!X29,"AAAAAHfanzM=")</f>
        <v>#VALUE!</v>
      </c>
      <c r="BA106">
        <f>IF('PE1'!30:30,"AAAAAHfanzQ=",0)</f>
        <v>0</v>
      </c>
      <c r="BB106" t="e">
        <f ca="1">AND('PE1'!A30,"AAAAAHfanzU=")</f>
        <v>#VALUE!</v>
      </c>
      <c r="BC106" t="e">
        <f ca="1">AND('PE1'!B30,"AAAAAHfanzY=")</f>
        <v>#VALUE!</v>
      </c>
      <c r="BD106" t="e">
        <f>AND('PE1'!#REF!,"AAAAAHfanzc=")</f>
        <v>#REF!</v>
      </c>
      <c r="BE106" t="e">
        <f>AND('PE1'!#REF!,"AAAAAHfanzg=")</f>
        <v>#REF!</v>
      </c>
      <c r="BF106" t="e">
        <f>AND('PE1'!D30,"AAAAAHfanzk=")</f>
        <v>#VALUE!</v>
      </c>
      <c r="BG106" t="e">
        <f>AND('PE1'!E30,"AAAAAHfanzo=")</f>
        <v>#VALUE!</v>
      </c>
      <c r="BH106" t="e">
        <f>AND('PE1'!F30,"AAAAAHfanzs=")</f>
        <v>#VALUE!</v>
      </c>
      <c r="BI106" t="e">
        <f>AND('PE1'!G30,"AAAAAHfanzw=")</f>
        <v>#VALUE!</v>
      </c>
      <c r="BJ106" t="e">
        <f>AND('PE1'!H30,"AAAAAHfanz0=")</f>
        <v>#VALUE!</v>
      </c>
      <c r="BK106" t="e">
        <f>AND('PE1'!I30,"AAAAAHfanz4=")</f>
        <v>#VALUE!</v>
      </c>
      <c r="BL106" t="e">
        <f>AND('PE1'!J30,"AAAAAHfanz8=")</f>
        <v>#VALUE!</v>
      </c>
      <c r="BM106" t="e">
        <f>AND('PE1'!K30,"AAAAAHfan0A=")</f>
        <v>#VALUE!</v>
      </c>
      <c r="BN106" t="e">
        <f>AND('PE1'!L30,"AAAAAHfan0E=")</f>
        <v>#VALUE!</v>
      </c>
      <c r="BO106" t="e">
        <f>AND('PE1'!M30,"AAAAAHfan0I=")</f>
        <v>#VALUE!</v>
      </c>
      <c r="BP106" t="e">
        <f>AND('PE1'!N30,"AAAAAHfan0M=")</f>
        <v>#VALUE!</v>
      </c>
      <c r="BQ106" t="e">
        <f>AND('PE1'!O30,"AAAAAHfan0Q=")</f>
        <v>#VALUE!</v>
      </c>
      <c r="BR106" t="e">
        <f>AND('PE1'!P30,"AAAAAHfan0U=")</f>
        <v>#VALUE!</v>
      </c>
      <c r="BS106" t="e">
        <f>AND('PE1'!Q30,"AAAAAHfan0Y=")</f>
        <v>#VALUE!</v>
      </c>
      <c r="BT106" t="e">
        <f>AND('PE1'!R30,"AAAAAHfan0c=")</f>
        <v>#VALUE!</v>
      </c>
      <c r="BU106" t="e">
        <f>AND('PE1'!S30,"AAAAAHfan0g=")</f>
        <v>#VALUE!</v>
      </c>
      <c r="BV106" t="e">
        <f>AND('PE1'!T30,"AAAAAHfan0k=")</f>
        <v>#VALUE!</v>
      </c>
      <c r="BW106" t="e">
        <f>AND('PE1'!U30,"AAAAAHfan0o=")</f>
        <v>#VALUE!</v>
      </c>
      <c r="BX106" t="e">
        <f>AND('PE1'!V30,"AAAAAHfan0s=")</f>
        <v>#VALUE!</v>
      </c>
      <c r="BY106" t="e">
        <f>AND('PE1'!W30,"AAAAAHfan0w=")</f>
        <v>#VALUE!</v>
      </c>
      <c r="BZ106" t="e">
        <f>AND('PE1'!X30,"AAAAAHfan00=")</f>
        <v>#VALUE!</v>
      </c>
      <c r="CA106">
        <f>IF('PE1'!31:31,"AAAAAHfan04=",0)</f>
        <v>0</v>
      </c>
      <c r="CB106" t="e">
        <f ca="1">AND('PE1'!A31,"AAAAAHfan08=")</f>
        <v>#VALUE!</v>
      </c>
      <c r="CC106" t="e">
        <f ca="1">AND('PE1'!B31,"AAAAAHfan1A=")</f>
        <v>#VALUE!</v>
      </c>
      <c r="CD106" t="e">
        <f>AND('PE1'!#REF!,"AAAAAHfan1E=")</f>
        <v>#REF!</v>
      </c>
      <c r="CE106" t="e">
        <f>AND('PE1'!#REF!,"AAAAAHfan1I=")</f>
        <v>#REF!</v>
      </c>
      <c r="CF106" t="e">
        <f>AND('PE1'!D31,"AAAAAHfan1M=")</f>
        <v>#VALUE!</v>
      </c>
      <c r="CG106" t="e">
        <f>AND('PE1'!E31,"AAAAAHfan1Q=")</f>
        <v>#VALUE!</v>
      </c>
      <c r="CH106" t="e">
        <f>AND('PE1'!F31,"AAAAAHfan1U=")</f>
        <v>#VALUE!</v>
      </c>
      <c r="CI106" t="e">
        <f>AND('PE1'!G31,"AAAAAHfan1Y=")</f>
        <v>#VALUE!</v>
      </c>
      <c r="CJ106" t="e">
        <f>AND('PE1'!H31,"AAAAAHfan1c=")</f>
        <v>#VALUE!</v>
      </c>
      <c r="CK106" t="e">
        <f>AND('PE1'!I31,"AAAAAHfan1g=")</f>
        <v>#VALUE!</v>
      </c>
      <c r="CL106" t="e">
        <f>AND('PE1'!J31,"AAAAAHfan1k=")</f>
        <v>#VALUE!</v>
      </c>
      <c r="CM106" t="e">
        <f>AND('PE1'!K31,"AAAAAHfan1o=")</f>
        <v>#VALUE!</v>
      </c>
      <c r="CN106" t="e">
        <f>AND('PE1'!L31,"AAAAAHfan1s=")</f>
        <v>#VALUE!</v>
      </c>
      <c r="CO106" t="e">
        <f>AND('PE1'!M31,"AAAAAHfan1w=")</f>
        <v>#VALUE!</v>
      </c>
      <c r="CP106" t="e">
        <f>AND('PE1'!N31,"AAAAAHfan10=")</f>
        <v>#VALUE!</v>
      </c>
      <c r="CQ106" t="e">
        <f>AND('PE1'!O31,"AAAAAHfan14=")</f>
        <v>#VALUE!</v>
      </c>
      <c r="CR106" t="e">
        <f>AND('PE1'!P31,"AAAAAHfan18=")</f>
        <v>#VALUE!</v>
      </c>
      <c r="CS106" t="e">
        <f>AND('PE1'!Q31,"AAAAAHfan2A=")</f>
        <v>#VALUE!</v>
      </c>
      <c r="CT106" t="e">
        <f>AND('PE1'!R31,"AAAAAHfan2E=")</f>
        <v>#VALUE!</v>
      </c>
      <c r="CU106" t="e">
        <f>AND('PE1'!S31,"AAAAAHfan2I=")</f>
        <v>#VALUE!</v>
      </c>
      <c r="CV106" t="e">
        <f>AND('PE1'!T31,"AAAAAHfan2M=")</f>
        <v>#VALUE!</v>
      </c>
      <c r="CW106" t="e">
        <f>AND('PE1'!U31,"AAAAAHfan2Q=")</f>
        <v>#VALUE!</v>
      </c>
      <c r="CX106" t="e">
        <f>AND('PE1'!V31,"AAAAAHfan2U=")</f>
        <v>#VALUE!</v>
      </c>
      <c r="CY106" t="e">
        <f>AND('PE1'!W31,"AAAAAHfan2Y=")</f>
        <v>#VALUE!</v>
      </c>
      <c r="CZ106" t="e">
        <f>AND('PE1'!X31,"AAAAAHfan2c=")</f>
        <v>#VALUE!</v>
      </c>
      <c r="DA106">
        <f>IF('PE1'!A:A,"AAAAAHfan2g=",0)</f>
        <v>0</v>
      </c>
      <c r="DB106">
        <f>IF('PE1'!B:B,"AAAAAHfan2k=",0)</f>
        <v>0</v>
      </c>
      <c r="DC106" t="e">
        <f>IF('PE1'!#REF!,"AAAAAHfan2o=",0)</f>
        <v>#REF!</v>
      </c>
      <c r="DD106" t="e">
        <f>IF('PE1'!#REF!,"AAAAAHfan2s=",0)</f>
        <v>#REF!</v>
      </c>
      <c r="DE106">
        <f>IF('PE1'!D:D,"AAAAAHfan2w=",0)</f>
        <v>0</v>
      </c>
      <c r="DF106">
        <f>IF('PE1'!E:E,"AAAAAHfan20=",0)</f>
        <v>0</v>
      </c>
      <c r="DG106">
        <f>IF('PE1'!F:F,"AAAAAHfan24=",0)</f>
        <v>0</v>
      </c>
      <c r="DH106">
        <f>IF('PE1'!G:G,"AAAAAHfan28=",0)</f>
        <v>0</v>
      </c>
      <c r="DI106">
        <f>IF('PE1'!H:H,"AAAAAHfan3A=",0)</f>
        <v>0</v>
      </c>
      <c r="DJ106">
        <f>IF('PE1'!I:I,"AAAAAHfan3E=",0)</f>
        <v>0</v>
      </c>
      <c r="DK106">
        <f>IF('PE1'!J:J,"AAAAAHfan3I=",0)</f>
        <v>0</v>
      </c>
      <c r="DL106">
        <f>IF('PE1'!K:K,"AAAAAHfan3M=",0)</f>
        <v>0</v>
      </c>
      <c r="DM106">
        <f>IF('PE1'!L:L,"AAAAAHfan3Q=",0)</f>
        <v>0</v>
      </c>
      <c r="DN106">
        <f>IF('PE1'!M:M,"AAAAAHfan3U=",0)</f>
        <v>0</v>
      </c>
      <c r="DO106">
        <f>IF('PE1'!N:N,"AAAAAHfan3Y=",0)</f>
        <v>0</v>
      </c>
      <c r="DP106">
        <f>IF('PE1'!O:O,"AAAAAHfan3c=",0)</f>
        <v>0</v>
      </c>
      <c r="DQ106">
        <f>IF('PE1'!P:P,"AAAAAHfan3g=",0)</f>
        <v>0</v>
      </c>
      <c r="DR106">
        <f>IF('PE1'!Q:Q,"AAAAAHfan3k=",0)</f>
        <v>0</v>
      </c>
      <c r="DS106">
        <f>IF('PE1'!R:R,"AAAAAHfan3o=",0)</f>
        <v>0</v>
      </c>
      <c r="DT106">
        <f>IF('PE1'!S:S,"AAAAAHfan3s=",0)</f>
        <v>0</v>
      </c>
      <c r="DU106">
        <f>IF('PE1'!T:T,"AAAAAHfan3w=",0)</f>
        <v>0</v>
      </c>
      <c r="DV106">
        <f>IF('PE1'!U:U,"AAAAAHfan30=",0)</f>
        <v>0</v>
      </c>
      <c r="DW106">
        <f>IF('PE1'!V:V,"AAAAAHfan34=",0)</f>
        <v>0</v>
      </c>
      <c r="DX106">
        <f>IF('PE1'!W:W,"AAAAAHfan38=",0)</f>
        <v>0</v>
      </c>
      <c r="DY106">
        <f>IF('PE1'!X:X,"AAAAAHfan4A=",0)</f>
        <v>0</v>
      </c>
      <c r="DZ106">
        <f>IF('PE1'!Y:Y,"AAAAAHfan4E=",0)</f>
        <v>0</v>
      </c>
      <c r="EA106">
        <f>IF('PE1'!Z:Z,"AAAAAHfan4I=",0)</f>
        <v>0</v>
      </c>
      <c r="EB106" t="e">
        <f>IF(#REF!,"AAAAAHfan4M=",0)</f>
        <v>#REF!</v>
      </c>
      <c r="EC106" t="e">
        <f>AND(#REF!,"AAAAAHfan4Q=")</f>
        <v>#REF!</v>
      </c>
      <c r="ED106" t="e">
        <f>AND(#REF!,"AAAAAHfan4U=")</f>
        <v>#REF!</v>
      </c>
      <c r="EE106" t="e">
        <f>AND(#REF!,"AAAAAHfan4Y=")</f>
        <v>#REF!</v>
      </c>
      <c r="EF106" t="e">
        <f>AND(#REF!,"AAAAAHfan4c=")</f>
        <v>#REF!</v>
      </c>
      <c r="EG106" t="e">
        <f>AND(#REF!,"AAAAAHfan4g=")</f>
        <v>#REF!</v>
      </c>
      <c r="EH106" t="e">
        <f>AND(#REF!,"AAAAAHfan4k=")</f>
        <v>#REF!</v>
      </c>
      <c r="EI106" t="e">
        <f>AND(#REF!,"AAAAAHfan4o=")</f>
        <v>#REF!</v>
      </c>
      <c r="EJ106" t="e">
        <f>AND(#REF!,"AAAAAHfan4s=")</f>
        <v>#REF!</v>
      </c>
      <c r="EK106" t="e">
        <f>AND(#REF!,"AAAAAHfan4w=")</f>
        <v>#REF!</v>
      </c>
      <c r="EL106" t="e">
        <f>AND(#REF!,"AAAAAHfan40=")</f>
        <v>#REF!</v>
      </c>
      <c r="EM106" t="e">
        <f>AND(#REF!,"AAAAAHfan44=")</f>
        <v>#REF!</v>
      </c>
      <c r="EN106" t="e">
        <f>AND(#REF!,"AAAAAHfan48=")</f>
        <v>#REF!</v>
      </c>
      <c r="EO106" t="e">
        <f>AND(#REF!,"AAAAAHfan5A=")</f>
        <v>#REF!</v>
      </c>
      <c r="EP106" t="e">
        <f>AND(#REF!,"AAAAAHfan5E=")</f>
        <v>#REF!</v>
      </c>
      <c r="EQ106" t="e">
        <f>AND(#REF!,"AAAAAHfan5I=")</f>
        <v>#REF!</v>
      </c>
      <c r="ER106" t="e">
        <f>AND(#REF!,"AAAAAHfan5M=")</f>
        <v>#REF!</v>
      </c>
      <c r="ES106" t="e">
        <f>IF(#REF!,"AAAAAHfan5Q=",0)</f>
        <v>#REF!</v>
      </c>
      <c r="ET106" t="e">
        <f>AND(#REF!,"AAAAAHfan5U=")</f>
        <v>#REF!</v>
      </c>
      <c r="EU106" t="e">
        <f>AND(#REF!,"AAAAAHfan5Y=")</f>
        <v>#REF!</v>
      </c>
      <c r="EV106" t="e">
        <f>AND(#REF!,"AAAAAHfan5c=")</f>
        <v>#REF!</v>
      </c>
      <c r="EW106" t="e">
        <f>AND(#REF!,"AAAAAHfan5g=")</f>
        <v>#REF!</v>
      </c>
      <c r="EX106" t="e">
        <f>AND(#REF!,"AAAAAHfan5k=")</f>
        <v>#REF!</v>
      </c>
      <c r="EY106" t="e">
        <f>AND(#REF!,"AAAAAHfan5o=")</f>
        <v>#REF!</v>
      </c>
      <c r="EZ106" t="e">
        <f>AND(#REF!,"AAAAAHfan5s=")</f>
        <v>#REF!</v>
      </c>
      <c r="FA106" t="e">
        <f>AND(#REF!,"AAAAAHfan5w=")</f>
        <v>#REF!</v>
      </c>
      <c r="FB106" t="e">
        <f>AND(#REF!,"AAAAAHfan50=")</f>
        <v>#REF!</v>
      </c>
      <c r="FC106" t="e">
        <f>AND(#REF!,"AAAAAHfan54=")</f>
        <v>#REF!</v>
      </c>
      <c r="FD106" t="e">
        <f>AND(#REF!,"AAAAAHfan58=")</f>
        <v>#REF!</v>
      </c>
      <c r="FE106" t="e">
        <f>AND(#REF!,"AAAAAHfan6A=")</f>
        <v>#REF!</v>
      </c>
      <c r="FF106" t="e">
        <f>AND(#REF!,"AAAAAHfan6E=")</f>
        <v>#REF!</v>
      </c>
      <c r="FG106" t="e">
        <f>AND(#REF!,"AAAAAHfan6I=")</f>
        <v>#REF!</v>
      </c>
      <c r="FH106" t="e">
        <f>AND(#REF!,"AAAAAHfan6M=")</f>
        <v>#REF!</v>
      </c>
      <c r="FI106" t="e">
        <f>AND(#REF!,"AAAAAHfan6Q=")</f>
        <v>#REF!</v>
      </c>
      <c r="FJ106" t="e">
        <f>IF(#REF!,"AAAAAHfan6U=",0)</f>
        <v>#REF!</v>
      </c>
      <c r="FK106" t="e">
        <f>AND(#REF!,"AAAAAHfan6Y=")</f>
        <v>#REF!</v>
      </c>
      <c r="FL106" t="e">
        <f>AND(#REF!,"AAAAAHfan6c=")</f>
        <v>#REF!</v>
      </c>
      <c r="FM106" t="e">
        <f>AND(#REF!,"AAAAAHfan6g=")</f>
        <v>#REF!</v>
      </c>
      <c r="FN106" t="e">
        <f>AND(#REF!,"AAAAAHfan6k=")</f>
        <v>#REF!</v>
      </c>
      <c r="FO106" t="e">
        <f>AND(#REF!,"AAAAAHfan6o=")</f>
        <v>#REF!</v>
      </c>
      <c r="FP106" t="e">
        <f>AND(#REF!,"AAAAAHfan6s=")</f>
        <v>#REF!</v>
      </c>
      <c r="FQ106" t="e">
        <f>AND(#REF!,"AAAAAHfan6w=")</f>
        <v>#REF!</v>
      </c>
      <c r="FR106" t="e">
        <f>AND(#REF!,"AAAAAHfan60=")</f>
        <v>#REF!</v>
      </c>
      <c r="FS106" t="e">
        <f>AND(#REF!,"AAAAAHfan64=")</f>
        <v>#REF!</v>
      </c>
      <c r="FT106" t="e">
        <f>AND(#REF!,"AAAAAHfan68=")</f>
        <v>#REF!</v>
      </c>
      <c r="FU106" t="e">
        <f>AND(#REF!,"AAAAAHfan7A=")</f>
        <v>#REF!</v>
      </c>
      <c r="FV106" t="e">
        <f>AND(#REF!,"AAAAAHfan7E=")</f>
        <v>#REF!</v>
      </c>
      <c r="FW106" t="e">
        <f>AND(#REF!,"AAAAAHfan7I=")</f>
        <v>#REF!</v>
      </c>
      <c r="FX106" t="e">
        <f>AND(#REF!,"AAAAAHfan7M=")</f>
        <v>#REF!</v>
      </c>
      <c r="FY106" t="e">
        <f>AND(#REF!,"AAAAAHfan7Q=")</f>
        <v>#REF!</v>
      </c>
      <c r="FZ106" t="e">
        <f>AND(#REF!,"AAAAAHfan7U=")</f>
        <v>#REF!</v>
      </c>
      <c r="GA106" t="e">
        <f>IF(#REF!,"AAAAAHfan7Y=",0)</f>
        <v>#REF!</v>
      </c>
      <c r="GB106" t="e">
        <f>AND(#REF!,"AAAAAHfan7c=")</f>
        <v>#REF!</v>
      </c>
      <c r="GC106" t="e">
        <f>AND(#REF!,"AAAAAHfan7g=")</f>
        <v>#REF!</v>
      </c>
      <c r="GD106" t="e">
        <f>AND(#REF!,"AAAAAHfan7k=")</f>
        <v>#REF!</v>
      </c>
      <c r="GE106" t="e">
        <f>AND(#REF!,"AAAAAHfan7o=")</f>
        <v>#REF!</v>
      </c>
      <c r="GF106" t="e">
        <f>AND(#REF!,"AAAAAHfan7s=")</f>
        <v>#REF!</v>
      </c>
      <c r="GG106" t="e">
        <f>AND(#REF!,"AAAAAHfan7w=")</f>
        <v>#REF!</v>
      </c>
      <c r="GH106" t="e">
        <f>AND(#REF!,"AAAAAHfan70=")</f>
        <v>#REF!</v>
      </c>
      <c r="GI106" t="e">
        <f>AND(#REF!,"AAAAAHfan74=")</f>
        <v>#REF!</v>
      </c>
      <c r="GJ106" t="e">
        <f>AND(#REF!,"AAAAAHfan78=")</f>
        <v>#REF!</v>
      </c>
      <c r="GK106" t="e">
        <f>AND(#REF!,"AAAAAHfan8A=")</f>
        <v>#REF!</v>
      </c>
      <c r="GL106" t="e">
        <f>AND(#REF!,"AAAAAHfan8E=")</f>
        <v>#REF!</v>
      </c>
      <c r="GM106" t="e">
        <f>AND(#REF!,"AAAAAHfan8I=")</f>
        <v>#REF!</v>
      </c>
      <c r="GN106" t="e">
        <f>AND(#REF!,"AAAAAHfan8M=")</f>
        <v>#REF!</v>
      </c>
      <c r="GO106" t="e">
        <f>AND(#REF!,"AAAAAHfan8Q=")</f>
        <v>#REF!</v>
      </c>
      <c r="GP106" t="e">
        <f>AND(#REF!,"AAAAAHfan8U=")</f>
        <v>#REF!</v>
      </c>
      <c r="GQ106" t="e">
        <f>AND(#REF!,"AAAAAHfan8Y=")</f>
        <v>#REF!</v>
      </c>
      <c r="GR106" t="e">
        <f>IF(#REF!,"AAAAAHfan8c=",0)</f>
        <v>#REF!</v>
      </c>
      <c r="GS106" t="e">
        <f>AND(#REF!,"AAAAAHfan8g=")</f>
        <v>#REF!</v>
      </c>
      <c r="GT106" t="e">
        <f>AND(#REF!,"AAAAAHfan8k=")</f>
        <v>#REF!</v>
      </c>
      <c r="GU106" t="e">
        <f>AND(#REF!,"AAAAAHfan8o=")</f>
        <v>#REF!</v>
      </c>
      <c r="GV106" t="e">
        <f>AND(#REF!,"AAAAAHfan8s=")</f>
        <v>#REF!</v>
      </c>
      <c r="GW106" t="e">
        <f>AND(#REF!,"AAAAAHfan8w=")</f>
        <v>#REF!</v>
      </c>
      <c r="GX106" t="e">
        <f>AND(#REF!,"AAAAAHfan80=")</f>
        <v>#REF!</v>
      </c>
      <c r="GY106" t="e">
        <f>AND(#REF!,"AAAAAHfan84=")</f>
        <v>#REF!</v>
      </c>
      <c r="GZ106" t="e">
        <f>AND(#REF!,"AAAAAHfan88=")</f>
        <v>#REF!</v>
      </c>
      <c r="HA106" t="e">
        <f>AND(#REF!,"AAAAAHfan9A=")</f>
        <v>#REF!</v>
      </c>
      <c r="HB106" t="e">
        <f>AND(#REF!,"AAAAAHfan9E=")</f>
        <v>#REF!</v>
      </c>
      <c r="HC106" t="e">
        <f>AND(#REF!,"AAAAAHfan9I=")</f>
        <v>#REF!</v>
      </c>
      <c r="HD106" t="e">
        <f>AND(#REF!,"AAAAAHfan9M=")</f>
        <v>#REF!</v>
      </c>
      <c r="HE106" t="e">
        <f>AND(#REF!,"AAAAAHfan9Q=")</f>
        <v>#REF!</v>
      </c>
      <c r="HF106" t="e">
        <f>AND(#REF!,"AAAAAHfan9U=")</f>
        <v>#REF!</v>
      </c>
      <c r="HG106" t="e">
        <f>AND(#REF!,"AAAAAHfan9Y=")</f>
        <v>#REF!</v>
      </c>
      <c r="HH106" t="e">
        <f>AND(#REF!,"AAAAAHfan9c=")</f>
        <v>#REF!</v>
      </c>
      <c r="HI106" t="e">
        <f>IF(#REF!,"AAAAAHfan9g=",0)</f>
        <v>#REF!</v>
      </c>
      <c r="HJ106" t="e">
        <f>AND(#REF!,"AAAAAHfan9k=")</f>
        <v>#REF!</v>
      </c>
      <c r="HK106" t="e">
        <f>AND(#REF!,"AAAAAHfan9o=")</f>
        <v>#REF!</v>
      </c>
      <c r="HL106" t="e">
        <f>AND(#REF!,"AAAAAHfan9s=")</f>
        <v>#REF!</v>
      </c>
      <c r="HM106" t="e">
        <f>AND(#REF!,"AAAAAHfan9w=")</f>
        <v>#REF!</v>
      </c>
      <c r="HN106" t="e">
        <f>AND(#REF!,"AAAAAHfan90=")</f>
        <v>#REF!</v>
      </c>
      <c r="HO106" t="e">
        <f>AND(#REF!,"AAAAAHfan94=")</f>
        <v>#REF!</v>
      </c>
      <c r="HP106" t="e">
        <f>AND(#REF!,"AAAAAHfan98=")</f>
        <v>#REF!</v>
      </c>
      <c r="HQ106" t="e">
        <f>AND(#REF!,"AAAAAHfan+A=")</f>
        <v>#REF!</v>
      </c>
      <c r="HR106" t="e">
        <f>AND(#REF!,"AAAAAHfan+E=")</f>
        <v>#REF!</v>
      </c>
      <c r="HS106" t="e">
        <f>AND(#REF!,"AAAAAHfan+I=")</f>
        <v>#REF!</v>
      </c>
      <c r="HT106" t="e">
        <f>AND(#REF!,"AAAAAHfan+M=")</f>
        <v>#REF!</v>
      </c>
      <c r="HU106" t="e">
        <f>AND(#REF!,"AAAAAHfan+Q=")</f>
        <v>#REF!</v>
      </c>
      <c r="HV106" t="e">
        <f>AND(#REF!,"AAAAAHfan+U=")</f>
        <v>#REF!</v>
      </c>
      <c r="HW106" t="e">
        <f>AND(#REF!,"AAAAAHfan+Y=")</f>
        <v>#REF!</v>
      </c>
      <c r="HX106" t="e">
        <f>AND(#REF!,"AAAAAHfan+c=")</f>
        <v>#REF!</v>
      </c>
      <c r="HY106" t="e">
        <f>AND(#REF!,"AAAAAHfan+g=")</f>
        <v>#REF!</v>
      </c>
      <c r="HZ106" t="e">
        <f>IF(#REF!,"AAAAAHfan+k=",0)</f>
        <v>#REF!</v>
      </c>
      <c r="IA106" t="e">
        <f>AND(#REF!,"AAAAAHfan+o=")</f>
        <v>#REF!</v>
      </c>
      <c r="IB106" t="e">
        <f>AND(#REF!,"AAAAAHfan+s=")</f>
        <v>#REF!</v>
      </c>
      <c r="IC106" t="e">
        <f>AND(#REF!,"AAAAAHfan+w=")</f>
        <v>#REF!</v>
      </c>
      <c r="ID106" t="e">
        <f>AND(#REF!,"AAAAAHfan+0=")</f>
        <v>#REF!</v>
      </c>
      <c r="IE106" t="e">
        <f>AND(#REF!,"AAAAAHfan+4=")</f>
        <v>#REF!</v>
      </c>
      <c r="IF106" t="e">
        <f>AND(#REF!,"AAAAAHfan+8=")</f>
        <v>#REF!</v>
      </c>
      <c r="IG106" t="e">
        <f>AND(#REF!,"AAAAAHfan/A=")</f>
        <v>#REF!</v>
      </c>
      <c r="IH106" t="e">
        <f>AND(#REF!,"AAAAAHfan/E=")</f>
        <v>#REF!</v>
      </c>
      <c r="II106" t="e">
        <f>AND(#REF!,"AAAAAHfan/I=")</f>
        <v>#REF!</v>
      </c>
      <c r="IJ106" t="e">
        <f>AND(#REF!,"AAAAAHfan/M=")</f>
        <v>#REF!</v>
      </c>
      <c r="IK106" t="e">
        <f>AND(#REF!,"AAAAAHfan/Q=")</f>
        <v>#REF!</v>
      </c>
      <c r="IL106" t="e">
        <f>AND(#REF!,"AAAAAHfan/U=")</f>
        <v>#REF!</v>
      </c>
      <c r="IM106" t="e">
        <f>AND(#REF!,"AAAAAHfan/Y=")</f>
        <v>#REF!</v>
      </c>
      <c r="IN106" t="e">
        <f>AND(#REF!,"AAAAAHfan/c=")</f>
        <v>#REF!</v>
      </c>
      <c r="IO106" t="e">
        <f>AND(#REF!,"AAAAAHfan/g=")</f>
        <v>#REF!</v>
      </c>
      <c r="IP106" t="e">
        <f>AND(#REF!,"AAAAAHfan/k=")</f>
        <v>#REF!</v>
      </c>
      <c r="IQ106" t="e">
        <f>IF(#REF!,"AAAAAHfan/o=",0)</f>
        <v>#REF!</v>
      </c>
      <c r="IR106" t="e">
        <f>AND(#REF!,"AAAAAHfan/s=")</f>
        <v>#REF!</v>
      </c>
      <c r="IS106" t="e">
        <f>AND(#REF!,"AAAAAHfan/w=")</f>
        <v>#REF!</v>
      </c>
      <c r="IT106" t="e">
        <f>AND(#REF!,"AAAAAHfan/0=")</f>
        <v>#REF!</v>
      </c>
      <c r="IU106" t="e">
        <f>AND(#REF!,"AAAAAHfan/4=")</f>
        <v>#REF!</v>
      </c>
      <c r="IV106" t="e">
        <f>AND(#REF!,"AAAAAHfan/8=")</f>
        <v>#REF!</v>
      </c>
    </row>
    <row r="107" spans="1:256" x14ac:dyDescent="0.25">
      <c r="A107" t="e">
        <f>AND(#REF!,"AAAAAH/v9wA=")</f>
        <v>#REF!</v>
      </c>
      <c r="B107" t="e">
        <f>AND(#REF!,"AAAAAH/v9wE=")</f>
        <v>#REF!</v>
      </c>
      <c r="C107" t="e">
        <f>AND(#REF!,"AAAAAH/v9wI=")</f>
        <v>#REF!</v>
      </c>
      <c r="D107" t="e">
        <f>AND(#REF!,"AAAAAH/v9wM=")</f>
        <v>#REF!</v>
      </c>
      <c r="E107" t="e">
        <f>AND(#REF!,"AAAAAH/v9wQ=")</f>
        <v>#REF!</v>
      </c>
      <c r="F107" t="e">
        <f>AND(#REF!,"AAAAAH/v9wU=")</f>
        <v>#REF!</v>
      </c>
      <c r="G107" t="e">
        <f>AND(#REF!,"AAAAAH/v9wY=")</f>
        <v>#REF!</v>
      </c>
      <c r="H107" t="e">
        <f>AND(#REF!,"AAAAAH/v9wc=")</f>
        <v>#REF!</v>
      </c>
      <c r="I107" t="e">
        <f>AND(#REF!,"AAAAAH/v9wg=")</f>
        <v>#REF!</v>
      </c>
      <c r="J107" t="e">
        <f>AND(#REF!,"AAAAAH/v9wk=")</f>
        <v>#REF!</v>
      </c>
      <c r="K107" t="e">
        <f>AND(#REF!,"AAAAAH/v9wo=")</f>
        <v>#REF!</v>
      </c>
      <c r="L107" t="e">
        <f>IF(#REF!,"AAAAAH/v9ws=",0)</f>
        <v>#REF!</v>
      </c>
      <c r="M107" t="e">
        <f>AND(#REF!,"AAAAAH/v9ww=")</f>
        <v>#REF!</v>
      </c>
      <c r="N107" t="e">
        <f>AND(#REF!,"AAAAAH/v9w0=")</f>
        <v>#REF!</v>
      </c>
      <c r="O107" t="e">
        <f>AND(#REF!,"AAAAAH/v9w4=")</f>
        <v>#REF!</v>
      </c>
      <c r="P107" t="e">
        <f>AND(#REF!,"AAAAAH/v9w8=")</f>
        <v>#REF!</v>
      </c>
      <c r="Q107" t="e">
        <f>AND(#REF!,"AAAAAH/v9xA=")</f>
        <v>#REF!</v>
      </c>
      <c r="R107" t="e">
        <f>AND(#REF!,"AAAAAH/v9xE=")</f>
        <v>#REF!</v>
      </c>
      <c r="S107" t="e">
        <f>AND(#REF!,"AAAAAH/v9xI=")</f>
        <v>#REF!</v>
      </c>
      <c r="T107" t="e">
        <f>AND(#REF!,"AAAAAH/v9xM=")</f>
        <v>#REF!</v>
      </c>
      <c r="U107" t="e">
        <f>AND(#REF!,"AAAAAH/v9xQ=")</f>
        <v>#REF!</v>
      </c>
      <c r="V107" t="e">
        <f>AND(#REF!,"AAAAAH/v9xU=")</f>
        <v>#REF!</v>
      </c>
      <c r="W107" t="e">
        <f>AND(#REF!,"AAAAAH/v9xY=")</f>
        <v>#REF!</v>
      </c>
      <c r="X107" t="e">
        <f>AND(#REF!,"AAAAAH/v9xc=")</f>
        <v>#REF!</v>
      </c>
      <c r="Y107" t="e">
        <f>AND(#REF!,"AAAAAH/v9xg=")</f>
        <v>#REF!</v>
      </c>
      <c r="Z107" t="e">
        <f>AND(#REF!,"AAAAAH/v9xk=")</f>
        <v>#REF!</v>
      </c>
      <c r="AA107" t="e">
        <f>AND(#REF!,"AAAAAH/v9xo=")</f>
        <v>#REF!</v>
      </c>
      <c r="AB107" t="e">
        <f>AND(#REF!,"AAAAAH/v9xs=")</f>
        <v>#REF!</v>
      </c>
      <c r="AC107" t="e">
        <f>IF(#REF!,"AAAAAH/v9xw=",0)</f>
        <v>#REF!</v>
      </c>
      <c r="AD107" t="e">
        <f>AND(#REF!,"AAAAAH/v9x0=")</f>
        <v>#REF!</v>
      </c>
      <c r="AE107" t="e">
        <f>AND(#REF!,"AAAAAH/v9x4=")</f>
        <v>#REF!</v>
      </c>
      <c r="AF107" t="e">
        <f>AND(#REF!,"AAAAAH/v9x8=")</f>
        <v>#REF!</v>
      </c>
      <c r="AG107" t="e">
        <f>AND(#REF!,"AAAAAH/v9yA=")</f>
        <v>#REF!</v>
      </c>
      <c r="AH107" t="e">
        <f>AND(#REF!,"AAAAAH/v9yE=")</f>
        <v>#REF!</v>
      </c>
      <c r="AI107" t="e">
        <f>AND(#REF!,"AAAAAH/v9yI=")</f>
        <v>#REF!</v>
      </c>
      <c r="AJ107" t="e">
        <f>AND(#REF!,"AAAAAH/v9yM=")</f>
        <v>#REF!</v>
      </c>
      <c r="AK107" t="e">
        <f>AND(#REF!,"AAAAAH/v9yQ=")</f>
        <v>#REF!</v>
      </c>
      <c r="AL107" t="e">
        <f>AND(#REF!,"AAAAAH/v9yU=")</f>
        <v>#REF!</v>
      </c>
      <c r="AM107" t="e">
        <f>AND(#REF!,"AAAAAH/v9yY=")</f>
        <v>#REF!</v>
      </c>
      <c r="AN107" t="e">
        <f>AND(#REF!,"AAAAAH/v9yc=")</f>
        <v>#REF!</v>
      </c>
      <c r="AO107" t="e">
        <f>AND(#REF!,"AAAAAH/v9yg=")</f>
        <v>#REF!</v>
      </c>
      <c r="AP107" t="e">
        <f>AND(#REF!,"AAAAAH/v9yk=")</f>
        <v>#REF!</v>
      </c>
      <c r="AQ107" t="e">
        <f>AND(#REF!,"AAAAAH/v9yo=")</f>
        <v>#REF!</v>
      </c>
      <c r="AR107" t="e">
        <f>AND(#REF!,"AAAAAH/v9ys=")</f>
        <v>#REF!</v>
      </c>
      <c r="AS107" t="e">
        <f>AND(#REF!,"AAAAAH/v9yw=")</f>
        <v>#REF!</v>
      </c>
      <c r="AT107" t="e">
        <f>IF(#REF!,"AAAAAH/v9y0=",0)</f>
        <v>#REF!</v>
      </c>
      <c r="AU107" t="e">
        <f>AND(#REF!,"AAAAAH/v9y4=")</f>
        <v>#REF!</v>
      </c>
      <c r="AV107" t="e">
        <f>AND(#REF!,"AAAAAH/v9y8=")</f>
        <v>#REF!</v>
      </c>
      <c r="AW107" t="e">
        <f>AND(#REF!,"AAAAAH/v9zA=")</f>
        <v>#REF!</v>
      </c>
      <c r="AX107" t="e">
        <f>AND(#REF!,"AAAAAH/v9zE=")</f>
        <v>#REF!</v>
      </c>
      <c r="AY107" t="e">
        <f>AND(#REF!,"AAAAAH/v9zI=")</f>
        <v>#REF!</v>
      </c>
      <c r="AZ107" t="e">
        <f>AND(#REF!,"AAAAAH/v9zM=")</f>
        <v>#REF!</v>
      </c>
      <c r="BA107" t="e">
        <f>AND(#REF!,"AAAAAH/v9zQ=")</f>
        <v>#REF!</v>
      </c>
      <c r="BB107" t="e">
        <f>AND(#REF!,"AAAAAH/v9zU=")</f>
        <v>#REF!</v>
      </c>
      <c r="BC107" t="e">
        <f>AND(#REF!,"AAAAAH/v9zY=")</f>
        <v>#REF!</v>
      </c>
      <c r="BD107" t="e">
        <f>AND(#REF!,"AAAAAH/v9zc=")</f>
        <v>#REF!</v>
      </c>
      <c r="BE107" t="e">
        <f>AND(#REF!,"AAAAAH/v9zg=")</f>
        <v>#REF!</v>
      </c>
      <c r="BF107" t="e">
        <f>AND(#REF!,"AAAAAH/v9zk=")</f>
        <v>#REF!</v>
      </c>
      <c r="BG107" t="e">
        <f>AND(#REF!,"AAAAAH/v9zo=")</f>
        <v>#REF!</v>
      </c>
      <c r="BH107" t="e">
        <f>AND(#REF!,"AAAAAH/v9zs=")</f>
        <v>#REF!</v>
      </c>
      <c r="BI107" t="e">
        <f>AND(#REF!,"AAAAAH/v9zw=")</f>
        <v>#REF!</v>
      </c>
      <c r="BJ107" t="e">
        <f>AND(#REF!,"AAAAAH/v9z0=")</f>
        <v>#REF!</v>
      </c>
      <c r="BK107" t="e">
        <f>IF(#REF!,"AAAAAH/v9z4=",0)</f>
        <v>#REF!</v>
      </c>
      <c r="BL107" t="e">
        <f>AND(#REF!,"AAAAAH/v9z8=")</f>
        <v>#REF!</v>
      </c>
      <c r="BM107" t="e">
        <f>AND(#REF!,"AAAAAH/v90A=")</f>
        <v>#REF!</v>
      </c>
      <c r="BN107" t="e">
        <f>AND(#REF!,"AAAAAH/v90E=")</f>
        <v>#REF!</v>
      </c>
      <c r="BO107" t="e">
        <f>AND(#REF!,"AAAAAH/v90I=")</f>
        <v>#REF!</v>
      </c>
      <c r="BP107" t="e">
        <f>AND(#REF!,"AAAAAH/v90M=")</f>
        <v>#REF!</v>
      </c>
      <c r="BQ107" t="e">
        <f>AND(#REF!,"AAAAAH/v90Q=")</f>
        <v>#REF!</v>
      </c>
      <c r="BR107" t="e">
        <f>AND(#REF!,"AAAAAH/v90U=")</f>
        <v>#REF!</v>
      </c>
      <c r="BS107" t="e">
        <f>AND(#REF!,"AAAAAH/v90Y=")</f>
        <v>#REF!</v>
      </c>
      <c r="BT107" t="e">
        <f>AND(#REF!,"AAAAAH/v90c=")</f>
        <v>#REF!</v>
      </c>
      <c r="BU107" t="e">
        <f>AND(#REF!,"AAAAAH/v90g=")</f>
        <v>#REF!</v>
      </c>
      <c r="BV107" t="e">
        <f>AND(#REF!,"AAAAAH/v90k=")</f>
        <v>#REF!</v>
      </c>
      <c r="BW107" t="e">
        <f>AND(#REF!,"AAAAAH/v90o=")</f>
        <v>#REF!</v>
      </c>
      <c r="BX107" t="e">
        <f>AND(#REF!,"AAAAAH/v90s=")</f>
        <v>#REF!</v>
      </c>
      <c r="BY107" t="e">
        <f>AND(#REF!,"AAAAAH/v90w=")</f>
        <v>#REF!</v>
      </c>
      <c r="BZ107" t="e">
        <f>AND(#REF!,"AAAAAH/v900=")</f>
        <v>#REF!</v>
      </c>
      <c r="CA107" t="e">
        <f>AND(#REF!,"AAAAAH/v904=")</f>
        <v>#REF!</v>
      </c>
      <c r="CB107" t="e">
        <f>IF(#REF!,"AAAAAH/v908=",0)</f>
        <v>#REF!</v>
      </c>
      <c r="CC107" t="e">
        <f>AND(#REF!,"AAAAAH/v91A=")</f>
        <v>#REF!</v>
      </c>
      <c r="CD107" t="e">
        <f>AND(#REF!,"AAAAAH/v91E=")</f>
        <v>#REF!</v>
      </c>
      <c r="CE107" t="e">
        <f>AND(#REF!,"AAAAAH/v91I=")</f>
        <v>#REF!</v>
      </c>
      <c r="CF107" t="e">
        <f>AND(#REF!,"AAAAAH/v91M=")</f>
        <v>#REF!</v>
      </c>
      <c r="CG107" t="e">
        <f>AND(#REF!,"AAAAAH/v91Q=")</f>
        <v>#REF!</v>
      </c>
      <c r="CH107" t="e">
        <f>AND(#REF!,"AAAAAH/v91U=")</f>
        <v>#REF!</v>
      </c>
      <c r="CI107" t="e">
        <f>AND(#REF!,"AAAAAH/v91Y=")</f>
        <v>#REF!</v>
      </c>
      <c r="CJ107" t="e">
        <f>AND(#REF!,"AAAAAH/v91c=")</f>
        <v>#REF!</v>
      </c>
      <c r="CK107" t="e">
        <f>AND(#REF!,"AAAAAH/v91g=")</f>
        <v>#REF!</v>
      </c>
      <c r="CL107" t="e">
        <f>AND(#REF!,"AAAAAH/v91k=")</f>
        <v>#REF!</v>
      </c>
      <c r="CM107" t="e">
        <f>AND(#REF!,"AAAAAH/v91o=")</f>
        <v>#REF!</v>
      </c>
      <c r="CN107" t="e">
        <f>AND(#REF!,"AAAAAH/v91s=")</f>
        <v>#REF!</v>
      </c>
      <c r="CO107" t="e">
        <f>AND(#REF!,"AAAAAH/v91w=")</f>
        <v>#REF!</v>
      </c>
      <c r="CP107" t="e">
        <f>AND(#REF!,"AAAAAH/v910=")</f>
        <v>#REF!</v>
      </c>
      <c r="CQ107" t="e">
        <f>AND(#REF!,"AAAAAH/v914=")</f>
        <v>#REF!</v>
      </c>
      <c r="CR107" t="e">
        <f>AND(#REF!,"AAAAAH/v918=")</f>
        <v>#REF!</v>
      </c>
      <c r="CS107" t="e">
        <f>IF(#REF!,"AAAAAH/v92A=",0)</f>
        <v>#REF!</v>
      </c>
      <c r="CT107" t="e">
        <f>AND(#REF!,"AAAAAH/v92E=")</f>
        <v>#REF!</v>
      </c>
      <c r="CU107" t="e">
        <f>AND(#REF!,"AAAAAH/v92I=")</f>
        <v>#REF!</v>
      </c>
      <c r="CV107" t="e">
        <f>AND(#REF!,"AAAAAH/v92M=")</f>
        <v>#REF!</v>
      </c>
      <c r="CW107" t="e">
        <f>AND(#REF!,"AAAAAH/v92Q=")</f>
        <v>#REF!</v>
      </c>
      <c r="CX107" t="e">
        <f>AND(#REF!,"AAAAAH/v92U=")</f>
        <v>#REF!</v>
      </c>
      <c r="CY107" t="e">
        <f>AND(#REF!,"AAAAAH/v92Y=")</f>
        <v>#REF!</v>
      </c>
      <c r="CZ107" t="e">
        <f>AND(#REF!,"AAAAAH/v92c=")</f>
        <v>#REF!</v>
      </c>
      <c r="DA107" t="e">
        <f>AND(#REF!,"AAAAAH/v92g=")</f>
        <v>#REF!</v>
      </c>
      <c r="DB107" t="e">
        <f>AND(#REF!,"AAAAAH/v92k=")</f>
        <v>#REF!</v>
      </c>
      <c r="DC107" t="e">
        <f>AND(#REF!,"AAAAAH/v92o=")</f>
        <v>#REF!</v>
      </c>
      <c r="DD107" t="e">
        <f>AND(#REF!,"AAAAAH/v92s=")</f>
        <v>#REF!</v>
      </c>
      <c r="DE107" t="e">
        <f>AND(#REF!,"AAAAAH/v92w=")</f>
        <v>#REF!</v>
      </c>
      <c r="DF107" t="e">
        <f>AND(#REF!,"AAAAAH/v920=")</f>
        <v>#REF!</v>
      </c>
      <c r="DG107" t="e">
        <f>AND(#REF!,"AAAAAH/v924=")</f>
        <v>#REF!</v>
      </c>
      <c r="DH107" t="e">
        <f>AND(#REF!,"AAAAAH/v928=")</f>
        <v>#REF!</v>
      </c>
      <c r="DI107" t="e">
        <f>AND(#REF!,"AAAAAH/v93A=")</f>
        <v>#REF!</v>
      </c>
      <c r="DJ107" t="e">
        <f>IF(#REF!,"AAAAAH/v93E=",0)</f>
        <v>#REF!</v>
      </c>
      <c r="DK107" t="e">
        <f>AND(#REF!,"AAAAAH/v93I=")</f>
        <v>#REF!</v>
      </c>
      <c r="DL107" t="e">
        <f>AND(#REF!,"AAAAAH/v93M=")</f>
        <v>#REF!</v>
      </c>
      <c r="DM107" t="e">
        <f>AND(#REF!,"AAAAAH/v93Q=")</f>
        <v>#REF!</v>
      </c>
      <c r="DN107" t="e">
        <f>AND(#REF!,"AAAAAH/v93U=")</f>
        <v>#REF!</v>
      </c>
      <c r="DO107" t="e">
        <f>AND(#REF!,"AAAAAH/v93Y=")</f>
        <v>#REF!</v>
      </c>
      <c r="DP107" t="e">
        <f>AND(#REF!,"AAAAAH/v93c=")</f>
        <v>#REF!</v>
      </c>
      <c r="DQ107" t="e">
        <f>AND(#REF!,"AAAAAH/v93g=")</f>
        <v>#REF!</v>
      </c>
      <c r="DR107" t="e">
        <f>AND(#REF!,"AAAAAH/v93k=")</f>
        <v>#REF!</v>
      </c>
      <c r="DS107" t="e">
        <f>AND(#REF!,"AAAAAH/v93o=")</f>
        <v>#REF!</v>
      </c>
      <c r="DT107" t="e">
        <f>AND(#REF!,"AAAAAH/v93s=")</f>
        <v>#REF!</v>
      </c>
      <c r="DU107" t="e">
        <f>AND(#REF!,"AAAAAH/v93w=")</f>
        <v>#REF!</v>
      </c>
      <c r="DV107" t="e">
        <f>AND(#REF!,"AAAAAH/v930=")</f>
        <v>#REF!</v>
      </c>
      <c r="DW107" t="e">
        <f>AND(#REF!,"AAAAAH/v934=")</f>
        <v>#REF!</v>
      </c>
      <c r="DX107" t="e">
        <f>AND(#REF!,"AAAAAH/v938=")</f>
        <v>#REF!</v>
      </c>
      <c r="DY107" t="e">
        <f>AND(#REF!,"AAAAAH/v94A=")</f>
        <v>#REF!</v>
      </c>
      <c r="DZ107" t="e">
        <f>AND(#REF!,"AAAAAH/v94E=")</f>
        <v>#REF!</v>
      </c>
      <c r="EA107" t="e">
        <f>IF(#REF!,"AAAAAH/v94I=",0)</f>
        <v>#REF!</v>
      </c>
      <c r="EB107" t="e">
        <f>AND(#REF!,"AAAAAH/v94M=")</f>
        <v>#REF!</v>
      </c>
      <c r="EC107" t="e">
        <f>AND(#REF!,"AAAAAH/v94Q=")</f>
        <v>#REF!</v>
      </c>
      <c r="ED107" t="e">
        <f>AND(#REF!,"AAAAAH/v94U=")</f>
        <v>#REF!</v>
      </c>
      <c r="EE107" t="e">
        <f>AND(#REF!,"AAAAAH/v94Y=")</f>
        <v>#REF!</v>
      </c>
      <c r="EF107" t="e">
        <f>AND(#REF!,"AAAAAH/v94c=")</f>
        <v>#REF!</v>
      </c>
      <c r="EG107" t="e">
        <f>AND(#REF!,"AAAAAH/v94g=")</f>
        <v>#REF!</v>
      </c>
      <c r="EH107" t="e">
        <f>AND(#REF!,"AAAAAH/v94k=")</f>
        <v>#REF!</v>
      </c>
      <c r="EI107" t="e">
        <f>AND(#REF!,"AAAAAH/v94o=")</f>
        <v>#REF!</v>
      </c>
      <c r="EJ107" t="e">
        <f>AND(#REF!,"AAAAAH/v94s=")</f>
        <v>#REF!</v>
      </c>
      <c r="EK107" t="e">
        <f>AND(#REF!,"AAAAAH/v94w=")</f>
        <v>#REF!</v>
      </c>
      <c r="EL107" t="e">
        <f>AND(#REF!,"AAAAAH/v940=")</f>
        <v>#REF!</v>
      </c>
      <c r="EM107" t="e">
        <f>AND(#REF!,"AAAAAH/v944=")</f>
        <v>#REF!</v>
      </c>
      <c r="EN107" t="e">
        <f>AND(#REF!,"AAAAAH/v948=")</f>
        <v>#REF!</v>
      </c>
      <c r="EO107" t="e">
        <f>AND(#REF!,"AAAAAH/v95A=")</f>
        <v>#REF!</v>
      </c>
      <c r="EP107" t="e">
        <f>AND(#REF!,"AAAAAH/v95E=")</f>
        <v>#REF!</v>
      </c>
      <c r="EQ107" t="e">
        <f>AND(#REF!,"AAAAAH/v95I=")</f>
        <v>#REF!</v>
      </c>
      <c r="ER107" t="e">
        <f>IF(#REF!,"AAAAAH/v95M=",0)</f>
        <v>#REF!</v>
      </c>
      <c r="ES107" t="e">
        <f>AND(#REF!,"AAAAAH/v95Q=")</f>
        <v>#REF!</v>
      </c>
      <c r="ET107" t="e">
        <f>AND(#REF!,"AAAAAH/v95U=")</f>
        <v>#REF!</v>
      </c>
      <c r="EU107" t="e">
        <f>AND(#REF!,"AAAAAH/v95Y=")</f>
        <v>#REF!</v>
      </c>
      <c r="EV107" t="e">
        <f>AND(#REF!,"AAAAAH/v95c=")</f>
        <v>#REF!</v>
      </c>
      <c r="EW107" t="e">
        <f>AND(#REF!,"AAAAAH/v95g=")</f>
        <v>#REF!</v>
      </c>
      <c r="EX107" t="e">
        <f>AND(#REF!,"AAAAAH/v95k=")</f>
        <v>#REF!</v>
      </c>
      <c r="EY107" t="e">
        <f>AND(#REF!,"AAAAAH/v95o=")</f>
        <v>#REF!</v>
      </c>
      <c r="EZ107" t="e">
        <f>AND(#REF!,"AAAAAH/v95s=")</f>
        <v>#REF!</v>
      </c>
      <c r="FA107" t="e">
        <f>AND(#REF!,"AAAAAH/v95w=")</f>
        <v>#REF!</v>
      </c>
      <c r="FB107" t="e">
        <f>AND(#REF!,"AAAAAH/v950=")</f>
        <v>#REF!</v>
      </c>
      <c r="FC107" t="e">
        <f>AND(#REF!,"AAAAAH/v954=")</f>
        <v>#REF!</v>
      </c>
      <c r="FD107" t="e">
        <f>AND(#REF!,"AAAAAH/v958=")</f>
        <v>#REF!</v>
      </c>
      <c r="FE107" t="e">
        <f>AND(#REF!,"AAAAAH/v96A=")</f>
        <v>#REF!</v>
      </c>
      <c r="FF107" t="e">
        <f>AND(#REF!,"AAAAAH/v96E=")</f>
        <v>#REF!</v>
      </c>
      <c r="FG107" t="e">
        <f>AND(#REF!,"AAAAAH/v96I=")</f>
        <v>#REF!</v>
      </c>
      <c r="FH107" t="e">
        <f>AND(#REF!,"AAAAAH/v96M=")</f>
        <v>#REF!</v>
      </c>
      <c r="FI107" t="e">
        <f>IF(#REF!,"AAAAAH/v96Q=",0)</f>
        <v>#REF!</v>
      </c>
      <c r="FJ107" t="e">
        <f>AND(#REF!,"AAAAAH/v96U=")</f>
        <v>#REF!</v>
      </c>
      <c r="FK107" t="e">
        <f>AND(#REF!,"AAAAAH/v96Y=")</f>
        <v>#REF!</v>
      </c>
      <c r="FL107" t="e">
        <f>AND(#REF!,"AAAAAH/v96c=")</f>
        <v>#REF!</v>
      </c>
      <c r="FM107" t="e">
        <f>AND(#REF!,"AAAAAH/v96g=")</f>
        <v>#REF!</v>
      </c>
      <c r="FN107" t="e">
        <f>AND(#REF!,"AAAAAH/v96k=")</f>
        <v>#REF!</v>
      </c>
      <c r="FO107" t="e">
        <f>AND(#REF!,"AAAAAH/v96o=")</f>
        <v>#REF!</v>
      </c>
      <c r="FP107" t="e">
        <f>AND(#REF!,"AAAAAH/v96s=")</f>
        <v>#REF!</v>
      </c>
      <c r="FQ107" t="e">
        <f>AND(#REF!,"AAAAAH/v96w=")</f>
        <v>#REF!</v>
      </c>
      <c r="FR107" t="e">
        <f>AND(#REF!,"AAAAAH/v960=")</f>
        <v>#REF!</v>
      </c>
      <c r="FS107" t="e">
        <f>AND(#REF!,"AAAAAH/v964=")</f>
        <v>#REF!</v>
      </c>
      <c r="FT107" t="e">
        <f>AND(#REF!,"AAAAAH/v968=")</f>
        <v>#REF!</v>
      </c>
      <c r="FU107" t="e">
        <f>AND(#REF!,"AAAAAH/v97A=")</f>
        <v>#REF!</v>
      </c>
      <c r="FV107" t="e">
        <f>AND(#REF!,"AAAAAH/v97E=")</f>
        <v>#REF!</v>
      </c>
      <c r="FW107" t="e">
        <f>AND(#REF!,"AAAAAH/v97I=")</f>
        <v>#REF!</v>
      </c>
      <c r="FX107" t="e">
        <f>AND(#REF!,"AAAAAH/v97M=")</f>
        <v>#REF!</v>
      </c>
      <c r="FY107" t="e">
        <f>AND(#REF!,"AAAAAH/v97Q=")</f>
        <v>#REF!</v>
      </c>
      <c r="FZ107" t="e">
        <f>IF(#REF!,"AAAAAH/v97U=",0)</f>
        <v>#REF!</v>
      </c>
      <c r="GA107" t="e">
        <f>AND(#REF!,"AAAAAH/v97Y=")</f>
        <v>#REF!</v>
      </c>
      <c r="GB107" t="e">
        <f>AND(#REF!,"AAAAAH/v97c=")</f>
        <v>#REF!</v>
      </c>
      <c r="GC107" t="e">
        <f>AND(#REF!,"AAAAAH/v97g=")</f>
        <v>#REF!</v>
      </c>
      <c r="GD107" t="e">
        <f>AND(#REF!,"AAAAAH/v97k=")</f>
        <v>#REF!</v>
      </c>
      <c r="GE107" t="e">
        <f>AND(#REF!,"AAAAAH/v97o=")</f>
        <v>#REF!</v>
      </c>
      <c r="GF107" t="e">
        <f>AND(#REF!,"AAAAAH/v97s=")</f>
        <v>#REF!</v>
      </c>
      <c r="GG107" t="e">
        <f>AND(#REF!,"AAAAAH/v97w=")</f>
        <v>#REF!</v>
      </c>
      <c r="GH107" t="e">
        <f>AND(#REF!,"AAAAAH/v970=")</f>
        <v>#REF!</v>
      </c>
      <c r="GI107" t="e">
        <f>AND(#REF!,"AAAAAH/v974=")</f>
        <v>#REF!</v>
      </c>
      <c r="GJ107" t="e">
        <f>AND(#REF!,"AAAAAH/v978=")</f>
        <v>#REF!</v>
      </c>
      <c r="GK107" t="e">
        <f>AND(#REF!,"AAAAAH/v98A=")</f>
        <v>#REF!</v>
      </c>
      <c r="GL107" t="e">
        <f>AND(#REF!,"AAAAAH/v98E=")</f>
        <v>#REF!</v>
      </c>
      <c r="GM107" t="e">
        <f>AND(#REF!,"AAAAAH/v98I=")</f>
        <v>#REF!</v>
      </c>
      <c r="GN107" t="e">
        <f>AND(#REF!,"AAAAAH/v98M=")</f>
        <v>#REF!</v>
      </c>
      <c r="GO107" t="e">
        <f>AND(#REF!,"AAAAAH/v98Q=")</f>
        <v>#REF!</v>
      </c>
      <c r="GP107" t="e">
        <f>AND(#REF!,"AAAAAH/v98U=")</f>
        <v>#REF!</v>
      </c>
      <c r="GQ107" t="e">
        <f>IF(#REF!,"AAAAAH/v98Y=",0)</f>
        <v>#REF!</v>
      </c>
      <c r="GR107" t="e">
        <f>AND(#REF!,"AAAAAH/v98c=")</f>
        <v>#REF!</v>
      </c>
      <c r="GS107" t="e">
        <f>AND(#REF!,"AAAAAH/v98g=")</f>
        <v>#REF!</v>
      </c>
      <c r="GT107" t="e">
        <f>AND(#REF!,"AAAAAH/v98k=")</f>
        <v>#REF!</v>
      </c>
      <c r="GU107" t="e">
        <f>AND(#REF!,"AAAAAH/v98o=")</f>
        <v>#REF!</v>
      </c>
      <c r="GV107" t="e">
        <f>AND(#REF!,"AAAAAH/v98s=")</f>
        <v>#REF!</v>
      </c>
      <c r="GW107" t="e">
        <f>AND(#REF!,"AAAAAH/v98w=")</f>
        <v>#REF!</v>
      </c>
      <c r="GX107" t="e">
        <f>AND(#REF!,"AAAAAH/v980=")</f>
        <v>#REF!</v>
      </c>
      <c r="GY107" t="e">
        <f>AND(#REF!,"AAAAAH/v984=")</f>
        <v>#REF!</v>
      </c>
      <c r="GZ107" t="e">
        <f>AND(#REF!,"AAAAAH/v988=")</f>
        <v>#REF!</v>
      </c>
      <c r="HA107" t="e">
        <f>AND(#REF!,"AAAAAH/v99A=")</f>
        <v>#REF!</v>
      </c>
      <c r="HB107" t="e">
        <f>AND(#REF!,"AAAAAH/v99E=")</f>
        <v>#REF!</v>
      </c>
      <c r="HC107" t="e">
        <f>AND(#REF!,"AAAAAH/v99I=")</f>
        <v>#REF!</v>
      </c>
      <c r="HD107" t="e">
        <f>AND(#REF!,"AAAAAH/v99M=")</f>
        <v>#REF!</v>
      </c>
      <c r="HE107" t="e">
        <f>AND(#REF!,"AAAAAH/v99Q=")</f>
        <v>#REF!</v>
      </c>
      <c r="HF107" t="e">
        <f>AND(#REF!,"AAAAAH/v99U=")</f>
        <v>#REF!</v>
      </c>
      <c r="HG107" t="e">
        <f>AND(#REF!,"AAAAAH/v99Y=")</f>
        <v>#REF!</v>
      </c>
      <c r="HH107" t="e">
        <f>IF(#REF!,"AAAAAH/v99c=",0)</f>
        <v>#REF!</v>
      </c>
      <c r="HI107" t="e">
        <f>AND(#REF!,"AAAAAH/v99g=")</f>
        <v>#REF!</v>
      </c>
      <c r="HJ107" t="e">
        <f>AND(#REF!,"AAAAAH/v99k=")</f>
        <v>#REF!</v>
      </c>
      <c r="HK107" t="e">
        <f>AND(#REF!,"AAAAAH/v99o=")</f>
        <v>#REF!</v>
      </c>
      <c r="HL107" t="e">
        <f>AND(#REF!,"AAAAAH/v99s=")</f>
        <v>#REF!</v>
      </c>
      <c r="HM107" t="e">
        <f>AND(#REF!,"AAAAAH/v99w=")</f>
        <v>#REF!</v>
      </c>
      <c r="HN107" t="e">
        <f>AND(#REF!,"AAAAAH/v990=")</f>
        <v>#REF!</v>
      </c>
      <c r="HO107" t="e">
        <f>AND(#REF!,"AAAAAH/v994=")</f>
        <v>#REF!</v>
      </c>
      <c r="HP107" t="e">
        <f>AND(#REF!,"AAAAAH/v998=")</f>
        <v>#REF!</v>
      </c>
      <c r="HQ107" t="e">
        <f>AND(#REF!,"AAAAAH/v9+A=")</f>
        <v>#REF!</v>
      </c>
      <c r="HR107" t="e">
        <f>AND(#REF!,"AAAAAH/v9+E=")</f>
        <v>#REF!</v>
      </c>
      <c r="HS107" t="e">
        <f>AND(#REF!,"AAAAAH/v9+I=")</f>
        <v>#REF!</v>
      </c>
      <c r="HT107" t="e">
        <f>AND(#REF!,"AAAAAH/v9+M=")</f>
        <v>#REF!</v>
      </c>
      <c r="HU107" t="e">
        <f>AND(#REF!,"AAAAAH/v9+Q=")</f>
        <v>#REF!</v>
      </c>
      <c r="HV107" t="e">
        <f>AND(#REF!,"AAAAAH/v9+U=")</f>
        <v>#REF!</v>
      </c>
      <c r="HW107" t="e">
        <f>AND(#REF!,"AAAAAH/v9+Y=")</f>
        <v>#REF!</v>
      </c>
      <c r="HX107" t="e">
        <f>AND(#REF!,"AAAAAH/v9+c=")</f>
        <v>#REF!</v>
      </c>
      <c r="HY107" t="e">
        <f>IF(#REF!,"AAAAAH/v9+g=",0)</f>
        <v>#REF!</v>
      </c>
      <c r="HZ107" t="e">
        <f>AND(#REF!,"AAAAAH/v9+k=")</f>
        <v>#REF!</v>
      </c>
      <c r="IA107" t="e">
        <f>AND(#REF!,"AAAAAH/v9+o=")</f>
        <v>#REF!</v>
      </c>
      <c r="IB107" t="e">
        <f>AND(#REF!,"AAAAAH/v9+s=")</f>
        <v>#REF!</v>
      </c>
      <c r="IC107" t="e">
        <f>AND(#REF!,"AAAAAH/v9+w=")</f>
        <v>#REF!</v>
      </c>
      <c r="ID107" t="e">
        <f>AND(#REF!,"AAAAAH/v9+0=")</f>
        <v>#REF!</v>
      </c>
      <c r="IE107" t="e">
        <f>AND(#REF!,"AAAAAH/v9+4=")</f>
        <v>#REF!</v>
      </c>
      <c r="IF107" t="e">
        <f>AND(#REF!,"AAAAAH/v9+8=")</f>
        <v>#REF!</v>
      </c>
      <c r="IG107" t="e">
        <f>AND(#REF!,"AAAAAH/v9/A=")</f>
        <v>#REF!</v>
      </c>
      <c r="IH107" t="e">
        <f>AND(#REF!,"AAAAAH/v9/E=")</f>
        <v>#REF!</v>
      </c>
      <c r="II107" t="e">
        <f>AND(#REF!,"AAAAAH/v9/I=")</f>
        <v>#REF!</v>
      </c>
      <c r="IJ107" t="e">
        <f>AND(#REF!,"AAAAAH/v9/M=")</f>
        <v>#REF!</v>
      </c>
      <c r="IK107" t="e">
        <f>AND(#REF!,"AAAAAH/v9/Q=")</f>
        <v>#REF!</v>
      </c>
      <c r="IL107" t="e">
        <f>AND(#REF!,"AAAAAH/v9/U=")</f>
        <v>#REF!</v>
      </c>
      <c r="IM107" t="e">
        <f>AND(#REF!,"AAAAAH/v9/Y=")</f>
        <v>#REF!</v>
      </c>
      <c r="IN107" t="e">
        <f>AND(#REF!,"AAAAAH/v9/c=")</f>
        <v>#REF!</v>
      </c>
      <c r="IO107" t="e">
        <f>AND(#REF!,"AAAAAH/v9/g=")</f>
        <v>#REF!</v>
      </c>
      <c r="IP107" t="e">
        <f>IF(#REF!,"AAAAAH/v9/k=",0)</f>
        <v>#REF!</v>
      </c>
      <c r="IQ107" t="e">
        <f>AND(#REF!,"AAAAAH/v9/o=")</f>
        <v>#REF!</v>
      </c>
      <c r="IR107" t="e">
        <f>AND(#REF!,"AAAAAH/v9/s=")</f>
        <v>#REF!</v>
      </c>
      <c r="IS107" t="e">
        <f>AND(#REF!,"AAAAAH/v9/w=")</f>
        <v>#REF!</v>
      </c>
      <c r="IT107" t="e">
        <f>AND(#REF!,"AAAAAH/v9/0=")</f>
        <v>#REF!</v>
      </c>
      <c r="IU107" t="e">
        <f>AND(#REF!,"AAAAAH/v9/4=")</f>
        <v>#REF!</v>
      </c>
      <c r="IV107" t="e">
        <f>AND(#REF!,"AAAAAH/v9/8=")</f>
        <v>#REF!</v>
      </c>
    </row>
    <row r="108" spans="1:256" x14ac:dyDescent="0.25">
      <c r="A108" t="e">
        <f>AND(#REF!,"AAAAAEr5OwA=")</f>
        <v>#REF!</v>
      </c>
      <c r="B108" t="e">
        <f>AND(#REF!,"AAAAAEr5OwE=")</f>
        <v>#REF!</v>
      </c>
      <c r="C108" t="e">
        <f>AND(#REF!,"AAAAAEr5OwI=")</f>
        <v>#REF!</v>
      </c>
      <c r="D108" t="e">
        <f>AND(#REF!,"AAAAAEr5OwM=")</f>
        <v>#REF!</v>
      </c>
      <c r="E108" t="e">
        <f>AND(#REF!,"AAAAAEr5OwQ=")</f>
        <v>#REF!</v>
      </c>
      <c r="F108" t="e">
        <f>AND(#REF!,"AAAAAEr5OwU=")</f>
        <v>#REF!</v>
      </c>
      <c r="G108" t="e">
        <f>AND(#REF!,"AAAAAEr5OwY=")</f>
        <v>#REF!</v>
      </c>
      <c r="H108" t="e">
        <f>AND(#REF!,"AAAAAEr5Owc=")</f>
        <v>#REF!</v>
      </c>
      <c r="I108" t="e">
        <f>AND(#REF!,"AAAAAEr5Owg=")</f>
        <v>#REF!</v>
      </c>
      <c r="J108" t="e">
        <f>AND(#REF!,"AAAAAEr5Owk=")</f>
        <v>#REF!</v>
      </c>
      <c r="K108" t="e">
        <f>IF(#REF!,"AAAAAEr5Owo=",0)</f>
        <v>#REF!</v>
      </c>
      <c r="L108" t="e">
        <f>AND(#REF!,"AAAAAEr5Ows=")</f>
        <v>#REF!</v>
      </c>
      <c r="M108" t="e">
        <f>AND(#REF!,"AAAAAEr5Oww=")</f>
        <v>#REF!</v>
      </c>
      <c r="N108" t="e">
        <f>AND(#REF!,"AAAAAEr5Ow0=")</f>
        <v>#REF!</v>
      </c>
      <c r="O108" t="e">
        <f>AND(#REF!,"AAAAAEr5Ow4=")</f>
        <v>#REF!</v>
      </c>
      <c r="P108" t="e">
        <f>AND(#REF!,"AAAAAEr5Ow8=")</f>
        <v>#REF!</v>
      </c>
      <c r="Q108" t="e">
        <f>AND(#REF!,"AAAAAEr5OxA=")</f>
        <v>#REF!</v>
      </c>
      <c r="R108" t="e">
        <f>AND(#REF!,"AAAAAEr5OxE=")</f>
        <v>#REF!</v>
      </c>
      <c r="S108" t="e">
        <f>AND(#REF!,"AAAAAEr5OxI=")</f>
        <v>#REF!</v>
      </c>
      <c r="T108" t="e">
        <f>AND(#REF!,"AAAAAEr5OxM=")</f>
        <v>#REF!</v>
      </c>
      <c r="U108" t="e">
        <f>AND(#REF!,"AAAAAEr5OxQ=")</f>
        <v>#REF!</v>
      </c>
      <c r="V108" t="e">
        <f>AND(#REF!,"AAAAAEr5OxU=")</f>
        <v>#REF!</v>
      </c>
      <c r="W108" t="e">
        <f>AND(#REF!,"AAAAAEr5OxY=")</f>
        <v>#REF!</v>
      </c>
      <c r="X108" t="e">
        <f>AND(#REF!,"AAAAAEr5Oxc=")</f>
        <v>#REF!</v>
      </c>
      <c r="Y108" t="e">
        <f>AND(#REF!,"AAAAAEr5Oxg=")</f>
        <v>#REF!</v>
      </c>
      <c r="Z108" t="e">
        <f>AND(#REF!,"AAAAAEr5Oxk=")</f>
        <v>#REF!</v>
      </c>
      <c r="AA108" t="e">
        <f>AND(#REF!,"AAAAAEr5Oxo=")</f>
        <v>#REF!</v>
      </c>
      <c r="AB108" t="e">
        <f>IF(#REF!,"AAAAAEr5Oxs=",0)</f>
        <v>#REF!</v>
      </c>
      <c r="AC108" t="e">
        <f>AND(#REF!,"AAAAAEr5Oxw=")</f>
        <v>#REF!</v>
      </c>
      <c r="AD108" t="e">
        <f>AND(#REF!,"AAAAAEr5Ox0=")</f>
        <v>#REF!</v>
      </c>
      <c r="AE108" t="e">
        <f>AND(#REF!,"AAAAAEr5Ox4=")</f>
        <v>#REF!</v>
      </c>
      <c r="AF108" t="e">
        <f>AND(#REF!,"AAAAAEr5Ox8=")</f>
        <v>#REF!</v>
      </c>
      <c r="AG108" t="e">
        <f>AND(#REF!,"AAAAAEr5OyA=")</f>
        <v>#REF!</v>
      </c>
      <c r="AH108" t="e">
        <f>AND(#REF!,"AAAAAEr5OyE=")</f>
        <v>#REF!</v>
      </c>
      <c r="AI108" t="e">
        <f>AND(#REF!,"AAAAAEr5OyI=")</f>
        <v>#REF!</v>
      </c>
      <c r="AJ108" t="e">
        <f>AND(#REF!,"AAAAAEr5OyM=")</f>
        <v>#REF!</v>
      </c>
      <c r="AK108" t="e">
        <f>AND(#REF!,"AAAAAEr5OyQ=")</f>
        <v>#REF!</v>
      </c>
      <c r="AL108" t="e">
        <f>AND(#REF!,"AAAAAEr5OyU=")</f>
        <v>#REF!</v>
      </c>
      <c r="AM108" t="e">
        <f>AND(#REF!,"AAAAAEr5OyY=")</f>
        <v>#REF!</v>
      </c>
      <c r="AN108" t="e">
        <f>AND(#REF!,"AAAAAEr5Oyc=")</f>
        <v>#REF!</v>
      </c>
      <c r="AO108" t="e">
        <f>AND(#REF!,"AAAAAEr5Oyg=")</f>
        <v>#REF!</v>
      </c>
      <c r="AP108" t="e">
        <f>AND(#REF!,"AAAAAEr5Oyk=")</f>
        <v>#REF!</v>
      </c>
      <c r="AQ108" t="e">
        <f>AND(#REF!,"AAAAAEr5Oyo=")</f>
        <v>#REF!</v>
      </c>
      <c r="AR108" t="e">
        <f>AND(#REF!,"AAAAAEr5Oys=")</f>
        <v>#REF!</v>
      </c>
      <c r="AS108" t="e">
        <f>IF(#REF!,"AAAAAEr5Oyw=",0)</f>
        <v>#REF!</v>
      </c>
      <c r="AT108" t="e">
        <f>AND(#REF!,"AAAAAEr5Oy0=")</f>
        <v>#REF!</v>
      </c>
      <c r="AU108" t="e">
        <f>AND(#REF!,"AAAAAEr5Oy4=")</f>
        <v>#REF!</v>
      </c>
      <c r="AV108" t="e">
        <f>AND(#REF!,"AAAAAEr5Oy8=")</f>
        <v>#REF!</v>
      </c>
      <c r="AW108" t="e">
        <f>AND(#REF!,"AAAAAEr5OzA=")</f>
        <v>#REF!</v>
      </c>
      <c r="AX108" t="e">
        <f>AND(#REF!,"AAAAAEr5OzE=")</f>
        <v>#REF!</v>
      </c>
      <c r="AY108" t="e">
        <f>AND(#REF!,"AAAAAEr5OzI=")</f>
        <v>#REF!</v>
      </c>
      <c r="AZ108" t="e">
        <f>AND(#REF!,"AAAAAEr5OzM=")</f>
        <v>#REF!</v>
      </c>
      <c r="BA108" t="e">
        <f>AND(#REF!,"AAAAAEr5OzQ=")</f>
        <v>#REF!</v>
      </c>
      <c r="BB108" t="e">
        <f>AND(#REF!,"AAAAAEr5OzU=")</f>
        <v>#REF!</v>
      </c>
      <c r="BC108" t="e">
        <f>AND(#REF!,"AAAAAEr5OzY=")</f>
        <v>#REF!</v>
      </c>
      <c r="BD108" t="e">
        <f>AND(#REF!,"AAAAAEr5Ozc=")</f>
        <v>#REF!</v>
      </c>
      <c r="BE108" t="e">
        <f>AND(#REF!,"AAAAAEr5Ozg=")</f>
        <v>#REF!</v>
      </c>
      <c r="BF108" t="e">
        <f>AND(#REF!,"AAAAAEr5Ozk=")</f>
        <v>#REF!</v>
      </c>
      <c r="BG108" t="e">
        <f>AND(#REF!,"AAAAAEr5Ozo=")</f>
        <v>#REF!</v>
      </c>
      <c r="BH108" t="e">
        <f>AND(#REF!,"AAAAAEr5Ozs=")</f>
        <v>#REF!</v>
      </c>
      <c r="BI108" t="e">
        <f>AND(#REF!,"AAAAAEr5Ozw=")</f>
        <v>#REF!</v>
      </c>
      <c r="BJ108" t="e">
        <f>IF(#REF!,"AAAAAEr5Oz0=",0)</f>
        <v>#REF!</v>
      </c>
      <c r="BK108" t="e">
        <f>AND(#REF!,"AAAAAEr5Oz4=")</f>
        <v>#REF!</v>
      </c>
      <c r="BL108" t="e">
        <f>AND(#REF!,"AAAAAEr5Oz8=")</f>
        <v>#REF!</v>
      </c>
      <c r="BM108" t="e">
        <f>AND(#REF!,"AAAAAEr5O0A=")</f>
        <v>#REF!</v>
      </c>
      <c r="BN108" t="e">
        <f>AND(#REF!,"AAAAAEr5O0E=")</f>
        <v>#REF!</v>
      </c>
      <c r="BO108" t="e">
        <f>AND(#REF!,"AAAAAEr5O0I=")</f>
        <v>#REF!</v>
      </c>
      <c r="BP108" t="e">
        <f>AND(#REF!,"AAAAAEr5O0M=")</f>
        <v>#REF!</v>
      </c>
      <c r="BQ108" t="e">
        <f>AND(#REF!,"AAAAAEr5O0Q=")</f>
        <v>#REF!</v>
      </c>
      <c r="BR108" t="e">
        <f>AND(#REF!,"AAAAAEr5O0U=")</f>
        <v>#REF!</v>
      </c>
      <c r="BS108" t="e">
        <f>AND(#REF!,"AAAAAEr5O0Y=")</f>
        <v>#REF!</v>
      </c>
      <c r="BT108" t="e">
        <f>AND(#REF!,"AAAAAEr5O0c=")</f>
        <v>#REF!</v>
      </c>
      <c r="BU108" t="e">
        <f>AND(#REF!,"AAAAAEr5O0g=")</f>
        <v>#REF!</v>
      </c>
      <c r="BV108" t="e">
        <f>AND(#REF!,"AAAAAEr5O0k=")</f>
        <v>#REF!</v>
      </c>
      <c r="BW108" t="e">
        <f>AND(#REF!,"AAAAAEr5O0o=")</f>
        <v>#REF!</v>
      </c>
      <c r="BX108" t="e">
        <f>AND(#REF!,"AAAAAEr5O0s=")</f>
        <v>#REF!</v>
      </c>
      <c r="BY108" t="e">
        <f>AND(#REF!,"AAAAAEr5O0w=")</f>
        <v>#REF!</v>
      </c>
      <c r="BZ108" t="e">
        <f>AND(#REF!,"AAAAAEr5O00=")</f>
        <v>#REF!</v>
      </c>
      <c r="CA108" t="e">
        <f>IF(#REF!,"AAAAAEr5O04=",0)</f>
        <v>#REF!</v>
      </c>
      <c r="CB108" t="e">
        <f>AND(#REF!,"AAAAAEr5O08=")</f>
        <v>#REF!</v>
      </c>
      <c r="CC108" t="e">
        <f>AND(#REF!,"AAAAAEr5O1A=")</f>
        <v>#REF!</v>
      </c>
      <c r="CD108" t="e">
        <f>AND(#REF!,"AAAAAEr5O1E=")</f>
        <v>#REF!</v>
      </c>
      <c r="CE108" t="e">
        <f>AND(#REF!,"AAAAAEr5O1I=")</f>
        <v>#REF!</v>
      </c>
      <c r="CF108" t="e">
        <f>AND(#REF!,"AAAAAEr5O1M=")</f>
        <v>#REF!</v>
      </c>
      <c r="CG108" t="e">
        <f>AND(#REF!,"AAAAAEr5O1Q=")</f>
        <v>#REF!</v>
      </c>
      <c r="CH108" t="e">
        <f>AND(#REF!,"AAAAAEr5O1U=")</f>
        <v>#REF!</v>
      </c>
      <c r="CI108" t="e">
        <f>AND(#REF!,"AAAAAEr5O1Y=")</f>
        <v>#REF!</v>
      </c>
      <c r="CJ108" t="e">
        <f>AND(#REF!,"AAAAAEr5O1c=")</f>
        <v>#REF!</v>
      </c>
      <c r="CK108" t="e">
        <f>AND(#REF!,"AAAAAEr5O1g=")</f>
        <v>#REF!</v>
      </c>
      <c r="CL108" t="e">
        <f>AND(#REF!,"AAAAAEr5O1k=")</f>
        <v>#REF!</v>
      </c>
      <c r="CM108" t="e">
        <f>AND(#REF!,"AAAAAEr5O1o=")</f>
        <v>#REF!</v>
      </c>
      <c r="CN108" t="e">
        <f>AND(#REF!,"AAAAAEr5O1s=")</f>
        <v>#REF!</v>
      </c>
      <c r="CO108" t="e">
        <f>AND(#REF!,"AAAAAEr5O1w=")</f>
        <v>#REF!</v>
      </c>
      <c r="CP108" t="e">
        <f>AND(#REF!,"AAAAAEr5O10=")</f>
        <v>#REF!</v>
      </c>
      <c r="CQ108" t="e">
        <f>AND(#REF!,"AAAAAEr5O14=")</f>
        <v>#REF!</v>
      </c>
      <c r="CR108" t="e">
        <f>IF(#REF!,"AAAAAEr5O18=",0)</f>
        <v>#REF!</v>
      </c>
      <c r="CS108" t="e">
        <f>AND(#REF!,"AAAAAEr5O2A=")</f>
        <v>#REF!</v>
      </c>
      <c r="CT108" t="e">
        <f>AND(#REF!,"AAAAAEr5O2E=")</f>
        <v>#REF!</v>
      </c>
      <c r="CU108" t="e">
        <f>AND(#REF!,"AAAAAEr5O2I=")</f>
        <v>#REF!</v>
      </c>
      <c r="CV108" t="e">
        <f>AND(#REF!,"AAAAAEr5O2M=")</f>
        <v>#REF!</v>
      </c>
      <c r="CW108" t="e">
        <f>AND(#REF!,"AAAAAEr5O2Q=")</f>
        <v>#REF!</v>
      </c>
      <c r="CX108" t="e">
        <f>AND(#REF!,"AAAAAEr5O2U=")</f>
        <v>#REF!</v>
      </c>
      <c r="CY108" t="e">
        <f>AND(#REF!,"AAAAAEr5O2Y=")</f>
        <v>#REF!</v>
      </c>
      <c r="CZ108" t="e">
        <f>AND(#REF!,"AAAAAEr5O2c=")</f>
        <v>#REF!</v>
      </c>
      <c r="DA108" t="e">
        <f>AND(#REF!,"AAAAAEr5O2g=")</f>
        <v>#REF!</v>
      </c>
      <c r="DB108" t="e">
        <f>AND(#REF!,"AAAAAEr5O2k=")</f>
        <v>#REF!</v>
      </c>
      <c r="DC108" t="e">
        <f>AND(#REF!,"AAAAAEr5O2o=")</f>
        <v>#REF!</v>
      </c>
      <c r="DD108" t="e">
        <f>AND(#REF!,"AAAAAEr5O2s=")</f>
        <v>#REF!</v>
      </c>
      <c r="DE108" t="e">
        <f>AND(#REF!,"AAAAAEr5O2w=")</f>
        <v>#REF!</v>
      </c>
      <c r="DF108" t="e">
        <f>AND(#REF!,"AAAAAEr5O20=")</f>
        <v>#REF!</v>
      </c>
      <c r="DG108" t="e">
        <f>AND(#REF!,"AAAAAEr5O24=")</f>
        <v>#REF!</v>
      </c>
      <c r="DH108" t="e">
        <f>AND(#REF!,"AAAAAEr5O28=")</f>
        <v>#REF!</v>
      </c>
      <c r="DI108" t="e">
        <f>IF(#REF!,"AAAAAEr5O3A=",0)</f>
        <v>#REF!</v>
      </c>
      <c r="DJ108" t="e">
        <f>AND(#REF!,"AAAAAEr5O3E=")</f>
        <v>#REF!</v>
      </c>
      <c r="DK108" t="e">
        <f>AND(#REF!,"AAAAAEr5O3I=")</f>
        <v>#REF!</v>
      </c>
      <c r="DL108" t="e">
        <f>AND(#REF!,"AAAAAEr5O3M=")</f>
        <v>#REF!</v>
      </c>
      <c r="DM108" t="e">
        <f>AND(#REF!,"AAAAAEr5O3Q=")</f>
        <v>#REF!</v>
      </c>
      <c r="DN108" t="e">
        <f>AND(#REF!,"AAAAAEr5O3U=")</f>
        <v>#REF!</v>
      </c>
      <c r="DO108" t="e">
        <f>AND(#REF!,"AAAAAEr5O3Y=")</f>
        <v>#REF!</v>
      </c>
      <c r="DP108" t="e">
        <f>AND(#REF!,"AAAAAEr5O3c=")</f>
        <v>#REF!</v>
      </c>
      <c r="DQ108" t="e">
        <f>AND(#REF!,"AAAAAEr5O3g=")</f>
        <v>#REF!</v>
      </c>
      <c r="DR108" t="e">
        <f>AND(#REF!,"AAAAAEr5O3k=")</f>
        <v>#REF!</v>
      </c>
      <c r="DS108" t="e">
        <f>AND(#REF!,"AAAAAEr5O3o=")</f>
        <v>#REF!</v>
      </c>
      <c r="DT108" t="e">
        <f>AND(#REF!,"AAAAAEr5O3s=")</f>
        <v>#REF!</v>
      </c>
      <c r="DU108" t="e">
        <f>AND(#REF!,"AAAAAEr5O3w=")</f>
        <v>#REF!</v>
      </c>
      <c r="DV108" t="e">
        <f>AND(#REF!,"AAAAAEr5O30=")</f>
        <v>#REF!</v>
      </c>
      <c r="DW108" t="e">
        <f>AND(#REF!,"AAAAAEr5O34=")</f>
        <v>#REF!</v>
      </c>
      <c r="DX108" t="e">
        <f>AND(#REF!,"AAAAAEr5O38=")</f>
        <v>#REF!</v>
      </c>
      <c r="DY108" t="e">
        <f>AND(#REF!,"AAAAAEr5O4A=")</f>
        <v>#REF!</v>
      </c>
      <c r="DZ108" t="e">
        <f>IF(#REF!,"AAAAAEr5O4E=",0)</f>
        <v>#REF!</v>
      </c>
      <c r="EA108" t="e">
        <f>AND(#REF!,"AAAAAEr5O4I=")</f>
        <v>#REF!</v>
      </c>
      <c r="EB108" t="e">
        <f>AND(#REF!,"AAAAAEr5O4M=")</f>
        <v>#REF!</v>
      </c>
      <c r="EC108" t="e">
        <f>AND(#REF!,"AAAAAEr5O4Q=")</f>
        <v>#REF!</v>
      </c>
      <c r="ED108" t="e">
        <f>AND(#REF!,"AAAAAEr5O4U=")</f>
        <v>#REF!</v>
      </c>
      <c r="EE108" t="e">
        <f>AND(#REF!,"AAAAAEr5O4Y=")</f>
        <v>#REF!</v>
      </c>
      <c r="EF108" t="e">
        <f>AND(#REF!,"AAAAAEr5O4c=")</f>
        <v>#REF!</v>
      </c>
      <c r="EG108" t="e">
        <f>AND(#REF!,"AAAAAEr5O4g=")</f>
        <v>#REF!</v>
      </c>
      <c r="EH108" t="e">
        <f>AND(#REF!,"AAAAAEr5O4k=")</f>
        <v>#REF!</v>
      </c>
      <c r="EI108" t="e">
        <f>AND(#REF!,"AAAAAEr5O4o=")</f>
        <v>#REF!</v>
      </c>
      <c r="EJ108" t="e">
        <f>AND(#REF!,"AAAAAEr5O4s=")</f>
        <v>#REF!</v>
      </c>
      <c r="EK108" t="e">
        <f>AND(#REF!,"AAAAAEr5O4w=")</f>
        <v>#REF!</v>
      </c>
      <c r="EL108" t="e">
        <f>AND(#REF!,"AAAAAEr5O40=")</f>
        <v>#REF!</v>
      </c>
      <c r="EM108" t="e">
        <f>AND(#REF!,"AAAAAEr5O44=")</f>
        <v>#REF!</v>
      </c>
      <c r="EN108" t="e">
        <f>AND(#REF!,"AAAAAEr5O48=")</f>
        <v>#REF!</v>
      </c>
      <c r="EO108" t="e">
        <f>AND(#REF!,"AAAAAEr5O5A=")</f>
        <v>#REF!</v>
      </c>
      <c r="EP108" t="e">
        <f>AND(#REF!,"AAAAAEr5O5E=")</f>
        <v>#REF!</v>
      </c>
      <c r="EQ108" t="e">
        <f>IF(#REF!,"AAAAAEr5O5I=",0)</f>
        <v>#REF!</v>
      </c>
      <c r="ER108" t="e">
        <f>AND(#REF!,"AAAAAEr5O5M=")</f>
        <v>#REF!</v>
      </c>
      <c r="ES108" t="e">
        <f>AND(#REF!,"AAAAAEr5O5Q=")</f>
        <v>#REF!</v>
      </c>
      <c r="ET108" t="e">
        <f>AND(#REF!,"AAAAAEr5O5U=")</f>
        <v>#REF!</v>
      </c>
      <c r="EU108" t="e">
        <f>AND(#REF!,"AAAAAEr5O5Y=")</f>
        <v>#REF!</v>
      </c>
      <c r="EV108" t="e">
        <f>AND(#REF!,"AAAAAEr5O5c=")</f>
        <v>#REF!</v>
      </c>
      <c r="EW108" t="e">
        <f>AND(#REF!,"AAAAAEr5O5g=")</f>
        <v>#REF!</v>
      </c>
      <c r="EX108" t="e">
        <f>AND(#REF!,"AAAAAEr5O5k=")</f>
        <v>#REF!</v>
      </c>
      <c r="EY108" t="e">
        <f>AND(#REF!,"AAAAAEr5O5o=")</f>
        <v>#REF!</v>
      </c>
      <c r="EZ108" t="e">
        <f>AND(#REF!,"AAAAAEr5O5s=")</f>
        <v>#REF!</v>
      </c>
      <c r="FA108" t="e">
        <f>AND(#REF!,"AAAAAEr5O5w=")</f>
        <v>#REF!</v>
      </c>
      <c r="FB108" t="e">
        <f>AND(#REF!,"AAAAAEr5O50=")</f>
        <v>#REF!</v>
      </c>
      <c r="FC108" t="e">
        <f>AND(#REF!,"AAAAAEr5O54=")</f>
        <v>#REF!</v>
      </c>
      <c r="FD108" t="e">
        <f>AND(#REF!,"AAAAAEr5O58=")</f>
        <v>#REF!</v>
      </c>
      <c r="FE108" t="e">
        <f>AND(#REF!,"AAAAAEr5O6A=")</f>
        <v>#REF!</v>
      </c>
      <c r="FF108" t="e">
        <f>AND(#REF!,"AAAAAEr5O6E=")</f>
        <v>#REF!</v>
      </c>
      <c r="FG108" t="e">
        <f>AND(#REF!,"AAAAAEr5O6I=")</f>
        <v>#REF!</v>
      </c>
      <c r="FH108" t="e">
        <f>IF(#REF!,"AAAAAEr5O6M=",0)</f>
        <v>#REF!</v>
      </c>
      <c r="FI108" t="e">
        <f>AND(#REF!,"AAAAAEr5O6Q=")</f>
        <v>#REF!</v>
      </c>
      <c r="FJ108" t="e">
        <f>AND(#REF!,"AAAAAEr5O6U=")</f>
        <v>#REF!</v>
      </c>
      <c r="FK108" t="e">
        <f>AND(#REF!,"AAAAAEr5O6Y=")</f>
        <v>#REF!</v>
      </c>
      <c r="FL108" t="e">
        <f>AND(#REF!,"AAAAAEr5O6c=")</f>
        <v>#REF!</v>
      </c>
      <c r="FM108" t="e">
        <f>AND(#REF!,"AAAAAEr5O6g=")</f>
        <v>#REF!</v>
      </c>
      <c r="FN108" t="e">
        <f>AND(#REF!,"AAAAAEr5O6k=")</f>
        <v>#REF!</v>
      </c>
      <c r="FO108" t="e">
        <f>AND(#REF!,"AAAAAEr5O6o=")</f>
        <v>#REF!</v>
      </c>
      <c r="FP108" t="e">
        <f>AND(#REF!,"AAAAAEr5O6s=")</f>
        <v>#REF!</v>
      </c>
      <c r="FQ108" t="e">
        <f>AND(#REF!,"AAAAAEr5O6w=")</f>
        <v>#REF!</v>
      </c>
      <c r="FR108" t="e">
        <f>AND(#REF!,"AAAAAEr5O60=")</f>
        <v>#REF!</v>
      </c>
      <c r="FS108" t="e">
        <f>AND(#REF!,"AAAAAEr5O64=")</f>
        <v>#REF!</v>
      </c>
      <c r="FT108" t="e">
        <f>AND(#REF!,"AAAAAEr5O68=")</f>
        <v>#REF!</v>
      </c>
      <c r="FU108" t="e">
        <f>AND(#REF!,"AAAAAEr5O7A=")</f>
        <v>#REF!</v>
      </c>
      <c r="FV108" t="e">
        <f>AND(#REF!,"AAAAAEr5O7E=")</f>
        <v>#REF!</v>
      </c>
      <c r="FW108" t="e">
        <f>AND(#REF!,"AAAAAEr5O7I=")</f>
        <v>#REF!</v>
      </c>
      <c r="FX108" t="e">
        <f>AND(#REF!,"AAAAAEr5O7M=")</f>
        <v>#REF!</v>
      </c>
      <c r="FY108" t="e">
        <f>IF(#REF!,"AAAAAEr5O7Q=",0)</f>
        <v>#REF!</v>
      </c>
      <c r="FZ108" t="e">
        <f>IF(#REF!,"AAAAAEr5O7U=",0)</f>
        <v>#REF!</v>
      </c>
      <c r="GA108" t="e">
        <f>IF(#REF!,"AAAAAEr5O7Y=",0)</f>
        <v>#REF!</v>
      </c>
      <c r="GB108" t="e">
        <f>IF(#REF!,"AAAAAEr5O7c=",0)</f>
        <v>#REF!</v>
      </c>
      <c r="GC108" t="e">
        <f>IF(#REF!,"AAAAAEr5O7g=",0)</f>
        <v>#REF!</v>
      </c>
      <c r="GD108" t="e">
        <f>IF(#REF!,"AAAAAEr5O7k=",0)</f>
        <v>#REF!</v>
      </c>
      <c r="GE108" t="e">
        <f>IF(#REF!,"AAAAAEr5O7o=",0)</f>
        <v>#REF!</v>
      </c>
      <c r="GF108" t="e">
        <f>IF(#REF!,"AAAAAEr5O7s=",0)</f>
        <v>#REF!</v>
      </c>
      <c r="GG108" t="e">
        <f>IF(#REF!,"AAAAAEr5O7w=",0)</f>
        <v>#REF!</v>
      </c>
      <c r="GH108" t="e">
        <f>IF(#REF!,"AAAAAEr5O70=",0)</f>
        <v>#REF!</v>
      </c>
      <c r="GI108" t="e">
        <f>IF(#REF!,"AAAAAEr5O74=",0)</f>
        <v>#REF!</v>
      </c>
      <c r="GJ108" t="e">
        <f>IF(#REF!,"AAAAAEr5O78=",0)</f>
        <v>#REF!</v>
      </c>
      <c r="GK108" t="e">
        <f>IF(#REF!,"AAAAAEr5O8A=",0)</f>
        <v>#REF!</v>
      </c>
      <c r="GL108" t="e">
        <f>IF(#REF!,"AAAAAEr5O8E=",0)</f>
        <v>#REF!</v>
      </c>
      <c r="GM108" t="e">
        <f>IF(#REF!,"AAAAAEr5O8I=",0)</f>
        <v>#REF!</v>
      </c>
      <c r="GN108" t="e">
        <f>IF(#REF!,"AAAAAEr5O8M=",0)</f>
        <v>#REF!</v>
      </c>
      <c r="GO108" t="e">
        <f>IF(#REF!,"AAAAAEr5O8Q=",0)</f>
        <v>#REF!</v>
      </c>
      <c r="GP108">
        <v>0</v>
      </c>
      <c r="GQ108" t="e">
        <v>#VALUE!</v>
      </c>
      <c r="GR108" t="e">
        <v>#VALUE!</v>
      </c>
      <c r="GS108" t="e">
        <v>#VALUE!</v>
      </c>
      <c r="GT108" t="e">
        <v>#VALUE!</v>
      </c>
      <c r="GU108" t="e">
        <v>#VALUE!</v>
      </c>
      <c r="GV108" t="e">
        <v>#VALUE!</v>
      </c>
      <c r="GW108" t="e">
        <v>#VALUE!</v>
      </c>
      <c r="GX108" t="e">
        <v>#VALUE!</v>
      </c>
      <c r="GY108" t="e">
        <v>#VALUE!</v>
      </c>
      <c r="GZ108" t="e">
        <v>#VALUE!</v>
      </c>
      <c r="HA108" t="e">
        <v>#VALUE!</v>
      </c>
      <c r="HB108" t="e">
        <v>#VALUE!</v>
      </c>
      <c r="HC108" t="e">
        <v>#VALUE!</v>
      </c>
      <c r="HD108" t="e">
        <v>#VALUE!</v>
      </c>
      <c r="HE108" t="e">
        <v>#VALUE!</v>
      </c>
      <c r="HF108" t="e">
        <v>#VALUE!</v>
      </c>
      <c r="HG108" t="e">
        <v>#VALUE!</v>
      </c>
      <c r="HH108" t="e">
        <v>#VALUE!</v>
      </c>
      <c r="HI108" t="e">
        <v>#VALUE!</v>
      </c>
      <c r="HJ108" t="e">
        <v>#VALUE!</v>
      </c>
      <c r="HK108" t="e">
        <v>#VALUE!</v>
      </c>
      <c r="HL108" t="e">
        <v>#VALUE!</v>
      </c>
      <c r="HM108" t="e">
        <v>#VALUE!</v>
      </c>
      <c r="HN108" t="e">
        <v>#VALUE!</v>
      </c>
      <c r="HO108" t="e">
        <v>#VALUE!</v>
      </c>
      <c r="HP108" t="e">
        <v>#VALUE!</v>
      </c>
      <c r="HQ108" t="e">
        <v>#VALUE!</v>
      </c>
      <c r="HR108" t="e">
        <v>#VALUE!</v>
      </c>
      <c r="HS108" t="e">
        <v>#VALUE!</v>
      </c>
      <c r="HT108" t="e">
        <v>#VALUE!</v>
      </c>
      <c r="HU108" t="e">
        <v>#VALUE!</v>
      </c>
      <c r="HV108" t="e">
        <v>#VALUE!</v>
      </c>
      <c r="HW108" t="e">
        <v>#VALUE!</v>
      </c>
      <c r="HX108">
        <v>0</v>
      </c>
      <c r="HY108" t="e">
        <v>#VALUE!</v>
      </c>
      <c r="HZ108" t="e">
        <v>#VALUE!</v>
      </c>
      <c r="IA108" t="e">
        <v>#VALUE!</v>
      </c>
      <c r="IB108" t="e">
        <v>#VALUE!</v>
      </c>
      <c r="IC108" t="e">
        <v>#VALUE!</v>
      </c>
      <c r="ID108" t="e">
        <v>#VALUE!</v>
      </c>
      <c r="IE108" t="e">
        <v>#VALUE!</v>
      </c>
      <c r="IF108" t="e">
        <v>#VALUE!</v>
      </c>
      <c r="IG108" t="e">
        <v>#VALUE!</v>
      </c>
      <c r="IH108" t="e">
        <v>#VALUE!</v>
      </c>
      <c r="II108" t="e">
        <v>#VALUE!</v>
      </c>
      <c r="IJ108" t="e">
        <v>#VALUE!</v>
      </c>
      <c r="IK108" t="e">
        <v>#VALUE!</v>
      </c>
      <c r="IL108" t="e">
        <v>#VALUE!</v>
      </c>
      <c r="IM108" t="e">
        <v>#VALUE!</v>
      </c>
      <c r="IN108" t="e">
        <v>#VALUE!</v>
      </c>
      <c r="IO108" t="e">
        <v>#VALUE!</v>
      </c>
      <c r="IP108" t="e">
        <v>#VALUE!</v>
      </c>
      <c r="IQ108" t="e">
        <v>#VALUE!</v>
      </c>
      <c r="IR108" t="e">
        <v>#VALUE!</v>
      </c>
      <c r="IS108" t="e">
        <v>#VALUE!</v>
      </c>
      <c r="IT108" t="e">
        <v>#VALUE!</v>
      </c>
      <c r="IU108" t="e">
        <v>#VALUE!</v>
      </c>
      <c r="IV108" t="e">
        <v>#VALUE!</v>
      </c>
    </row>
    <row r="109" spans="1:256" x14ac:dyDescent="0.25">
      <c r="A109" t="e">
        <v>#VALUE!</v>
      </c>
      <c r="B109" t="e">
        <v>#VALUE!</v>
      </c>
      <c r="C109" t="e">
        <v>#VALUE!</v>
      </c>
      <c r="D109" t="e">
        <v>#VALUE!</v>
      </c>
      <c r="E109" t="e">
        <v>#VALUE!</v>
      </c>
      <c r="F109" t="e">
        <v>#VALUE!</v>
      </c>
      <c r="G109" t="e">
        <v>#VALUE!</v>
      </c>
      <c r="H109" t="e">
        <v>#VALUE!</v>
      </c>
      <c r="I109" t="e">
        <v>#VALUE!</v>
      </c>
      <c r="J109">
        <v>0</v>
      </c>
      <c r="K109" t="e">
        <v>#VALUE!</v>
      </c>
      <c r="L109" t="e">
        <v>#VALUE!</v>
      </c>
      <c r="M109" t="e">
        <v>#VALUE!</v>
      </c>
      <c r="N109" t="e">
        <v>#VALUE!</v>
      </c>
      <c r="O109" t="e">
        <v>#VALUE!</v>
      </c>
      <c r="P109" t="e">
        <v>#VALUE!</v>
      </c>
      <c r="Q109" t="e">
        <v>#VALUE!</v>
      </c>
      <c r="R109" t="e">
        <v>#VALUE!</v>
      </c>
      <c r="S109" t="e">
        <v>#VALUE!</v>
      </c>
      <c r="T109" t="e">
        <v>#VALUE!</v>
      </c>
      <c r="U109" t="e">
        <v>#VALUE!</v>
      </c>
      <c r="V109" t="e">
        <v>#VALUE!</v>
      </c>
      <c r="W109" t="e">
        <v>#VALUE!</v>
      </c>
      <c r="X109" t="e">
        <v>#VALUE!</v>
      </c>
      <c r="Y109" t="e">
        <v>#VALUE!</v>
      </c>
      <c r="Z109" t="e">
        <v>#VALUE!</v>
      </c>
      <c r="AA109" t="e">
        <v>#VALUE!</v>
      </c>
      <c r="AB109" t="e">
        <v>#VALUE!</v>
      </c>
      <c r="AC109" t="e">
        <v>#VALUE!</v>
      </c>
      <c r="AD109" t="e">
        <v>#VALUE!</v>
      </c>
      <c r="AE109" t="e">
        <v>#VALUE!</v>
      </c>
      <c r="AF109" t="e">
        <v>#VALUE!</v>
      </c>
      <c r="AG109" t="e">
        <v>#VALUE!</v>
      </c>
      <c r="AH109" t="e">
        <v>#VALUE!</v>
      </c>
      <c r="AI109" t="e">
        <v>#VALUE!</v>
      </c>
      <c r="AJ109" t="e">
        <v>#VALUE!</v>
      </c>
      <c r="AK109" t="e">
        <v>#VALUE!</v>
      </c>
      <c r="AL109" t="e">
        <v>#VALUE!</v>
      </c>
      <c r="AM109" t="e">
        <v>#VALUE!</v>
      </c>
      <c r="AN109" t="e">
        <v>#VALUE!</v>
      </c>
      <c r="AO109" t="e">
        <v>#VALUE!</v>
      </c>
      <c r="AP109" t="e">
        <v>#VALUE!</v>
      </c>
      <c r="AQ109" t="e">
        <v>#VALUE!</v>
      </c>
      <c r="AR109">
        <v>0</v>
      </c>
      <c r="AS109" t="e">
        <v>#VALUE!</v>
      </c>
      <c r="AT109" t="e">
        <v>#VALUE!</v>
      </c>
      <c r="AU109" t="e">
        <v>#VALUE!</v>
      </c>
      <c r="AV109" t="e">
        <v>#VALUE!</v>
      </c>
      <c r="AW109" t="e">
        <v>#VALUE!</v>
      </c>
      <c r="AX109" t="e">
        <v>#VALUE!</v>
      </c>
      <c r="AY109" t="e">
        <v>#VALUE!</v>
      </c>
      <c r="AZ109" t="e">
        <v>#VALUE!</v>
      </c>
      <c r="BA109" t="e">
        <v>#VALUE!</v>
      </c>
      <c r="BB109" t="e">
        <v>#VALUE!</v>
      </c>
      <c r="BC109" t="e">
        <v>#VALUE!</v>
      </c>
      <c r="BD109" t="e">
        <v>#VALUE!</v>
      </c>
      <c r="BE109" t="e">
        <v>#VALUE!</v>
      </c>
      <c r="BF109" t="e">
        <v>#VALUE!</v>
      </c>
      <c r="BG109" t="e">
        <v>#VALUE!</v>
      </c>
      <c r="BH109" t="e">
        <v>#VALUE!</v>
      </c>
      <c r="BI109" t="e">
        <v>#VALUE!</v>
      </c>
      <c r="BJ109" t="e">
        <v>#VALUE!</v>
      </c>
      <c r="BK109" t="e">
        <v>#VALUE!</v>
      </c>
      <c r="BL109" t="e">
        <v>#VALUE!</v>
      </c>
      <c r="BM109" t="e">
        <v>#VALUE!</v>
      </c>
      <c r="BN109" t="e">
        <v>#VALUE!</v>
      </c>
      <c r="BO109" t="e">
        <v>#VALUE!</v>
      </c>
      <c r="BP109" t="e">
        <v>#VALUE!</v>
      </c>
      <c r="BQ109" t="e">
        <v>#VALUE!</v>
      </c>
      <c r="BR109" t="e">
        <v>#VALUE!</v>
      </c>
      <c r="BS109" t="e">
        <v>#VALUE!</v>
      </c>
      <c r="BT109" t="e">
        <v>#VALUE!</v>
      </c>
      <c r="BU109" t="e">
        <v>#VALUE!</v>
      </c>
      <c r="BV109" t="e">
        <v>#VALUE!</v>
      </c>
      <c r="BW109" t="e">
        <v>#VALUE!</v>
      </c>
      <c r="BX109" t="e">
        <v>#VALUE!</v>
      </c>
      <c r="BY109" t="e">
        <v>#VALUE!</v>
      </c>
      <c r="BZ109">
        <v>0</v>
      </c>
      <c r="CA109" t="e">
        <v>#VALUE!</v>
      </c>
      <c r="CB109" t="e">
        <v>#VALUE!</v>
      </c>
      <c r="CC109" t="e">
        <v>#VALUE!</v>
      </c>
      <c r="CD109" t="e">
        <v>#VALUE!</v>
      </c>
      <c r="CE109" t="e">
        <v>#VALUE!</v>
      </c>
      <c r="CF109" t="e">
        <v>#VALUE!</v>
      </c>
      <c r="CG109" t="e">
        <v>#VALUE!</v>
      </c>
      <c r="CH109" t="e">
        <v>#VALUE!</v>
      </c>
      <c r="CI109" t="e">
        <v>#VALUE!</v>
      </c>
      <c r="CJ109" t="e">
        <v>#VALUE!</v>
      </c>
      <c r="CK109" t="e">
        <v>#VALUE!</v>
      </c>
      <c r="CL109" t="e">
        <v>#VALUE!</v>
      </c>
      <c r="CM109" t="e">
        <v>#VALUE!</v>
      </c>
      <c r="CN109" t="e">
        <v>#VALUE!</v>
      </c>
      <c r="CO109" t="e">
        <v>#VALUE!</v>
      </c>
      <c r="CP109" t="e">
        <v>#VALUE!</v>
      </c>
      <c r="CQ109" t="e">
        <v>#VALUE!</v>
      </c>
      <c r="CR109" t="e">
        <v>#VALUE!</v>
      </c>
      <c r="CS109" t="e">
        <v>#VALUE!</v>
      </c>
      <c r="CT109" t="e">
        <v>#VALUE!</v>
      </c>
      <c r="CU109" t="e">
        <v>#VALUE!</v>
      </c>
      <c r="CV109" t="e">
        <v>#VALUE!</v>
      </c>
      <c r="CW109" t="e">
        <v>#VALUE!</v>
      </c>
      <c r="CX109" t="e">
        <v>#VALUE!</v>
      </c>
      <c r="CY109" t="e">
        <v>#VALUE!</v>
      </c>
      <c r="CZ109" t="e">
        <v>#VALUE!</v>
      </c>
      <c r="DA109" t="e">
        <v>#VALUE!</v>
      </c>
      <c r="DB109" t="e">
        <v>#VALUE!</v>
      </c>
      <c r="DC109" t="e">
        <v>#VALUE!</v>
      </c>
      <c r="DD109" t="e">
        <v>#VALUE!</v>
      </c>
      <c r="DE109" t="e">
        <v>#VALUE!</v>
      </c>
      <c r="DF109" t="e">
        <v>#VALUE!</v>
      </c>
      <c r="DG109" t="e">
        <v>#VALUE!</v>
      </c>
      <c r="DH109">
        <v>0</v>
      </c>
      <c r="DI109" t="e">
        <v>#VALUE!</v>
      </c>
      <c r="DJ109" t="e">
        <v>#VALUE!</v>
      </c>
      <c r="DK109" t="e">
        <v>#VALUE!</v>
      </c>
      <c r="DL109" t="e">
        <v>#VALUE!</v>
      </c>
      <c r="DM109" t="e">
        <v>#VALUE!</v>
      </c>
      <c r="DN109" t="e">
        <v>#VALUE!</v>
      </c>
      <c r="DO109" t="e">
        <v>#VALUE!</v>
      </c>
      <c r="DP109" t="e">
        <v>#VALUE!</v>
      </c>
      <c r="DQ109" t="e">
        <v>#VALUE!</v>
      </c>
      <c r="DR109" t="e">
        <v>#VALUE!</v>
      </c>
      <c r="DS109" t="e">
        <v>#VALUE!</v>
      </c>
      <c r="DT109" t="e">
        <v>#VALUE!</v>
      </c>
      <c r="DU109" t="e">
        <v>#VALUE!</v>
      </c>
      <c r="DV109" t="e">
        <v>#VALUE!</v>
      </c>
      <c r="DW109" t="e">
        <v>#VALUE!</v>
      </c>
      <c r="DX109" t="e">
        <v>#VALUE!</v>
      </c>
      <c r="DY109" t="e">
        <v>#VALUE!</v>
      </c>
      <c r="DZ109" t="e">
        <v>#VALUE!</v>
      </c>
      <c r="EA109" t="e">
        <v>#VALUE!</v>
      </c>
      <c r="EB109" t="e">
        <v>#VALUE!</v>
      </c>
      <c r="EC109" t="e">
        <v>#VALUE!</v>
      </c>
      <c r="ED109" t="e">
        <v>#VALUE!</v>
      </c>
      <c r="EE109" t="e">
        <v>#VALUE!</v>
      </c>
      <c r="EF109" t="e">
        <v>#VALUE!</v>
      </c>
      <c r="EG109" t="e">
        <v>#VALUE!</v>
      </c>
      <c r="EH109" t="e">
        <v>#VALUE!</v>
      </c>
      <c r="EI109" t="e">
        <v>#VALUE!</v>
      </c>
      <c r="EJ109" t="e">
        <v>#VALUE!</v>
      </c>
      <c r="EK109" t="e">
        <v>#VALUE!</v>
      </c>
      <c r="EL109" t="e">
        <v>#VALUE!</v>
      </c>
      <c r="EM109" t="e">
        <v>#VALUE!</v>
      </c>
      <c r="EN109" t="e">
        <v>#VALUE!</v>
      </c>
      <c r="EO109" t="e">
        <v>#VALUE!</v>
      </c>
      <c r="EP109">
        <v>0</v>
      </c>
      <c r="EQ109" t="e">
        <v>#VALUE!</v>
      </c>
      <c r="ER109" t="e">
        <v>#VALUE!</v>
      </c>
      <c r="ES109" t="e">
        <v>#VALUE!</v>
      </c>
      <c r="ET109" t="e">
        <v>#VALUE!</v>
      </c>
      <c r="EU109" t="e">
        <v>#VALUE!</v>
      </c>
      <c r="EV109" t="e">
        <v>#VALUE!</v>
      </c>
      <c r="EW109" t="e">
        <v>#VALUE!</v>
      </c>
      <c r="EX109" t="e">
        <v>#VALUE!</v>
      </c>
      <c r="EY109" t="e">
        <v>#VALUE!</v>
      </c>
      <c r="EZ109" t="e">
        <v>#VALUE!</v>
      </c>
      <c r="FA109" t="e">
        <v>#VALUE!</v>
      </c>
      <c r="FB109" t="e">
        <v>#VALUE!</v>
      </c>
      <c r="FC109" t="e">
        <v>#VALUE!</v>
      </c>
      <c r="FD109" t="e">
        <v>#VALUE!</v>
      </c>
      <c r="FE109" t="e">
        <v>#VALUE!</v>
      </c>
      <c r="FF109" t="e">
        <v>#VALUE!</v>
      </c>
      <c r="FG109" t="e">
        <v>#VALUE!</v>
      </c>
      <c r="FH109" t="e">
        <v>#VALUE!</v>
      </c>
      <c r="FI109" t="e">
        <v>#VALUE!</v>
      </c>
      <c r="FJ109" t="e">
        <v>#VALUE!</v>
      </c>
      <c r="FK109" t="e">
        <v>#VALUE!</v>
      </c>
      <c r="FL109" t="e">
        <v>#VALUE!</v>
      </c>
      <c r="FM109" t="e">
        <v>#VALUE!</v>
      </c>
      <c r="FN109" t="e">
        <v>#VALUE!</v>
      </c>
      <c r="FO109" t="e">
        <v>#VALUE!</v>
      </c>
      <c r="FP109" t="e">
        <v>#VALUE!</v>
      </c>
      <c r="FQ109" t="e">
        <v>#VALUE!</v>
      </c>
      <c r="FR109" t="e">
        <v>#VALUE!</v>
      </c>
      <c r="FS109" t="e">
        <v>#VALUE!</v>
      </c>
      <c r="FT109" t="e">
        <v>#VALUE!</v>
      </c>
      <c r="FU109" t="e">
        <v>#VALUE!</v>
      </c>
      <c r="FV109" t="e">
        <v>#VALUE!</v>
      </c>
      <c r="FW109" t="e">
        <v>#VALUE!</v>
      </c>
      <c r="FX109">
        <v>0</v>
      </c>
      <c r="FY109" t="e">
        <v>#VALUE!</v>
      </c>
      <c r="FZ109" t="e">
        <v>#VALUE!</v>
      </c>
      <c r="GA109" t="e">
        <v>#VALUE!</v>
      </c>
      <c r="GB109" t="e">
        <v>#VALUE!</v>
      </c>
      <c r="GC109" t="e">
        <v>#VALUE!</v>
      </c>
      <c r="GD109" t="e">
        <v>#VALUE!</v>
      </c>
      <c r="GE109" t="e">
        <v>#VALUE!</v>
      </c>
      <c r="GF109" t="e">
        <v>#VALUE!</v>
      </c>
      <c r="GG109" t="e">
        <v>#VALUE!</v>
      </c>
      <c r="GH109" t="e">
        <v>#VALUE!</v>
      </c>
      <c r="GI109" t="e">
        <v>#VALUE!</v>
      </c>
      <c r="GJ109" t="e">
        <v>#VALUE!</v>
      </c>
      <c r="GK109" t="e">
        <v>#VALUE!</v>
      </c>
      <c r="GL109" t="e">
        <v>#VALUE!</v>
      </c>
      <c r="GM109" t="e">
        <v>#VALUE!</v>
      </c>
      <c r="GN109" t="e">
        <v>#VALUE!</v>
      </c>
      <c r="GO109" t="e">
        <v>#VALUE!</v>
      </c>
      <c r="GP109" t="e">
        <v>#VALUE!</v>
      </c>
      <c r="GQ109" t="e">
        <v>#VALUE!</v>
      </c>
      <c r="GR109" t="e">
        <v>#VALUE!</v>
      </c>
      <c r="GS109" t="e">
        <v>#VALUE!</v>
      </c>
      <c r="GT109" t="e">
        <v>#VALUE!</v>
      </c>
      <c r="GU109" t="e">
        <v>#VALUE!</v>
      </c>
      <c r="GV109" t="e">
        <v>#VALUE!</v>
      </c>
      <c r="GW109" t="e">
        <v>#VALUE!</v>
      </c>
      <c r="GX109" t="e">
        <v>#VALUE!</v>
      </c>
      <c r="GY109" t="e">
        <v>#VALUE!</v>
      </c>
      <c r="GZ109" t="e">
        <v>#VALUE!</v>
      </c>
      <c r="HA109" t="e">
        <v>#VALUE!</v>
      </c>
      <c r="HB109" t="e">
        <v>#VALUE!</v>
      </c>
      <c r="HC109" t="e">
        <v>#VALUE!</v>
      </c>
      <c r="HD109" t="e">
        <v>#VALUE!</v>
      </c>
      <c r="HE109" t="e">
        <v>#VALUE!</v>
      </c>
      <c r="HF109">
        <v>0</v>
      </c>
      <c r="HG109" t="e">
        <v>#VALUE!</v>
      </c>
      <c r="HH109" t="e">
        <v>#VALUE!</v>
      </c>
      <c r="HI109" t="e">
        <v>#VALUE!</v>
      </c>
      <c r="HJ109" t="e">
        <v>#VALUE!</v>
      </c>
      <c r="HK109" t="e">
        <v>#VALUE!</v>
      </c>
      <c r="HL109" t="e">
        <v>#VALUE!</v>
      </c>
      <c r="HM109" t="e">
        <v>#VALUE!</v>
      </c>
      <c r="HN109" t="e">
        <v>#VALUE!</v>
      </c>
      <c r="HO109" t="e">
        <v>#VALUE!</v>
      </c>
      <c r="HP109" t="e">
        <v>#VALUE!</v>
      </c>
      <c r="HQ109" t="e">
        <v>#VALUE!</v>
      </c>
      <c r="HR109" t="e">
        <v>#VALUE!</v>
      </c>
      <c r="HS109" t="e">
        <v>#VALUE!</v>
      </c>
      <c r="HT109" t="e">
        <v>#VALUE!</v>
      </c>
      <c r="HU109" t="e">
        <v>#VALUE!</v>
      </c>
      <c r="HV109" t="e">
        <v>#VALUE!</v>
      </c>
      <c r="HW109" t="e">
        <v>#VALUE!</v>
      </c>
      <c r="HX109" t="e">
        <v>#VALUE!</v>
      </c>
      <c r="HY109" t="e">
        <v>#VALUE!</v>
      </c>
      <c r="HZ109" t="e">
        <v>#VALUE!</v>
      </c>
      <c r="IA109" t="e">
        <v>#VALUE!</v>
      </c>
      <c r="IB109" t="e">
        <v>#VALUE!</v>
      </c>
      <c r="IC109" t="e">
        <v>#VALUE!</v>
      </c>
      <c r="ID109" t="e">
        <v>#VALUE!</v>
      </c>
      <c r="IE109" t="e">
        <v>#VALUE!</v>
      </c>
      <c r="IF109" t="e">
        <v>#VALUE!</v>
      </c>
      <c r="IG109" t="e">
        <v>#VALUE!</v>
      </c>
      <c r="IH109" t="e">
        <v>#VALUE!</v>
      </c>
      <c r="II109" t="e">
        <v>#VALUE!</v>
      </c>
      <c r="IJ109" t="e">
        <v>#VALUE!</v>
      </c>
      <c r="IK109" t="e">
        <v>#VALUE!</v>
      </c>
      <c r="IL109" t="e">
        <v>#VALUE!</v>
      </c>
      <c r="IM109" t="e">
        <v>#VALUE!</v>
      </c>
      <c r="IN109">
        <v>0</v>
      </c>
      <c r="IO109" t="e">
        <v>#VALUE!</v>
      </c>
      <c r="IP109" t="e">
        <v>#VALUE!</v>
      </c>
      <c r="IQ109" t="e">
        <v>#VALUE!</v>
      </c>
      <c r="IR109" t="e">
        <v>#VALUE!</v>
      </c>
      <c r="IS109" t="e">
        <v>#VALUE!</v>
      </c>
      <c r="IT109" t="e">
        <v>#VALUE!</v>
      </c>
      <c r="IU109" t="e">
        <v>#VALUE!</v>
      </c>
      <c r="IV109" t="e">
        <v>#VALUE!</v>
      </c>
    </row>
    <row r="110" spans="1:256" x14ac:dyDescent="0.25">
      <c r="A110" t="e">
        <v>#VALUE!</v>
      </c>
      <c r="B110" t="e">
        <v>#VALUE!</v>
      </c>
      <c r="C110" t="e">
        <v>#VALUE!</v>
      </c>
      <c r="D110" t="e">
        <v>#VALUE!</v>
      </c>
      <c r="E110" t="e">
        <v>#VALUE!</v>
      </c>
      <c r="F110" t="e">
        <v>#VALUE!</v>
      </c>
      <c r="G110" t="e">
        <v>#VALUE!</v>
      </c>
      <c r="H110" t="e">
        <v>#VALUE!</v>
      </c>
      <c r="I110" t="e">
        <v>#VALUE!</v>
      </c>
      <c r="J110" t="e">
        <v>#VALUE!</v>
      </c>
      <c r="K110" t="e">
        <v>#VALUE!</v>
      </c>
      <c r="L110" t="e">
        <v>#VALUE!</v>
      </c>
      <c r="M110" t="e">
        <v>#VALUE!</v>
      </c>
      <c r="N110" t="e">
        <v>#VALUE!</v>
      </c>
      <c r="O110" t="e">
        <v>#VALUE!</v>
      </c>
      <c r="P110" t="e">
        <v>#VALUE!</v>
      </c>
      <c r="Q110" t="e">
        <v>#VALUE!</v>
      </c>
      <c r="R110" t="e">
        <v>#VALUE!</v>
      </c>
      <c r="S110" t="e">
        <v>#VALUE!</v>
      </c>
      <c r="T110" t="e">
        <v>#VALUE!</v>
      </c>
      <c r="U110" t="e">
        <v>#VALUE!</v>
      </c>
      <c r="V110" t="e">
        <v>#VALUE!</v>
      </c>
      <c r="W110" t="e">
        <v>#VALUE!</v>
      </c>
      <c r="X110" t="e">
        <v>#VALUE!</v>
      </c>
      <c r="Y110" t="e">
        <v>#VALUE!</v>
      </c>
      <c r="Z110">
        <v>0</v>
      </c>
      <c r="AA110" t="e">
        <v>#VALUE!</v>
      </c>
      <c r="AB110" t="e">
        <v>#VALUE!</v>
      </c>
      <c r="AC110" t="e">
        <v>#VALUE!</v>
      </c>
      <c r="AD110" t="e">
        <v>#VALUE!</v>
      </c>
      <c r="AE110" t="e">
        <v>#VALUE!</v>
      </c>
      <c r="AF110" t="e">
        <v>#VALUE!</v>
      </c>
      <c r="AG110" t="e">
        <v>#VALUE!</v>
      </c>
      <c r="AH110" t="e">
        <v>#VALUE!</v>
      </c>
      <c r="AI110" t="e">
        <v>#VALUE!</v>
      </c>
      <c r="AJ110" t="e">
        <v>#VALUE!</v>
      </c>
      <c r="AK110" t="e">
        <v>#VALUE!</v>
      </c>
      <c r="AL110" t="e">
        <v>#VALUE!</v>
      </c>
      <c r="AM110" t="e">
        <v>#VALUE!</v>
      </c>
      <c r="AN110" t="e">
        <v>#VALUE!</v>
      </c>
      <c r="AO110" t="e">
        <v>#VALUE!</v>
      </c>
      <c r="AP110" t="e">
        <v>#VALUE!</v>
      </c>
      <c r="AQ110" t="e">
        <v>#VALUE!</v>
      </c>
      <c r="AR110" t="e">
        <v>#VALUE!</v>
      </c>
      <c r="AS110" t="e">
        <v>#VALUE!</v>
      </c>
      <c r="AT110" t="e">
        <v>#VALUE!</v>
      </c>
      <c r="AU110" t="e">
        <v>#VALUE!</v>
      </c>
      <c r="AV110" t="e">
        <v>#VALUE!</v>
      </c>
      <c r="AW110" t="e">
        <v>#VALUE!</v>
      </c>
      <c r="AX110" t="e">
        <v>#VALUE!</v>
      </c>
      <c r="AY110" t="e">
        <v>#VALUE!</v>
      </c>
      <c r="AZ110" t="e">
        <v>#VALUE!</v>
      </c>
      <c r="BA110" t="e">
        <v>#VALUE!</v>
      </c>
      <c r="BB110" t="e">
        <v>#VALUE!</v>
      </c>
      <c r="BC110" t="e">
        <v>#VALUE!</v>
      </c>
      <c r="BD110" t="e">
        <v>#VALUE!</v>
      </c>
      <c r="BE110" t="e">
        <v>#VALUE!</v>
      </c>
      <c r="BF110" t="e">
        <v>#VALUE!</v>
      </c>
      <c r="BG110" t="e">
        <v>#VALUE!</v>
      </c>
      <c r="BH110">
        <v>0</v>
      </c>
      <c r="BI110" t="e">
        <v>#VALUE!</v>
      </c>
      <c r="BJ110" t="e">
        <v>#VALUE!</v>
      </c>
      <c r="BK110" t="e">
        <v>#VALUE!</v>
      </c>
      <c r="BL110" t="e">
        <v>#VALUE!</v>
      </c>
      <c r="BM110" t="e">
        <v>#VALUE!</v>
      </c>
      <c r="BN110" t="e">
        <v>#VALUE!</v>
      </c>
      <c r="BO110" t="e">
        <v>#VALUE!</v>
      </c>
      <c r="BP110" t="e">
        <v>#VALUE!</v>
      </c>
      <c r="BQ110" t="e">
        <v>#VALUE!</v>
      </c>
      <c r="BR110" t="e">
        <v>#VALUE!</v>
      </c>
      <c r="BS110" t="e">
        <v>#VALUE!</v>
      </c>
      <c r="BT110" t="e">
        <v>#VALUE!</v>
      </c>
      <c r="BU110" t="e">
        <v>#VALUE!</v>
      </c>
      <c r="BV110" t="e">
        <v>#VALUE!</v>
      </c>
      <c r="BW110" t="e">
        <v>#VALUE!</v>
      </c>
      <c r="BX110" t="e">
        <v>#VALUE!</v>
      </c>
      <c r="BY110" t="e">
        <v>#VALUE!</v>
      </c>
      <c r="BZ110" t="e">
        <v>#VALUE!</v>
      </c>
      <c r="CA110" t="e">
        <v>#VALUE!</v>
      </c>
      <c r="CB110" t="e">
        <v>#VALUE!</v>
      </c>
      <c r="CC110" t="e">
        <v>#VALUE!</v>
      </c>
      <c r="CD110" t="e">
        <v>#VALUE!</v>
      </c>
      <c r="CE110" t="e">
        <v>#VALUE!</v>
      </c>
      <c r="CF110" t="e">
        <v>#VALUE!</v>
      </c>
      <c r="CG110" t="e">
        <v>#VALUE!</v>
      </c>
      <c r="CH110" t="e">
        <v>#VALUE!</v>
      </c>
      <c r="CI110" t="e">
        <v>#VALUE!</v>
      </c>
      <c r="CJ110" t="e">
        <v>#VALUE!</v>
      </c>
      <c r="CK110" t="e">
        <v>#VALUE!</v>
      </c>
      <c r="CL110" t="e">
        <v>#VALUE!</v>
      </c>
      <c r="CM110" t="e">
        <v>#VALUE!</v>
      </c>
      <c r="CN110" t="e">
        <v>#VALUE!</v>
      </c>
      <c r="CO110" t="e">
        <v>#VALUE!</v>
      </c>
      <c r="CP110">
        <v>0</v>
      </c>
      <c r="CQ110" t="e">
        <v>#VALUE!</v>
      </c>
      <c r="CR110" t="e">
        <v>#VALUE!</v>
      </c>
      <c r="CS110" t="e">
        <v>#VALUE!</v>
      </c>
      <c r="CT110" t="e">
        <v>#VALUE!</v>
      </c>
      <c r="CU110" t="e">
        <v>#VALUE!</v>
      </c>
      <c r="CV110" t="e">
        <v>#VALUE!</v>
      </c>
      <c r="CW110" t="e">
        <v>#VALUE!</v>
      </c>
      <c r="CX110" t="e">
        <v>#VALUE!</v>
      </c>
      <c r="CY110" t="e">
        <v>#VALUE!</v>
      </c>
      <c r="CZ110" t="e">
        <v>#VALUE!</v>
      </c>
      <c r="DA110" t="e">
        <v>#VALUE!</v>
      </c>
      <c r="DB110" t="e">
        <v>#VALUE!</v>
      </c>
      <c r="DC110" t="e">
        <v>#VALUE!</v>
      </c>
      <c r="DD110" t="e">
        <v>#VALUE!</v>
      </c>
      <c r="DE110" t="e">
        <v>#VALUE!</v>
      </c>
      <c r="DF110" t="e">
        <v>#VALUE!</v>
      </c>
      <c r="DG110" t="e">
        <v>#VALUE!</v>
      </c>
      <c r="DH110" t="e">
        <v>#VALUE!</v>
      </c>
      <c r="DI110" t="e">
        <v>#VALUE!</v>
      </c>
      <c r="DJ110" t="e">
        <v>#VALUE!</v>
      </c>
      <c r="DK110" t="e">
        <v>#VALUE!</v>
      </c>
      <c r="DL110" t="e">
        <v>#VALUE!</v>
      </c>
      <c r="DM110" t="e">
        <v>#VALUE!</v>
      </c>
      <c r="DN110" t="e">
        <v>#VALUE!</v>
      </c>
      <c r="DO110" t="e">
        <v>#VALUE!</v>
      </c>
      <c r="DP110" t="e">
        <v>#VALUE!</v>
      </c>
      <c r="DQ110" t="e">
        <v>#VALUE!</v>
      </c>
      <c r="DR110" t="e">
        <v>#VALUE!</v>
      </c>
      <c r="DS110" t="e">
        <v>#VALUE!</v>
      </c>
      <c r="DT110" t="e">
        <v>#VALUE!</v>
      </c>
      <c r="DU110" t="e">
        <v>#VALUE!</v>
      </c>
      <c r="DV110" t="e">
        <v>#VALUE!</v>
      </c>
      <c r="DW110" t="e">
        <v>#VALUE!</v>
      </c>
      <c r="DX110">
        <v>0</v>
      </c>
      <c r="DY110" t="e">
        <v>#VALUE!</v>
      </c>
      <c r="DZ110" t="e">
        <v>#VALUE!</v>
      </c>
      <c r="EA110" t="e">
        <v>#VALUE!</v>
      </c>
      <c r="EB110" t="e">
        <v>#VALUE!</v>
      </c>
      <c r="EC110" t="e">
        <v>#VALUE!</v>
      </c>
      <c r="ED110" t="e">
        <v>#VALUE!</v>
      </c>
      <c r="EE110" t="e">
        <v>#VALUE!</v>
      </c>
      <c r="EF110" t="e">
        <v>#VALUE!</v>
      </c>
      <c r="EG110" t="e">
        <v>#VALUE!</v>
      </c>
      <c r="EH110" t="e">
        <v>#VALUE!</v>
      </c>
      <c r="EI110" t="e">
        <v>#VALUE!</v>
      </c>
      <c r="EJ110" t="e">
        <v>#VALUE!</v>
      </c>
      <c r="EK110" t="e">
        <v>#VALUE!</v>
      </c>
      <c r="EL110" t="e">
        <v>#VALUE!</v>
      </c>
      <c r="EM110" t="e">
        <v>#VALUE!</v>
      </c>
      <c r="EN110" t="e">
        <v>#VALUE!</v>
      </c>
      <c r="EO110" t="e">
        <v>#VALUE!</v>
      </c>
      <c r="EP110" t="e">
        <v>#VALUE!</v>
      </c>
      <c r="EQ110" t="e">
        <v>#VALUE!</v>
      </c>
      <c r="ER110" t="e">
        <v>#VALUE!</v>
      </c>
      <c r="ES110" t="e">
        <v>#VALUE!</v>
      </c>
      <c r="ET110" t="e">
        <v>#VALUE!</v>
      </c>
      <c r="EU110" t="e">
        <v>#VALUE!</v>
      </c>
      <c r="EV110" t="e">
        <v>#VALUE!</v>
      </c>
      <c r="EW110" t="e">
        <v>#VALUE!</v>
      </c>
      <c r="EX110" t="e">
        <v>#VALUE!</v>
      </c>
      <c r="EY110" t="e">
        <v>#VALUE!</v>
      </c>
      <c r="EZ110" t="e">
        <v>#VALUE!</v>
      </c>
      <c r="FA110" t="e">
        <v>#VALUE!</v>
      </c>
      <c r="FB110" t="e">
        <v>#VALUE!</v>
      </c>
      <c r="FC110" t="e">
        <v>#VALUE!</v>
      </c>
      <c r="FD110" t="e">
        <v>#VALUE!</v>
      </c>
      <c r="FE110" t="e">
        <v>#VALUE!</v>
      </c>
      <c r="FF110">
        <v>0</v>
      </c>
      <c r="FG110" t="e">
        <v>#VALUE!</v>
      </c>
      <c r="FH110" t="e">
        <v>#VALUE!</v>
      </c>
      <c r="FI110" t="e">
        <v>#VALUE!</v>
      </c>
      <c r="FJ110" t="e">
        <v>#VALUE!</v>
      </c>
      <c r="FK110" t="e">
        <v>#VALUE!</v>
      </c>
      <c r="FL110" t="e">
        <v>#VALUE!</v>
      </c>
      <c r="FM110" t="e">
        <v>#VALUE!</v>
      </c>
      <c r="FN110" t="e">
        <v>#VALUE!</v>
      </c>
      <c r="FO110" t="e">
        <v>#VALUE!</v>
      </c>
      <c r="FP110" t="e">
        <v>#VALUE!</v>
      </c>
      <c r="FQ110" t="e">
        <v>#VALUE!</v>
      </c>
      <c r="FR110" t="e">
        <v>#VALUE!</v>
      </c>
      <c r="FS110" t="e">
        <v>#VALUE!</v>
      </c>
      <c r="FT110" t="e">
        <v>#VALUE!</v>
      </c>
      <c r="FU110" t="e">
        <v>#VALUE!</v>
      </c>
      <c r="FV110" t="e">
        <v>#VALUE!</v>
      </c>
      <c r="FW110" t="e">
        <v>#VALUE!</v>
      </c>
      <c r="FX110" t="e">
        <v>#VALUE!</v>
      </c>
      <c r="FY110" t="e">
        <v>#VALUE!</v>
      </c>
      <c r="FZ110" t="e">
        <v>#VALUE!</v>
      </c>
      <c r="GA110" t="e">
        <v>#VALUE!</v>
      </c>
      <c r="GB110" t="e">
        <v>#VALUE!</v>
      </c>
      <c r="GC110" t="e">
        <v>#VALUE!</v>
      </c>
      <c r="GD110" t="e">
        <v>#VALUE!</v>
      </c>
      <c r="GE110" t="e">
        <v>#VALUE!</v>
      </c>
      <c r="GF110" t="e">
        <v>#VALUE!</v>
      </c>
      <c r="GG110" t="e">
        <v>#VALUE!</v>
      </c>
      <c r="GH110" t="e">
        <v>#VALUE!</v>
      </c>
      <c r="GI110" t="e">
        <v>#VALUE!</v>
      </c>
      <c r="GJ110" t="e">
        <v>#VALUE!</v>
      </c>
      <c r="GK110" t="e">
        <v>#VALUE!</v>
      </c>
      <c r="GL110" t="e">
        <v>#VALUE!</v>
      </c>
      <c r="GM110" t="e">
        <v>#VALUE!</v>
      </c>
      <c r="GN110">
        <v>0</v>
      </c>
      <c r="GO110" t="e">
        <v>#VALUE!</v>
      </c>
      <c r="GP110" t="e">
        <v>#VALUE!</v>
      </c>
      <c r="GQ110" t="e">
        <v>#VALUE!</v>
      </c>
      <c r="GR110" t="e">
        <v>#VALUE!</v>
      </c>
      <c r="GS110" t="e">
        <v>#VALUE!</v>
      </c>
      <c r="GT110" t="e">
        <v>#VALUE!</v>
      </c>
      <c r="GU110" t="e">
        <v>#VALUE!</v>
      </c>
      <c r="GV110" t="e">
        <v>#VALUE!</v>
      </c>
      <c r="GW110" t="e">
        <v>#VALUE!</v>
      </c>
      <c r="GX110" t="e">
        <v>#VALUE!</v>
      </c>
      <c r="GY110" t="e">
        <v>#VALUE!</v>
      </c>
      <c r="GZ110" t="e">
        <v>#VALUE!</v>
      </c>
      <c r="HA110" t="e">
        <v>#VALUE!</v>
      </c>
      <c r="HB110" t="e">
        <v>#VALUE!</v>
      </c>
      <c r="HC110" t="e">
        <v>#VALUE!</v>
      </c>
      <c r="HD110" t="e">
        <v>#VALUE!</v>
      </c>
      <c r="HE110" t="e">
        <v>#VALUE!</v>
      </c>
      <c r="HF110" t="e">
        <v>#VALUE!</v>
      </c>
      <c r="HG110" t="e">
        <v>#VALUE!</v>
      </c>
      <c r="HH110" t="e">
        <v>#VALUE!</v>
      </c>
      <c r="HI110" t="e">
        <v>#VALUE!</v>
      </c>
      <c r="HJ110" t="e">
        <v>#VALUE!</v>
      </c>
      <c r="HK110" t="e">
        <v>#VALUE!</v>
      </c>
      <c r="HL110" t="e">
        <v>#VALUE!</v>
      </c>
      <c r="HM110" t="e">
        <v>#VALUE!</v>
      </c>
      <c r="HN110" t="e">
        <v>#VALUE!</v>
      </c>
      <c r="HO110" t="e">
        <v>#VALUE!</v>
      </c>
      <c r="HP110" t="e">
        <v>#VALUE!</v>
      </c>
      <c r="HQ110" t="e">
        <v>#VALUE!</v>
      </c>
      <c r="HR110" t="e">
        <v>#VALUE!</v>
      </c>
      <c r="HS110" t="e">
        <v>#VALUE!</v>
      </c>
      <c r="HT110" t="e">
        <v>#VALUE!</v>
      </c>
      <c r="HU110" t="e">
        <v>#VALUE!</v>
      </c>
      <c r="HV110">
        <v>0</v>
      </c>
      <c r="HW110" t="e">
        <v>#VALUE!</v>
      </c>
      <c r="HX110" t="e">
        <v>#VALUE!</v>
      </c>
      <c r="HY110" t="e">
        <v>#VALUE!</v>
      </c>
      <c r="HZ110" t="e">
        <v>#VALUE!</v>
      </c>
      <c r="IA110" t="e">
        <v>#VALUE!</v>
      </c>
      <c r="IB110" t="e">
        <v>#VALUE!</v>
      </c>
      <c r="IC110" t="e">
        <v>#VALUE!</v>
      </c>
      <c r="ID110" t="e">
        <v>#VALUE!</v>
      </c>
      <c r="IE110" t="e">
        <v>#VALUE!</v>
      </c>
      <c r="IF110" t="e">
        <v>#VALUE!</v>
      </c>
      <c r="IG110" t="e">
        <v>#VALUE!</v>
      </c>
      <c r="IH110" t="e">
        <v>#VALUE!</v>
      </c>
      <c r="II110" t="e">
        <v>#VALUE!</v>
      </c>
      <c r="IJ110" t="e">
        <v>#VALUE!</v>
      </c>
      <c r="IK110" t="e">
        <v>#VALUE!</v>
      </c>
      <c r="IL110" t="e">
        <v>#VALUE!</v>
      </c>
      <c r="IM110" t="e">
        <v>#VALUE!</v>
      </c>
      <c r="IN110" t="e">
        <v>#VALUE!</v>
      </c>
      <c r="IO110" t="e">
        <v>#VALUE!</v>
      </c>
      <c r="IP110" t="e">
        <v>#VALUE!</v>
      </c>
      <c r="IQ110" t="e">
        <v>#VALUE!</v>
      </c>
      <c r="IR110" t="e">
        <v>#VALUE!</v>
      </c>
      <c r="IS110" t="e">
        <v>#VALUE!</v>
      </c>
      <c r="IT110" t="e">
        <v>#VALUE!</v>
      </c>
      <c r="IU110" t="e">
        <v>#VALUE!</v>
      </c>
      <c r="IV110" t="e">
        <v>#VALUE!</v>
      </c>
    </row>
    <row r="111" spans="1:256" x14ac:dyDescent="0.25">
      <c r="A111" t="e">
        <v>#VALUE!</v>
      </c>
      <c r="B111" t="e">
        <v>#VALUE!</v>
      </c>
      <c r="C111" t="e">
        <v>#VALUE!</v>
      </c>
      <c r="D111" t="e">
        <v>#VALUE!</v>
      </c>
      <c r="E111" t="e">
        <v>#VALUE!</v>
      </c>
      <c r="F111" t="e">
        <v>#VALUE!</v>
      </c>
      <c r="G111" t="e">
        <v>#VALUE!</v>
      </c>
      <c r="H111">
        <v>0</v>
      </c>
      <c r="I111" t="e">
        <v>#VALUE!</v>
      </c>
      <c r="J111" t="e">
        <v>#VALUE!</v>
      </c>
      <c r="K111" t="e">
        <v>#VALUE!</v>
      </c>
      <c r="L111" t="e">
        <v>#VALUE!</v>
      </c>
      <c r="M111" t="e">
        <v>#VALUE!</v>
      </c>
      <c r="N111" t="e">
        <v>#VALUE!</v>
      </c>
      <c r="O111" t="e">
        <v>#VALUE!</v>
      </c>
      <c r="P111" t="e">
        <v>#VALUE!</v>
      </c>
      <c r="Q111" t="e">
        <v>#VALUE!</v>
      </c>
      <c r="R111" t="e">
        <v>#VALUE!</v>
      </c>
      <c r="S111" t="e">
        <v>#VALUE!</v>
      </c>
      <c r="T111" t="e">
        <v>#VALUE!</v>
      </c>
      <c r="U111" t="e">
        <v>#VALUE!</v>
      </c>
      <c r="V111" t="e">
        <v>#VALUE!</v>
      </c>
      <c r="W111" t="e">
        <v>#VALUE!</v>
      </c>
      <c r="X111" t="e">
        <v>#VALUE!</v>
      </c>
      <c r="Y111" t="e">
        <v>#VALUE!</v>
      </c>
      <c r="Z111" t="e">
        <v>#VALUE!</v>
      </c>
      <c r="AA111" t="e">
        <v>#VALUE!</v>
      </c>
      <c r="AB111" t="e">
        <v>#VALUE!</v>
      </c>
      <c r="AC111" t="e">
        <v>#VALUE!</v>
      </c>
      <c r="AD111" t="e">
        <v>#VALUE!</v>
      </c>
      <c r="AE111" t="e">
        <v>#VALUE!</v>
      </c>
      <c r="AF111" t="e">
        <v>#VALUE!</v>
      </c>
      <c r="AG111" t="e">
        <v>#VALUE!</v>
      </c>
      <c r="AH111" t="e">
        <v>#VALUE!</v>
      </c>
      <c r="AI111" t="e">
        <v>#VALUE!</v>
      </c>
      <c r="AJ111" t="e">
        <v>#VALUE!</v>
      </c>
      <c r="AK111" t="e">
        <v>#VALUE!</v>
      </c>
      <c r="AL111" t="e">
        <v>#VALUE!</v>
      </c>
      <c r="AM111" t="e">
        <v>#VALUE!</v>
      </c>
      <c r="AN111" t="e">
        <v>#VALUE!</v>
      </c>
      <c r="AO111" t="e">
        <v>#VALUE!</v>
      </c>
      <c r="AP111">
        <v>0</v>
      </c>
      <c r="AQ111" t="e">
        <v>#VALUE!</v>
      </c>
      <c r="AR111" t="e">
        <v>#VALUE!</v>
      </c>
      <c r="AS111" t="e">
        <v>#VALUE!</v>
      </c>
      <c r="AT111" t="e">
        <v>#VALUE!</v>
      </c>
      <c r="AU111" t="e">
        <v>#VALUE!</v>
      </c>
      <c r="AV111" t="e">
        <v>#VALUE!</v>
      </c>
      <c r="AW111" t="e">
        <v>#VALUE!</v>
      </c>
      <c r="AX111" t="e">
        <v>#VALUE!</v>
      </c>
      <c r="AY111" t="e">
        <v>#VALUE!</v>
      </c>
      <c r="AZ111" t="e">
        <v>#VALUE!</v>
      </c>
      <c r="BA111" t="e">
        <v>#VALUE!</v>
      </c>
      <c r="BB111" t="e">
        <v>#VALUE!</v>
      </c>
      <c r="BC111" t="e">
        <v>#VALUE!</v>
      </c>
      <c r="BD111" t="e">
        <v>#VALUE!</v>
      </c>
      <c r="BE111" t="e">
        <v>#VALUE!</v>
      </c>
      <c r="BF111" t="e">
        <v>#VALUE!</v>
      </c>
      <c r="BG111" t="e">
        <v>#VALUE!</v>
      </c>
      <c r="BH111" t="e">
        <v>#VALUE!</v>
      </c>
      <c r="BI111" t="e">
        <v>#VALUE!</v>
      </c>
      <c r="BJ111" t="e">
        <v>#VALUE!</v>
      </c>
      <c r="BK111" t="e">
        <v>#VALUE!</v>
      </c>
      <c r="BL111" t="e">
        <v>#VALUE!</v>
      </c>
      <c r="BM111" t="e">
        <v>#VALUE!</v>
      </c>
      <c r="BN111" t="e">
        <v>#VALUE!</v>
      </c>
      <c r="BO111" t="e">
        <v>#VALUE!</v>
      </c>
      <c r="BP111" t="e">
        <v>#VALUE!</v>
      </c>
      <c r="BQ111" t="e">
        <v>#VALUE!</v>
      </c>
      <c r="BR111" t="e">
        <v>#VALUE!</v>
      </c>
      <c r="BS111" t="e">
        <v>#VALUE!</v>
      </c>
      <c r="BT111" t="e">
        <v>#VALUE!</v>
      </c>
      <c r="BU111" t="e">
        <v>#VALUE!</v>
      </c>
      <c r="BV111" t="e">
        <v>#VALUE!</v>
      </c>
      <c r="BW111" t="e">
        <v>#VALUE!</v>
      </c>
      <c r="BX111">
        <v>0</v>
      </c>
      <c r="BY111" t="e">
        <v>#VALUE!</v>
      </c>
      <c r="BZ111" t="e">
        <v>#VALUE!</v>
      </c>
      <c r="CA111" t="e">
        <v>#VALUE!</v>
      </c>
      <c r="CB111" t="e">
        <v>#VALUE!</v>
      </c>
      <c r="CC111" t="e">
        <v>#VALUE!</v>
      </c>
      <c r="CD111" t="e">
        <v>#VALUE!</v>
      </c>
      <c r="CE111" t="e">
        <v>#VALUE!</v>
      </c>
      <c r="CF111" t="e">
        <v>#VALUE!</v>
      </c>
      <c r="CG111" t="e">
        <v>#VALUE!</v>
      </c>
      <c r="CH111" t="e">
        <v>#VALUE!</v>
      </c>
      <c r="CI111" t="e">
        <v>#VALUE!</v>
      </c>
      <c r="CJ111" t="e">
        <v>#VALUE!</v>
      </c>
      <c r="CK111" t="e">
        <v>#VALUE!</v>
      </c>
      <c r="CL111" t="e">
        <v>#VALUE!</v>
      </c>
      <c r="CM111" t="e">
        <v>#VALUE!</v>
      </c>
      <c r="CN111" t="e">
        <v>#VALUE!</v>
      </c>
      <c r="CO111" t="e">
        <v>#VALUE!</v>
      </c>
      <c r="CP111" t="e">
        <v>#VALUE!</v>
      </c>
      <c r="CQ111" t="e">
        <v>#VALUE!</v>
      </c>
      <c r="CR111" t="e">
        <v>#VALUE!</v>
      </c>
      <c r="CS111" t="e">
        <v>#VALUE!</v>
      </c>
      <c r="CT111" t="e">
        <v>#VALUE!</v>
      </c>
      <c r="CU111" t="e">
        <v>#VALUE!</v>
      </c>
      <c r="CV111" t="e">
        <v>#VALUE!</v>
      </c>
      <c r="CW111" t="e">
        <v>#VALUE!</v>
      </c>
      <c r="CX111" t="e">
        <v>#VALUE!</v>
      </c>
      <c r="CY111" t="e">
        <v>#VALUE!</v>
      </c>
      <c r="CZ111" t="e">
        <v>#VALUE!</v>
      </c>
      <c r="DA111" t="e">
        <v>#VALUE!</v>
      </c>
      <c r="DB111" t="e">
        <v>#VALUE!</v>
      </c>
      <c r="DC111" t="e">
        <v>#VALUE!</v>
      </c>
      <c r="DD111" t="e">
        <v>#VALUE!</v>
      </c>
      <c r="DE111" t="e">
        <v>#VALUE!</v>
      </c>
      <c r="DF111">
        <v>0</v>
      </c>
      <c r="DG111" t="e">
        <v>#VALUE!</v>
      </c>
      <c r="DH111" t="e">
        <v>#VALUE!</v>
      </c>
      <c r="DI111" t="e">
        <v>#VALUE!</v>
      </c>
      <c r="DJ111" t="e">
        <v>#VALUE!</v>
      </c>
      <c r="DK111" t="e">
        <v>#VALUE!</v>
      </c>
      <c r="DL111" t="e">
        <v>#VALUE!</v>
      </c>
      <c r="DM111" t="e">
        <v>#VALUE!</v>
      </c>
      <c r="DN111" t="e">
        <v>#VALUE!</v>
      </c>
      <c r="DO111" t="e">
        <v>#VALUE!</v>
      </c>
      <c r="DP111" t="e">
        <v>#VALUE!</v>
      </c>
      <c r="DQ111" t="e">
        <v>#VALUE!</v>
      </c>
      <c r="DR111" t="e">
        <v>#VALUE!</v>
      </c>
      <c r="DS111" t="e">
        <v>#VALUE!</v>
      </c>
      <c r="DT111" t="e">
        <v>#VALUE!</v>
      </c>
      <c r="DU111" t="e">
        <v>#VALUE!</v>
      </c>
      <c r="DV111" t="e">
        <v>#VALUE!</v>
      </c>
      <c r="DW111" t="e">
        <v>#VALUE!</v>
      </c>
      <c r="DX111" t="e">
        <v>#VALUE!</v>
      </c>
      <c r="DY111" t="e">
        <v>#VALUE!</v>
      </c>
      <c r="DZ111" t="e">
        <v>#VALUE!</v>
      </c>
      <c r="EA111" t="e">
        <v>#VALUE!</v>
      </c>
      <c r="EB111" t="e">
        <v>#VALUE!</v>
      </c>
      <c r="EC111" t="e">
        <v>#VALUE!</v>
      </c>
      <c r="ED111" t="e">
        <v>#VALUE!</v>
      </c>
      <c r="EE111" t="e">
        <v>#VALUE!</v>
      </c>
      <c r="EF111" t="e">
        <v>#VALUE!</v>
      </c>
      <c r="EG111" t="e">
        <v>#VALUE!</v>
      </c>
      <c r="EH111" t="e">
        <v>#VALUE!</v>
      </c>
      <c r="EI111" t="e">
        <v>#VALUE!</v>
      </c>
      <c r="EJ111" t="e">
        <v>#VALUE!</v>
      </c>
      <c r="EK111" t="e">
        <v>#VALUE!</v>
      </c>
      <c r="EL111" t="e">
        <v>#VALUE!</v>
      </c>
      <c r="EM111" t="e">
        <v>#VALUE!</v>
      </c>
      <c r="EN111">
        <v>0</v>
      </c>
      <c r="EO111" t="e">
        <v>#VALUE!</v>
      </c>
      <c r="EP111" t="e">
        <v>#VALUE!</v>
      </c>
      <c r="EQ111" t="e">
        <v>#VALUE!</v>
      </c>
      <c r="ER111" t="e">
        <v>#VALUE!</v>
      </c>
      <c r="ES111" t="e">
        <v>#VALUE!</v>
      </c>
      <c r="ET111" t="e">
        <v>#VALUE!</v>
      </c>
      <c r="EU111" t="e">
        <v>#VALUE!</v>
      </c>
      <c r="EV111" t="e">
        <v>#VALUE!</v>
      </c>
      <c r="EW111" t="e">
        <v>#VALUE!</v>
      </c>
      <c r="EX111" t="e">
        <v>#VALUE!</v>
      </c>
      <c r="EY111" t="e">
        <v>#VALUE!</v>
      </c>
      <c r="EZ111" t="e">
        <v>#VALUE!</v>
      </c>
      <c r="FA111" t="e">
        <v>#VALUE!</v>
      </c>
      <c r="FB111" t="e">
        <v>#VALUE!</v>
      </c>
      <c r="FC111" t="e">
        <v>#VALUE!</v>
      </c>
      <c r="FD111" t="e">
        <v>#VALUE!</v>
      </c>
      <c r="FE111" t="e">
        <v>#VALUE!</v>
      </c>
      <c r="FF111" t="e">
        <v>#VALUE!</v>
      </c>
      <c r="FG111" t="e">
        <v>#VALUE!</v>
      </c>
      <c r="FH111" t="e">
        <v>#VALUE!</v>
      </c>
      <c r="FI111" t="e">
        <v>#VALUE!</v>
      </c>
      <c r="FJ111" t="e">
        <v>#VALUE!</v>
      </c>
      <c r="FK111" t="e">
        <v>#VALUE!</v>
      </c>
      <c r="FL111" t="e">
        <v>#VALUE!</v>
      </c>
      <c r="FM111" t="e">
        <v>#VALUE!</v>
      </c>
      <c r="FN111" t="e">
        <v>#VALUE!</v>
      </c>
      <c r="FO111" t="e">
        <v>#VALUE!</v>
      </c>
      <c r="FP111" t="e">
        <v>#VALUE!</v>
      </c>
      <c r="FQ111" t="e">
        <v>#VALUE!</v>
      </c>
      <c r="FR111" t="e">
        <v>#VALUE!</v>
      </c>
      <c r="FS111" t="e">
        <v>#VALUE!</v>
      </c>
      <c r="FT111" t="e">
        <v>#VALUE!</v>
      </c>
      <c r="FU111" t="e">
        <v>#VALUE!</v>
      </c>
      <c r="FV111">
        <v>0</v>
      </c>
      <c r="FW111" t="e">
        <v>#VALUE!</v>
      </c>
      <c r="FX111" t="e">
        <v>#VALUE!</v>
      </c>
      <c r="FY111" t="e">
        <v>#VALUE!</v>
      </c>
      <c r="FZ111" t="e">
        <v>#VALUE!</v>
      </c>
      <c r="GA111" t="e">
        <v>#VALUE!</v>
      </c>
      <c r="GB111" t="e">
        <v>#VALUE!</v>
      </c>
      <c r="GC111" t="e">
        <v>#VALUE!</v>
      </c>
      <c r="GD111" t="e">
        <v>#VALUE!</v>
      </c>
      <c r="GE111" t="e">
        <v>#VALUE!</v>
      </c>
      <c r="GF111" t="e">
        <v>#VALUE!</v>
      </c>
      <c r="GG111" t="e">
        <v>#VALUE!</v>
      </c>
      <c r="GH111" t="e">
        <v>#VALUE!</v>
      </c>
      <c r="GI111" t="e">
        <v>#VALUE!</v>
      </c>
      <c r="GJ111" t="e">
        <v>#VALUE!</v>
      </c>
      <c r="GK111" t="e">
        <v>#VALUE!</v>
      </c>
      <c r="GL111" t="e">
        <v>#VALUE!</v>
      </c>
      <c r="GM111" t="e">
        <v>#VALUE!</v>
      </c>
      <c r="GN111" t="e">
        <v>#VALUE!</v>
      </c>
      <c r="GO111" t="e">
        <v>#VALUE!</v>
      </c>
      <c r="GP111" t="e">
        <v>#VALUE!</v>
      </c>
      <c r="GQ111" t="e">
        <v>#VALUE!</v>
      </c>
      <c r="GR111" t="e">
        <v>#VALUE!</v>
      </c>
      <c r="GS111" t="e">
        <v>#VALUE!</v>
      </c>
      <c r="GT111" t="e">
        <v>#VALUE!</v>
      </c>
      <c r="GU111" t="e">
        <v>#VALUE!</v>
      </c>
      <c r="GV111" t="e">
        <v>#VALUE!</v>
      </c>
      <c r="GW111" t="e">
        <v>#VALUE!</v>
      </c>
      <c r="GX111" t="e">
        <v>#VALUE!</v>
      </c>
      <c r="GY111" t="e">
        <v>#VALUE!</v>
      </c>
      <c r="GZ111" t="e">
        <v>#VALUE!</v>
      </c>
      <c r="HA111" t="e">
        <v>#VALUE!</v>
      </c>
      <c r="HB111" t="e">
        <v>#VALUE!</v>
      </c>
      <c r="HC111" t="e">
        <v>#VALUE!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>
        <v>0</v>
      </c>
      <c r="HP111">
        <v>0</v>
      </c>
      <c r="HQ111">
        <v>0</v>
      </c>
      <c r="HR111">
        <v>0</v>
      </c>
      <c r="HS111">
        <v>0</v>
      </c>
      <c r="HT111">
        <v>0</v>
      </c>
      <c r="HU111">
        <v>0</v>
      </c>
      <c r="HV111">
        <v>0</v>
      </c>
      <c r="HW111">
        <v>0</v>
      </c>
      <c r="HX111">
        <v>0</v>
      </c>
      <c r="HY111">
        <v>0</v>
      </c>
      <c r="HZ111">
        <v>0</v>
      </c>
      <c r="IA111">
        <v>0</v>
      </c>
      <c r="IB111">
        <v>0</v>
      </c>
      <c r="IC111">
        <v>0</v>
      </c>
      <c r="ID111">
        <v>0</v>
      </c>
      <c r="IE111">
        <v>0</v>
      </c>
      <c r="IF111">
        <v>0</v>
      </c>
      <c r="IG111">
        <v>0</v>
      </c>
      <c r="IH111">
        <v>0</v>
      </c>
      <c r="II111">
        <v>0</v>
      </c>
      <c r="IJ111">
        <v>0</v>
      </c>
      <c r="IK111">
        <v>0</v>
      </c>
      <c r="IL111">
        <v>0</v>
      </c>
      <c r="IM111">
        <v>0</v>
      </c>
      <c r="IN111">
        <v>0</v>
      </c>
      <c r="IO111">
        <v>0</v>
      </c>
      <c r="IP111">
        <v>0</v>
      </c>
      <c r="IQ111">
        <v>0</v>
      </c>
      <c r="IR111">
        <v>0</v>
      </c>
      <c r="IS111">
        <v>0</v>
      </c>
      <c r="IT111">
        <v>0</v>
      </c>
      <c r="IU111">
        <v>0</v>
      </c>
      <c r="IV111">
        <v>0</v>
      </c>
    </row>
    <row r="112" spans="1:256" x14ac:dyDescent="0.25">
      <c r="A112">
        <v>0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 t="e">
        <v>#VALUE!</v>
      </c>
      <c r="BX112" t="e">
        <v>#VALUE!</v>
      </c>
      <c r="BY112" t="e">
        <v>#VALUE!</v>
      </c>
      <c r="BZ112" t="e">
        <v>#VALUE!</v>
      </c>
      <c r="CA112" t="e">
        <v>#VALUE!</v>
      </c>
      <c r="CB112" t="e">
        <v>#VALUE!</v>
      </c>
      <c r="CC112" t="e">
        <v>#VALUE!</v>
      </c>
      <c r="CD112" t="e">
        <v>#VALUE!</v>
      </c>
      <c r="CE112" t="e">
        <v>#VALUE!</v>
      </c>
      <c r="CF112" t="e">
        <v>#VALUE!</v>
      </c>
      <c r="CG112" t="e">
        <v>#VALUE!</v>
      </c>
      <c r="CH112" t="e">
        <v>#VALUE!</v>
      </c>
      <c r="CI112" t="e">
        <v>#VALUE!</v>
      </c>
      <c r="CJ112" t="e">
        <v>#VALUE!</v>
      </c>
      <c r="CK112" t="e">
        <v>#VALUE!</v>
      </c>
      <c r="CL112" t="e">
        <v>#VALUE!</v>
      </c>
      <c r="CM112" t="e">
        <v>#VALUE!</v>
      </c>
      <c r="CN112" t="e">
        <v>#VALUE!</v>
      </c>
      <c r="CO112">
        <v>0</v>
      </c>
      <c r="CP112" t="e">
        <v>#VALUE!</v>
      </c>
      <c r="CQ112" t="e">
        <v>#VALUE!</v>
      </c>
      <c r="CR112" t="e">
        <v>#VALUE!</v>
      </c>
      <c r="CS112" t="e">
        <v>#VALUE!</v>
      </c>
      <c r="CT112" t="e">
        <v>#VALUE!</v>
      </c>
      <c r="CU112" t="e">
        <v>#VALUE!</v>
      </c>
      <c r="CV112" t="e">
        <v>#VALUE!</v>
      </c>
      <c r="CW112" t="e">
        <v>#VALUE!</v>
      </c>
      <c r="CX112" t="e">
        <v>#VALUE!</v>
      </c>
      <c r="CY112" t="e">
        <v>#VALUE!</v>
      </c>
      <c r="CZ112" t="e">
        <v>#VALUE!</v>
      </c>
      <c r="DA112" t="e">
        <v>#VALUE!</v>
      </c>
      <c r="DB112" t="e">
        <v>#VALUE!</v>
      </c>
      <c r="DC112" t="e">
        <v>#VALUE!</v>
      </c>
      <c r="DD112" t="e">
        <v>#VALUE!</v>
      </c>
      <c r="DE112" t="e">
        <v>#VALUE!</v>
      </c>
      <c r="DF112" t="e">
        <v>#VALUE!</v>
      </c>
      <c r="DG112" t="e">
        <v>#VALUE!</v>
      </c>
      <c r="DH112">
        <v>0</v>
      </c>
      <c r="DI112" t="e">
        <v>#VALUE!</v>
      </c>
      <c r="DJ112" t="e">
        <v>#VALUE!</v>
      </c>
      <c r="DK112" t="e">
        <v>#VALUE!</v>
      </c>
      <c r="DL112" t="e">
        <v>#VALUE!</v>
      </c>
      <c r="DM112" t="e">
        <v>#VALUE!</v>
      </c>
      <c r="DN112" t="e">
        <v>#VALUE!</v>
      </c>
      <c r="DO112" t="e">
        <v>#VALUE!</v>
      </c>
      <c r="DP112" t="e">
        <v>#VALUE!</v>
      </c>
      <c r="DQ112" t="e">
        <v>#VALUE!</v>
      </c>
      <c r="DR112" t="e">
        <v>#VALUE!</v>
      </c>
      <c r="DS112" t="e">
        <v>#VALUE!</v>
      </c>
      <c r="DT112" t="e">
        <v>#VALUE!</v>
      </c>
      <c r="DU112" t="e">
        <v>#VALUE!</v>
      </c>
      <c r="DV112" t="e">
        <v>#VALUE!</v>
      </c>
      <c r="DW112" t="e">
        <v>#VALUE!</v>
      </c>
      <c r="DX112" t="e">
        <v>#VALUE!</v>
      </c>
      <c r="DY112" t="e">
        <v>#VALUE!</v>
      </c>
      <c r="DZ112" t="e">
        <v>#VALUE!</v>
      </c>
      <c r="EA112">
        <v>0</v>
      </c>
      <c r="EB112" t="e">
        <v>#VALUE!</v>
      </c>
      <c r="EC112" t="e">
        <v>#VALUE!</v>
      </c>
      <c r="ED112" t="e">
        <v>#VALUE!</v>
      </c>
      <c r="EE112" t="e">
        <v>#VALUE!</v>
      </c>
      <c r="EF112" t="e">
        <v>#VALUE!</v>
      </c>
      <c r="EG112" t="e">
        <v>#VALUE!</v>
      </c>
      <c r="EH112" t="e">
        <v>#VALUE!</v>
      </c>
      <c r="EI112" t="e">
        <v>#VALUE!</v>
      </c>
      <c r="EJ112" t="e">
        <v>#VALUE!</v>
      </c>
      <c r="EK112" t="e">
        <v>#VALUE!</v>
      </c>
      <c r="EL112" t="e">
        <v>#VALUE!</v>
      </c>
      <c r="EM112" t="e">
        <v>#VALUE!</v>
      </c>
      <c r="EN112" t="e">
        <v>#VALUE!</v>
      </c>
      <c r="EO112" t="e">
        <v>#VALUE!</v>
      </c>
      <c r="EP112" t="e">
        <v>#VALUE!</v>
      </c>
      <c r="EQ112" t="e">
        <v>#VALUE!</v>
      </c>
      <c r="ER112" t="e">
        <v>#VALUE!</v>
      </c>
      <c r="ES112" t="e">
        <v>#VALUE!</v>
      </c>
      <c r="ET112">
        <v>0</v>
      </c>
      <c r="EU112" t="e">
        <v>#VALUE!</v>
      </c>
      <c r="EV112" t="e">
        <v>#VALUE!</v>
      </c>
      <c r="EW112" t="e">
        <v>#VALUE!</v>
      </c>
      <c r="EX112" t="e">
        <v>#VALUE!</v>
      </c>
      <c r="EY112" t="e">
        <v>#VALUE!</v>
      </c>
      <c r="EZ112" t="e">
        <v>#VALUE!</v>
      </c>
      <c r="FA112" t="e">
        <v>#VALUE!</v>
      </c>
      <c r="FB112" t="e">
        <v>#VALUE!</v>
      </c>
      <c r="FC112" t="e">
        <v>#VALUE!</v>
      </c>
      <c r="FD112" t="e">
        <v>#VALUE!</v>
      </c>
      <c r="FE112" t="e">
        <v>#VALUE!</v>
      </c>
      <c r="FF112" t="e">
        <v>#VALUE!</v>
      </c>
      <c r="FG112" t="e">
        <v>#VALUE!</v>
      </c>
      <c r="FH112" t="e">
        <v>#VALUE!</v>
      </c>
      <c r="FI112" t="e">
        <v>#VALUE!</v>
      </c>
      <c r="FJ112" t="e">
        <v>#VALUE!</v>
      </c>
      <c r="FK112" t="e">
        <v>#VALUE!</v>
      </c>
      <c r="FL112" t="e">
        <v>#VALUE!</v>
      </c>
      <c r="FM112">
        <v>0</v>
      </c>
      <c r="FN112" t="e">
        <v>#VALUE!</v>
      </c>
      <c r="FO112" t="e">
        <v>#VALUE!</v>
      </c>
      <c r="FP112" t="e">
        <v>#VALUE!</v>
      </c>
      <c r="FQ112" t="e">
        <v>#VALUE!</v>
      </c>
      <c r="FR112" t="e">
        <v>#VALUE!</v>
      </c>
      <c r="FS112" t="e">
        <v>#VALUE!</v>
      </c>
      <c r="FT112" t="e">
        <v>#VALUE!</v>
      </c>
      <c r="FU112" t="e">
        <v>#VALUE!</v>
      </c>
      <c r="FV112" t="e">
        <v>#VALUE!</v>
      </c>
      <c r="FW112" t="e">
        <v>#VALUE!</v>
      </c>
      <c r="FX112" t="e">
        <v>#VALUE!</v>
      </c>
      <c r="FY112" t="e">
        <v>#VALUE!</v>
      </c>
      <c r="FZ112" t="e">
        <v>#VALUE!</v>
      </c>
      <c r="GA112" t="e">
        <v>#VALUE!</v>
      </c>
      <c r="GB112" t="e">
        <v>#VALUE!</v>
      </c>
      <c r="GC112" t="e">
        <v>#VALUE!</v>
      </c>
      <c r="GD112" t="e">
        <v>#VALUE!</v>
      </c>
      <c r="GE112" t="e">
        <v>#VALUE!</v>
      </c>
      <c r="GF112">
        <v>0</v>
      </c>
      <c r="GG112" t="e">
        <v>#VALUE!</v>
      </c>
      <c r="GH112" t="e">
        <v>#VALUE!</v>
      </c>
      <c r="GI112" t="e">
        <v>#VALUE!</v>
      </c>
      <c r="GJ112" t="e">
        <v>#VALUE!</v>
      </c>
      <c r="GK112" t="e">
        <v>#VALUE!</v>
      </c>
      <c r="GL112" t="e">
        <v>#VALUE!</v>
      </c>
      <c r="GM112" t="e">
        <v>#VALUE!</v>
      </c>
      <c r="GN112" t="e">
        <v>#VALUE!</v>
      </c>
      <c r="GO112" t="e">
        <v>#VALUE!</v>
      </c>
      <c r="GP112" t="e">
        <v>#VALUE!</v>
      </c>
      <c r="GQ112" t="e">
        <v>#VALUE!</v>
      </c>
      <c r="GR112" t="e">
        <v>#VALUE!</v>
      </c>
      <c r="GS112" t="e">
        <v>#VALUE!</v>
      </c>
      <c r="GT112" t="e">
        <v>#VALUE!</v>
      </c>
      <c r="GU112" t="e">
        <v>#VALUE!</v>
      </c>
      <c r="GV112" t="e">
        <v>#VALUE!</v>
      </c>
      <c r="GW112" t="e">
        <v>#VALUE!</v>
      </c>
      <c r="GX112" t="e">
        <v>#VALUE!</v>
      </c>
      <c r="GY112">
        <v>0</v>
      </c>
      <c r="GZ112" t="e">
        <v>#VALUE!</v>
      </c>
      <c r="HA112" t="e">
        <v>#VALUE!</v>
      </c>
      <c r="HB112" t="e">
        <v>#VALUE!</v>
      </c>
      <c r="HC112" t="e">
        <v>#VALUE!</v>
      </c>
      <c r="HD112" t="e">
        <v>#VALUE!</v>
      </c>
      <c r="HE112" t="e">
        <v>#VALUE!</v>
      </c>
      <c r="HF112" t="e">
        <v>#VALUE!</v>
      </c>
      <c r="HG112" t="e">
        <v>#VALUE!</v>
      </c>
      <c r="HH112" t="e">
        <v>#VALUE!</v>
      </c>
      <c r="HI112" t="e">
        <v>#VALUE!</v>
      </c>
      <c r="HJ112" t="e">
        <v>#VALUE!</v>
      </c>
      <c r="HK112" t="e">
        <v>#VALUE!</v>
      </c>
      <c r="HL112" t="e">
        <v>#VALUE!</v>
      </c>
      <c r="HM112" t="e">
        <v>#VALUE!</v>
      </c>
      <c r="HN112" t="e">
        <v>#VALUE!</v>
      </c>
      <c r="HO112" t="e">
        <v>#VALUE!</v>
      </c>
      <c r="HP112" t="e">
        <v>#VALUE!</v>
      </c>
      <c r="HQ112" t="e">
        <v>#VALUE!</v>
      </c>
      <c r="HR112">
        <v>0</v>
      </c>
      <c r="HS112" t="e">
        <v>#VALUE!</v>
      </c>
      <c r="HT112" t="e">
        <v>#VALUE!</v>
      </c>
      <c r="HU112" t="e">
        <v>#VALUE!</v>
      </c>
      <c r="HV112" t="e">
        <v>#VALUE!</v>
      </c>
      <c r="HW112" t="e">
        <v>#VALUE!</v>
      </c>
      <c r="HX112" t="e">
        <v>#VALUE!</v>
      </c>
      <c r="HY112" t="e">
        <v>#VALUE!</v>
      </c>
      <c r="HZ112" t="e">
        <v>#VALUE!</v>
      </c>
      <c r="IA112" t="e">
        <v>#VALUE!</v>
      </c>
      <c r="IB112" t="e">
        <v>#VALUE!</v>
      </c>
      <c r="IC112" t="e">
        <v>#VALUE!</v>
      </c>
      <c r="ID112" t="e">
        <v>#VALUE!</v>
      </c>
      <c r="IE112" t="e">
        <v>#VALUE!</v>
      </c>
      <c r="IF112" t="e">
        <v>#VALUE!</v>
      </c>
      <c r="IG112" t="e">
        <v>#VALUE!</v>
      </c>
      <c r="IH112" t="e">
        <v>#VALUE!</v>
      </c>
      <c r="II112" t="e">
        <v>#VALUE!</v>
      </c>
      <c r="IJ112" t="e">
        <v>#VALUE!</v>
      </c>
      <c r="IK112">
        <v>0</v>
      </c>
      <c r="IL112" t="e">
        <v>#VALUE!</v>
      </c>
      <c r="IM112" t="e">
        <v>#VALUE!</v>
      </c>
      <c r="IN112" t="e">
        <v>#VALUE!</v>
      </c>
      <c r="IO112" t="e">
        <v>#VALUE!</v>
      </c>
      <c r="IP112" t="e">
        <v>#VALUE!</v>
      </c>
      <c r="IQ112" t="e">
        <v>#VALUE!</v>
      </c>
      <c r="IR112" t="e">
        <v>#VALUE!</v>
      </c>
      <c r="IS112" t="e">
        <v>#VALUE!</v>
      </c>
      <c r="IT112" t="e">
        <v>#VALUE!</v>
      </c>
      <c r="IU112" t="e">
        <v>#VALUE!</v>
      </c>
      <c r="IV112" t="e">
        <v>#VALUE!</v>
      </c>
    </row>
    <row r="113" spans="1:256" x14ac:dyDescent="0.25">
      <c r="A113" t="e">
        <v>#VALUE!</v>
      </c>
      <c r="B113" t="e">
        <v>#VALUE!</v>
      </c>
      <c r="C113" t="e">
        <v>#VALUE!</v>
      </c>
      <c r="D113" t="e">
        <v>#VALUE!</v>
      </c>
      <c r="E113" t="e">
        <v>#VALUE!</v>
      </c>
      <c r="F113" t="e">
        <v>#VALUE!</v>
      </c>
      <c r="G113" t="e">
        <v>#VALUE!</v>
      </c>
      <c r="H113">
        <v>0</v>
      </c>
      <c r="I113" t="e">
        <v>#VALUE!</v>
      </c>
      <c r="J113" t="e">
        <v>#VALUE!</v>
      </c>
      <c r="K113" t="e">
        <v>#VALUE!</v>
      </c>
      <c r="L113" t="e">
        <v>#VALUE!</v>
      </c>
      <c r="M113" t="e">
        <v>#VALUE!</v>
      </c>
      <c r="N113" t="e">
        <v>#VALUE!</v>
      </c>
      <c r="O113" t="e">
        <v>#VALUE!</v>
      </c>
      <c r="P113" t="e">
        <v>#VALUE!</v>
      </c>
      <c r="Q113" t="e">
        <v>#VALUE!</v>
      </c>
      <c r="R113" t="e">
        <v>#VALUE!</v>
      </c>
      <c r="S113" t="e">
        <v>#VALUE!</v>
      </c>
      <c r="T113" t="e">
        <v>#VALUE!</v>
      </c>
      <c r="U113" t="e">
        <v>#VALUE!</v>
      </c>
      <c r="V113" t="e">
        <v>#VALUE!</v>
      </c>
      <c r="W113" t="e">
        <v>#VALUE!</v>
      </c>
      <c r="X113" t="e">
        <v>#VALUE!</v>
      </c>
      <c r="Y113" t="e">
        <v>#VALUE!</v>
      </c>
      <c r="Z113" t="e">
        <v>#VALUE!</v>
      </c>
      <c r="AA113">
        <v>0</v>
      </c>
      <c r="AB113" t="e">
        <v>#VALUE!</v>
      </c>
      <c r="AC113" t="e">
        <v>#VALUE!</v>
      </c>
      <c r="AD113" t="e">
        <v>#VALUE!</v>
      </c>
      <c r="AE113" t="e">
        <v>#VALUE!</v>
      </c>
      <c r="AF113" t="e">
        <v>#VALUE!</v>
      </c>
      <c r="AG113" t="e">
        <v>#VALUE!</v>
      </c>
      <c r="AH113" t="e">
        <v>#VALUE!</v>
      </c>
      <c r="AI113" t="e">
        <v>#VALUE!</v>
      </c>
      <c r="AJ113" t="e">
        <v>#VALUE!</v>
      </c>
      <c r="AK113" t="e">
        <v>#VALUE!</v>
      </c>
      <c r="AL113" t="e">
        <v>#VALUE!</v>
      </c>
      <c r="AM113" t="e">
        <v>#VALUE!</v>
      </c>
      <c r="AN113" t="e">
        <v>#VALUE!</v>
      </c>
      <c r="AO113" t="e">
        <v>#VALUE!</v>
      </c>
      <c r="AP113" t="e">
        <v>#VALUE!</v>
      </c>
      <c r="AQ113" t="e">
        <v>#VALUE!</v>
      </c>
      <c r="AR113" t="e">
        <v>#VALUE!</v>
      </c>
      <c r="AS113" t="e">
        <v>#VALUE!</v>
      </c>
      <c r="AT113">
        <v>0</v>
      </c>
      <c r="AU113" t="e">
        <v>#VALUE!</v>
      </c>
      <c r="AV113" t="e">
        <v>#VALUE!</v>
      </c>
      <c r="AW113" t="e">
        <v>#VALUE!</v>
      </c>
      <c r="AX113" t="e">
        <v>#VALUE!</v>
      </c>
      <c r="AY113" t="e">
        <v>#VALUE!</v>
      </c>
      <c r="AZ113" t="e">
        <v>#VALUE!</v>
      </c>
      <c r="BA113" t="e">
        <v>#VALUE!</v>
      </c>
      <c r="BB113" t="e">
        <v>#VALUE!</v>
      </c>
      <c r="BC113" t="e">
        <v>#VALUE!</v>
      </c>
      <c r="BD113" t="e">
        <v>#VALUE!</v>
      </c>
      <c r="BE113" t="e">
        <v>#VALUE!</v>
      </c>
      <c r="BF113" t="e">
        <v>#VALUE!</v>
      </c>
      <c r="BG113" t="e">
        <v>#VALUE!</v>
      </c>
      <c r="BH113" t="e">
        <v>#VALUE!</v>
      </c>
      <c r="BI113" t="e">
        <v>#VALUE!</v>
      </c>
      <c r="BJ113" t="e">
        <v>#VALUE!</v>
      </c>
      <c r="BK113" t="e">
        <v>#VALUE!</v>
      </c>
      <c r="BL113" t="e">
        <v>#VALUE!</v>
      </c>
      <c r="BM113">
        <v>0</v>
      </c>
      <c r="BN113" t="e">
        <v>#VALUE!</v>
      </c>
      <c r="BO113" t="e">
        <v>#VALUE!</v>
      </c>
      <c r="BP113" t="e">
        <v>#VALUE!</v>
      </c>
      <c r="BQ113" t="e">
        <v>#VALUE!</v>
      </c>
      <c r="BR113" t="e">
        <v>#VALUE!</v>
      </c>
      <c r="BS113" t="e">
        <v>#VALUE!</v>
      </c>
      <c r="BT113" t="e">
        <v>#VALUE!</v>
      </c>
      <c r="BU113" t="e">
        <v>#VALUE!</v>
      </c>
      <c r="BV113" t="e">
        <v>#VALUE!</v>
      </c>
      <c r="BW113" t="e">
        <v>#VALUE!</v>
      </c>
      <c r="BX113" t="e">
        <v>#VALUE!</v>
      </c>
      <c r="BY113" t="e">
        <v>#VALUE!</v>
      </c>
      <c r="BZ113" t="e">
        <v>#VALUE!</v>
      </c>
      <c r="CA113" t="e">
        <v>#VALUE!</v>
      </c>
      <c r="CB113" t="e">
        <v>#VALUE!</v>
      </c>
      <c r="CC113" t="e">
        <v>#VALUE!</v>
      </c>
      <c r="CD113" t="e">
        <v>#VALUE!</v>
      </c>
      <c r="CE113" t="e">
        <v>#VALUE!</v>
      </c>
      <c r="CF113">
        <v>0</v>
      </c>
      <c r="CG113" t="e">
        <v>#VALUE!</v>
      </c>
      <c r="CH113" t="e">
        <v>#VALUE!</v>
      </c>
      <c r="CI113" t="e">
        <v>#VALUE!</v>
      </c>
      <c r="CJ113" t="e">
        <v>#VALUE!</v>
      </c>
      <c r="CK113" t="e">
        <v>#VALUE!</v>
      </c>
      <c r="CL113" t="e">
        <v>#VALUE!</v>
      </c>
      <c r="CM113" t="e">
        <v>#VALUE!</v>
      </c>
      <c r="CN113" t="e">
        <v>#VALUE!</v>
      </c>
      <c r="CO113" t="e">
        <v>#VALUE!</v>
      </c>
      <c r="CP113" t="e">
        <v>#VALUE!</v>
      </c>
      <c r="CQ113" t="e">
        <v>#VALUE!</v>
      </c>
      <c r="CR113" t="e">
        <v>#VALUE!</v>
      </c>
      <c r="CS113" t="e">
        <v>#VALUE!</v>
      </c>
      <c r="CT113" t="e">
        <v>#VALUE!</v>
      </c>
      <c r="CU113" t="e">
        <v>#VALUE!</v>
      </c>
      <c r="CV113" t="e">
        <v>#VALUE!</v>
      </c>
      <c r="CW113" t="e">
        <v>#VALUE!</v>
      </c>
      <c r="CX113" t="e">
        <v>#VALUE!</v>
      </c>
      <c r="CY113">
        <v>0</v>
      </c>
      <c r="CZ113" t="e">
        <v>#VALUE!</v>
      </c>
      <c r="DA113" t="e">
        <v>#VALUE!</v>
      </c>
      <c r="DB113" t="e">
        <v>#VALUE!</v>
      </c>
      <c r="DC113" t="e">
        <v>#VALUE!</v>
      </c>
      <c r="DD113" t="e">
        <v>#VALUE!</v>
      </c>
      <c r="DE113" t="e">
        <v>#VALUE!</v>
      </c>
      <c r="DF113" t="e">
        <v>#VALUE!</v>
      </c>
      <c r="DG113" t="e">
        <v>#VALUE!</v>
      </c>
      <c r="DH113" t="e">
        <v>#VALUE!</v>
      </c>
      <c r="DI113" t="e">
        <v>#VALUE!</v>
      </c>
      <c r="DJ113" t="e">
        <v>#VALUE!</v>
      </c>
      <c r="DK113" t="e">
        <v>#VALUE!</v>
      </c>
      <c r="DL113" t="e">
        <v>#VALUE!</v>
      </c>
      <c r="DM113" t="e">
        <v>#VALUE!</v>
      </c>
      <c r="DN113" t="e">
        <v>#VALUE!</v>
      </c>
      <c r="DO113" t="e">
        <v>#VALUE!</v>
      </c>
      <c r="DP113" t="e">
        <v>#VALUE!</v>
      </c>
      <c r="DQ113" t="e">
        <v>#VALUE!</v>
      </c>
      <c r="DR113">
        <v>0</v>
      </c>
      <c r="DS113" t="e">
        <v>#VALUE!</v>
      </c>
      <c r="DT113" t="e">
        <v>#VALUE!</v>
      </c>
      <c r="DU113" t="e">
        <v>#VALUE!</v>
      </c>
      <c r="DV113" t="e">
        <v>#VALUE!</v>
      </c>
      <c r="DW113" t="e">
        <v>#VALUE!</v>
      </c>
      <c r="DX113" t="e">
        <v>#VALUE!</v>
      </c>
      <c r="DY113" t="e">
        <v>#VALUE!</v>
      </c>
      <c r="DZ113" t="e">
        <v>#VALUE!</v>
      </c>
      <c r="EA113" t="e">
        <v>#VALUE!</v>
      </c>
      <c r="EB113" t="e">
        <v>#VALUE!</v>
      </c>
      <c r="EC113" t="e">
        <v>#VALUE!</v>
      </c>
      <c r="ED113" t="e">
        <v>#VALUE!</v>
      </c>
      <c r="EE113" t="e">
        <v>#VALUE!</v>
      </c>
      <c r="EF113" t="e">
        <v>#VALUE!</v>
      </c>
      <c r="EG113" t="e">
        <v>#VALUE!</v>
      </c>
      <c r="EH113" t="e">
        <v>#VALUE!</v>
      </c>
      <c r="EI113" t="e">
        <v>#VALUE!</v>
      </c>
      <c r="EJ113" t="e">
        <v>#VALUE!</v>
      </c>
      <c r="EK113">
        <v>0</v>
      </c>
      <c r="EL113" t="e">
        <v>#VALUE!</v>
      </c>
      <c r="EM113" t="e">
        <v>#VALUE!</v>
      </c>
      <c r="EN113" t="e">
        <v>#VALUE!</v>
      </c>
      <c r="EO113" t="e">
        <v>#VALUE!</v>
      </c>
      <c r="EP113" t="e">
        <v>#VALUE!</v>
      </c>
      <c r="EQ113" t="e">
        <v>#VALUE!</v>
      </c>
      <c r="ER113" t="e">
        <v>#VALUE!</v>
      </c>
      <c r="ES113" t="e">
        <v>#VALUE!</v>
      </c>
      <c r="ET113" t="e">
        <v>#VALUE!</v>
      </c>
      <c r="EU113" t="e">
        <v>#VALUE!</v>
      </c>
      <c r="EV113" t="e">
        <v>#VALUE!</v>
      </c>
      <c r="EW113" t="e">
        <v>#VALUE!</v>
      </c>
      <c r="EX113" t="e">
        <v>#VALUE!</v>
      </c>
      <c r="EY113" t="e">
        <v>#VALUE!</v>
      </c>
      <c r="EZ113" t="e">
        <v>#VALUE!</v>
      </c>
      <c r="FA113" t="e">
        <v>#VALUE!</v>
      </c>
      <c r="FB113" t="e">
        <v>#VALUE!</v>
      </c>
      <c r="FC113" t="e">
        <v>#VALUE!</v>
      </c>
      <c r="FD113">
        <v>0</v>
      </c>
      <c r="FE113" t="e">
        <v>#VALUE!</v>
      </c>
      <c r="FF113" t="e">
        <v>#VALUE!</v>
      </c>
      <c r="FG113" t="e">
        <v>#VALUE!</v>
      </c>
      <c r="FH113" t="e">
        <v>#VALUE!</v>
      </c>
      <c r="FI113" t="e">
        <v>#VALUE!</v>
      </c>
      <c r="FJ113" t="e">
        <v>#VALUE!</v>
      </c>
      <c r="FK113" t="e">
        <v>#VALUE!</v>
      </c>
      <c r="FL113" t="e">
        <v>#VALUE!</v>
      </c>
      <c r="FM113" t="e">
        <v>#VALUE!</v>
      </c>
      <c r="FN113" t="e">
        <v>#VALUE!</v>
      </c>
      <c r="FO113" t="e">
        <v>#VALUE!</v>
      </c>
      <c r="FP113" t="e">
        <v>#VALUE!</v>
      </c>
      <c r="FQ113" t="e">
        <v>#VALUE!</v>
      </c>
      <c r="FR113" t="e">
        <v>#VALUE!</v>
      </c>
      <c r="FS113" t="e">
        <v>#VALUE!</v>
      </c>
      <c r="FT113" t="e">
        <v>#VALUE!</v>
      </c>
      <c r="FU113" t="e">
        <v>#VALUE!</v>
      </c>
      <c r="FV113" t="e">
        <v>#VALUE!</v>
      </c>
      <c r="FW113">
        <v>0</v>
      </c>
      <c r="FX113" t="e">
        <v>#VALUE!</v>
      </c>
      <c r="FY113" t="e">
        <v>#VALUE!</v>
      </c>
      <c r="FZ113" t="e">
        <v>#VALUE!</v>
      </c>
      <c r="GA113" t="e">
        <v>#VALUE!</v>
      </c>
      <c r="GB113" t="e">
        <v>#VALUE!</v>
      </c>
      <c r="GC113" t="e">
        <v>#VALUE!</v>
      </c>
      <c r="GD113" t="e">
        <v>#VALUE!</v>
      </c>
      <c r="GE113" t="e">
        <v>#VALUE!</v>
      </c>
      <c r="GF113" t="e">
        <v>#VALUE!</v>
      </c>
      <c r="GG113" t="e">
        <v>#VALUE!</v>
      </c>
      <c r="GH113" t="e">
        <v>#VALUE!</v>
      </c>
      <c r="GI113" t="e">
        <v>#VALUE!</v>
      </c>
      <c r="GJ113" t="e">
        <v>#VALUE!</v>
      </c>
      <c r="GK113" t="e">
        <v>#VALUE!</v>
      </c>
      <c r="GL113" t="e">
        <v>#VALUE!</v>
      </c>
      <c r="GM113" t="e">
        <v>#VALUE!</v>
      </c>
      <c r="GN113" t="e">
        <v>#VALUE!</v>
      </c>
      <c r="GO113" t="e">
        <v>#VALUE!</v>
      </c>
      <c r="GP113">
        <v>0</v>
      </c>
      <c r="GQ113" t="e">
        <v>#VALUE!</v>
      </c>
      <c r="GR113" t="e">
        <v>#VALUE!</v>
      </c>
      <c r="GS113" t="e">
        <v>#VALUE!</v>
      </c>
      <c r="GT113" t="e">
        <v>#VALUE!</v>
      </c>
      <c r="GU113" t="e">
        <v>#VALUE!</v>
      </c>
      <c r="GV113" t="e">
        <v>#VALUE!</v>
      </c>
      <c r="GW113" t="e">
        <v>#VALUE!</v>
      </c>
      <c r="GX113" t="e">
        <v>#VALUE!</v>
      </c>
      <c r="GY113" t="e">
        <v>#VALUE!</v>
      </c>
      <c r="GZ113" t="e">
        <v>#VALUE!</v>
      </c>
      <c r="HA113" t="e">
        <v>#VALUE!</v>
      </c>
      <c r="HB113" t="e">
        <v>#VALUE!</v>
      </c>
      <c r="HC113" t="e">
        <v>#VALUE!</v>
      </c>
      <c r="HD113" t="e">
        <v>#VALUE!</v>
      </c>
      <c r="HE113" t="e">
        <v>#VALUE!</v>
      </c>
      <c r="HF113" t="e">
        <v>#VALUE!</v>
      </c>
      <c r="HG113" t="e">
        <v>#VALUE!</v>
      </c>
      <c r="HH113" t="e">
        <v>#VALUE!</v>
      </c>
      <c r="HI113">
        <v>0</v>
      </c>
      <c r="HJ113" t="e">
        <v>#VALUE!</v>
      </c>
      <c r="HK113" t="e">
        <v>#VALUE!</v>
      </c>
      <c r="HL113" t="e">
        <v>#VALUE!</v>
      </c>
      <c r="HM113" t="e">
        <v>#VALUE!</v>
      </c>
      <c r="HN113" t="e">
        <v>#VALUE!</v>
      </c>
      <c r="HO113" t="e">
        <v>#VALUE!</v>
      </c>
      <c r="HP113" t="e">
        <v>#VALUE!</v>
      </c>
      <c r="HQ113" t="e">
        <v>#VALUE!</v>
      </c>
      <c r="HR113" t="e">
        <v>#VALUE!</v>
      </c>
      <c r="HS113" t="e">
        <v>#VALUE!</v>
      </c>
      <c r="HT113" t="e">
        <v>#VALUE!</v>
      </c>
      <c r="HU113" t="e">
        <v>#VALUE!</v>
      </c>
      <c r="HV113" t="e">
        <v>#VALUE!</v>
      </c>
      <c r="HW113" t="e">
        <v>#VALUE!</v>
      </c>
      <c r="HX113" t="e">
        <v>#VALUE!</v>
      </c>
      <c r="HY113" t="e">
        <v>#VALUE!</v>
      </c>
      <c r="HZ113" t="e">
        <v>#VALUE!</v>
      </c>
      <c r="IA113" t="e">
        <v>#VALUE!</v>
      </c>
      <c r="IB113">
        <v>0</v>
      </c>
      <c r="IC113" t="e">
        <v>#VALUE!</v>
      </c>
      <c r="ID113" t="e">
        <v>#VALUE!</v>
      </c>
      <c r="IE113" t="e">
        <v>#VALUE!</v>
      </c>
      <c r="IF113" t="e">
        <v>#VALUE!</v>
      </c>
      <c r="IG113" t="e">
        <v>#VALUE!</v>
      </c>
      <c r="IH113" t="e">
        <v>#VALUE!</v>
      </c>
      <c r="II113" t="e">
        <v>#VALUE!</v>
      </c>
      <c r="IJ113" t="e">
        <v>#VALUE!</v>
      </c>
      <c r="IK113" t="e">
        <v>#VALUE!</v>
      </c>
      <c r="IL113" t="e">
        <v>#VALUE!</v>
      </c>
      <c r="IM113" t="e">
        <v>#VALUE!</v>
      </c>
      <c r="IN113" t="e">
        <v>#VALUE!</v>
      </c>
      <c r="IO113" t="e">
        <v>#VALUE!</v>
      </c>
      <c r="IP113" t="e">
        <v>#VALUE!</v>
      </c>
      <c r="IQ113" t="e">
        <v>#VALUE!</v>
      </c>
      <c r="IR113" t="e">
        <v>#VALUE!</v>
      </c>
      <c r="IS113" t="e">
        <v>#VALUE!</v>
      </c>
      <c r="IT113" t="e">
        <v>#VALUE!</v>
      </c>
      <c r="IU113">
        <v>0</v>
      </c>
      <c r="IV113" t="e">
        <v>#VALUE!</v>
      </c>
    </row>
    <row r="114" spans="1:256" x14ac:dyDescent="0.25">
      <c r="A114" t="e">
        <v>#VALUE!</v>
      </c>
      <c r="B114" t="e">
        <v>#VALUE!</v>
      </c>
      <c r="C114" t="e">
        <v>#VALUE!</v>
      </c>
      <c r="D114" t="e">
        <v>#VALUE!</v>
      </c>
      <c r="E114" t="e">
        <v>#VALUE!</v>
      </c>
      <c r="F114" t="e">
        <v>#VALUE!</v>
      </c>
      <c r="G114" t="e">
        <v>#VALUE!</v>
      </c>
      <c r="H114" t="e">
        <v>#VALUE!</v>
      </c>
      <c r="I114" t="e">
        <v>#VALUE!</v>
      </c>
      <c r="J114" t="e">
        <v>#VALUE!</v>
      </c>
      <c r="K114" t="e">
        <v>#VALUE!</v>
      </c>
      <c r="L114" t="e">
        <v>#VALUE!</v>
      </c>
      <c r="M114" t="e">
        <v>#VALUE!</v>
      </c>
      <c r="N114" t="e">
        <v>#VALUE!</v>
      </c>
      <c r="O114" t="e">
        <v>#VALUE!</v>
      </c>
      <c r="P114" t="e">
        <v>#VALUE!</v>
      </c>
      <c r="Q114" t="e">
        <v>#VALUE!</v>
      </c>
      <c r="R114">
        <v>0</v>
      </c>
      <c r="S114" t="e">
        <v>#VALUE!</v>
      </c>
      <c r="T114" t="e">
        <v>#VALUE!</v>
      </c>
      <c r="U114" t="e">
        <v>#VALUE!</v>
      </c>
      <c r="V114" t="e">
        <v>#VALUE!</v>
      </c>
      <c r="W114" t="e">
        <v>#VALUE!</v>
      </c>
      <c r="X114" t="e">
        <v>#VALUE!</v>
      </c>
      <c r="Y114" t="e">
        <v>#VALUE!</v>
      </c>
      <c r="Z114" t="e">
        <v>#VALUE!</v>
      </c>
      <c r="AA114" t="e">
        <v>#VALUE!</v>
      </c>
      <c r="AB114" t="e">
        <v>#VALUE!</v>
      </c>
      <c r="AC114" t="e">
        <v>#VALUE!</v>
      </c>
      <c r="AD114" t="e">
        <v>#VALUE!</v>
      </c>
      <c r="AE114" t="e">
        <v>#VALUE!</v>
      </c>
      <c r="AF114" t="e">
        <v>#VALUE!</v>
      </c>
      <c r="AG114" t="e">
        <v>#VALUE!</v>
      </c>
      <c r="AH114" t="e">
        <v>#VALUE!</v>
      </c>
      <c r="AI114" t="e">
        <v>#VALUE!</v>
      </c>
      <c r="AJ114" t="e">
        <v>#VALUE!</v>
      </c>
      <c r="AK114">
        <v>0</v>
      </c>
      <c r="AL114" t="e">
        <v>#VALUE!</v>
      </c>
      <c r="AM114" t="e">
        <v>#VALUE!</v>
      </c>
      <c r="AN114" t="e">
        <v>#VALUE!</v>
      </c>
      <c r="AO114" t="e">
        <v>#VALUE!</v>
      </c>
      <c r="AP114" t="e">
        <v>#VALUE!</v>
      </c>
      <c r="AQ114" t="e">
        <v>#VALUE!</v>
      </c>
      <c r="AR114" t="e">
        <v>#VALUE!</v>
      </c>
      <c r="AS114" t="e">
        <v>#VALUE!</v>
      </c>
      <c r="AT114" t="e">
        <v>#VALUE!</v>
      </c>
      <c r="AU114" t="e">
        <v>#VALUE!</v>
      </c>
      <c r="AV114" t="e">
        <v>#VALUE!</v>
      </c>
      <c r="AW114" t="e">
        <v>#VALUE!</v>
      </c>
      <c r="AX114" t="e">
        <v>#VALUE!</v>
      </c>
      <c r="AY114" t="e">
        <v>#VALUE!</v>
      </c>
      <c r="AZ114" t="e">
        <v>#VALUE!</v>
      </c>
      <c r="BA114" t="e">
        <v>#VALUE!</v>
      </c>
      <c r="BB114" t="e">
        <v>#VALUE!</v>
      </c>
      <c r="BC114" t="e">
        <v>#VALUE!</v>
      </c>
      <c r="BD114">
        <v>0</v>
      </c>
      <c r="BE114" t="e">
        <v>#VALUE!</v>
      </c>
      <c r="BF114" t="e">
        <v>#VALUE!</v>
      </c>
      <c r="BG114" t="e">
        <v>#VALUE!</v>
      </c>
      <c r="BH114" t="e">
        <v>#VALUE!</v>
      </c>
      <c r="BI114" t="e">
        <v>#VALUE!</v>
      </c>
      <c r="BJ114" t="e">
        <v>#VALUE!</v>
      </c>
      <c r="BK114" t="e">
        <v>#VALUE!</v>
      </c>
      <c r="BL114" t="e">
        <v>#VALUE!</v>
      </c>
      <c r="BM114" t="e">
        <v>#VALUE!</v>
      </c>
      <c r="BN114" t="e">
        <v>#VALUE!</v>
      </c>
      <c r="BO114" t="e">
        <v>#VALUE!</v>
      </c>
      <c r="BP114" t="e">
        <v>#VALUE!</v>
      </c>
      <c r="BQ114" t="e">
        <v>#VALUE!</v>
      </c>
      <c r="BR114" t="e">
        <v>#VALUE!</v>
      </c>
      <c r="BS114" t="e">
        <v>#VALUE!</v>
      </c>
      <c r="BT114" t="e">
        <v>#VALUE!</v>
      </c>
      <c r="BU114" t="e">
        <v>#VALUE!</v>
      </c>
      <c r="BV114" t="e">
        <v>#VALUE!</v>
      </c>
      <c r="BW114">
        <v>0</v>
      </c>
      <c r="BX114" t="e">
        <v>#VALUE!</v>
      </c>
      <c r="BY114" t="e">
        <v>#VALUE!</v>
      </c>
      <c r="BZ114" t="e">
        <v>#VALUE!</v>
      </c>
      <c r="CA114" t="e">
        <v>#VALUE!</v>
      </c>
      <c r="CB114" t="e">
        <v>#VALUE!</v>
      </c>
      <c r="CC114" t="e">
        <v>#VALUE!</v>
      </c>
      <c r="CD114" t="e">
        <v>#VALUE!</v>
      </c>
      <c r="CE114" t="e">
        <v>#VALUE!</v>
      </c>
      <c r="CF114" t="e">
        <v>#VALUE!</v>
      </c>
      <c r="CG114" t="e">
        <v>#VALUE!</v>
      </c>
      <c r="CH114" t="e">
        <v>#VALUE!</v>
      </c>
      <c r="CI114" t="e">
        <v>#VALUE!</v>
      </c>
      <c r="CJ114" t="e">
        <v>#VALUE!</v>
      </c>
      <c r="CK114" t="e">
        <v>#VALUE!</v>
      </c>
      <c r="CL114" t="e">
        <v>#VALUE!</v>
      </c>
      <c r="CM114" t="e">
        <v>#VALUE!</v>
      </c>
      <c r="CN114" t="e">
        <v>#VALUE!</v>
      </c>
      <c r="CO114" t="e">
        <v>#VALUE!</v>
      </c>
      <c r="CP114">
        <v>0</v>
      </c>
      <c r="CQ114" t="e">
        <v>#VALUE!</v>
      </c>
      <c r="CR114" t="e">
        <v>#VALUE!</v>
      </c>
      <c r="CS114" t="e">
        <v>#VALUE!</v>
      </c>
      <c r="CT114" t="e">
        <v>#VALUE!</v>
      </c>
      <c r="CU114" t="e">
        <v>#VALUE!</v>
      </c>
      <c r="CV114" t="e">
        <v>#VALUE!</v>
      </c>
      <c r="CW114" t="e">
        <v>#VALUE!</v>
      </c>
      <c r="CX114" t="e">
        <v>#VALUE!</v>
      </c>
      <c r="CY114" t="e">
        <v>#VALUE!</v>
      </c>
      <c r="CZ114" t="e">
        <v>#VALUE!</v>
      </c>
      <c r="DA114" t="e">
        <v>#VALUE!</v>
      </c>
      <c r="DB114" t="e">
        <v>#VALUE!</v>
      </c>
      <c r="DC114" t="e">
        <v>#VALUE!</v>
      </c>
      <c r="DD114" t="e">
        <v>#VALUE!</v>
      </c>
      <c r="DE114" t="e">
        <v>#VALUE!</v>
      </c>
      <c r="DF114" t="e">
        <v>#VALUE!</v>
      </c>
      <c r="DG114" t="e">
        <v>#VALUE!</v>
      </c>
      <c r="DH114" t="e">
        <v>#VALUE!</v>
      </c>
      <c r="DI114">
        <v>0</v>
      </c>
      <c r="DJ114" t="e">
        <v>#VALUE!</v>
      </c>
      <c r="DK114" t="e">
        <v>#VALUE!</v>
      </c>
      <c r="DL114" t="e">
        <v>#VALUE!</v>
      </c>
      <c r="DM114" t="e">
        <v>#VALUE!</v>
      </c>
      <c r="DN114" t="e">
        <v>#VALUE!</v>
      </c>
      <c r="DO114" t="e">
        <v>#VALUE!</v>
      </c>
      <c r="DP114" t="e">
        <v>#VALUE!</v>
      </c>
      <c r="DQ114" t="e">
        <v>#VALUE!</v>
      </c>
      <c r="DR114" t="e">
        <v>#VALUE!</v>
      </c>
      <c r="DS114" t="e">
        <v>#VALUE!</v>
      </c>
      <c r="DT114" t="e">
        <v>#VALUE!</v>
      </c>
      <c r="DU114" t="e">
        <v>#VALUE!</v>
      </c>
      <c r="DV114" t="e">
        <v>#VALUE!</v>
      </c>
      <c r="DW114" t="e">
        <v>#VALUE!</v>
      </c>
      <c r="DX114" t="e">
        <v>#VALUE!</v>
      </c>
      <c r="DY114" t="e">
        <v>#VALUE!</v>
      </c>
      <c r="DZ114" t="e">
        <v>#VALUE!</v>
      </c>
      <c r="EA114" t="e">
        <v>#VALUE!</v>
      </c>
      <c r="EB114">
        <v>0</v>
      </c>
      <c r="EC114" t="e">
        <v>#VALUE!</v>
      </c>
      <c r="ED114" t="e">
        <v>#VALUE!</v>
      </c>
      <c r="EE114" t="e">
        <v>#VALUE!</v>
      </c>
      <c r="EF114" t="e">
        <v>#VALUE!</v>
      </c>
      <c r="EG114" t="e">
        <v>#VALUE!</v>
      </c>
      <c r="EH114" t="e">
        <v>#VALUE!</v>
      </c>
      <c r="EI114" t="e">
        <v>#VALUE!</v>
      </c>
      <c r="EJ114" t="e">
        <v>#VALUE!</v>
      </c>
      <c r="EK114" t="e">
        <v>#VALUE!</v>
      </c>
      <c r="EL114" t="e">
        <v>#VALUE!</v>
      </c>
      <c r="EM114" t="e">
        <v>#VALUE!</v>
      </c>
      <c r="EN114" t="e">
        <v>#VALUE!</v>
      </c>
      <c r="EO114" t="e">
        <v>#VALUE!</v>
      </c>
      <c r="EP114" t="e">
        <v>#VALUE!</v>
      </c>
      <c r="EQ114" t="e">
        <v>#VALUE!</v>
      </c>
      <c r="ER114" t="e">
        <v>#VALUE!</v>
      </c>
      <c r="ES114" t="e">
        <v>#VALUE!</v>
      </c>
      <c r="ET114" t="e">
        <v>#VALUE!</v>
      </c>
      <c r="EU114">
        <v>0</v>
      </c>
      <c r="EV114" t="e">
        <v>#VALUE!</v>
      </c>
      <c r="EW114" t="e">
        <v>#VALUE!</v>
      </c>
      <c r="EX114" t="e">
        <v>#VALUE!</v>
      </c>
      <c r="EY114" t="e">
        <v>#VALUE!</v>
      </c>
      <c r="EZ114" t="e">
        <v>#VALUE!</v>
      </c>
      <c r="FA114" t="e">
        <v>#VALUE!</v>
      </c>
      <c r="FB114" t="e">
        <v>#VALUE!</v>
      </c>
      <c r="FC114" t="e">
        <v>#VALUE!</v>
      </c>
      <c r="FD114" t="e">
        <v>#VALUE!</v>
      </c>
      <c r="FE114" t="e">
        <v>#VALUE!</v>
      </c>
      <c r="FF114" t="e">
        <v>#VALUE!</v>
      </c>
      <c r="FG114" t="e">
        <v>#VALUE!</v>
      </c>
      <c r="FH114" t="e">
        <v>#VALUE!</v>
      </c>
      <c r="FI114" t="e">
        <v>#VALUE!</v>
      </c>
      <c r="FJ114" t="e">
        <v>#VALUE!</v>
      </c>
      <c r="FK114" t="e">
        <v>#VALUE!</v>
      </c>
      <c r="FL114" t="e">
        <v>#VALUE!</v>
      </c>
      <c r="FM114" t="e">
        <v>#VALUE!</v>
      </c>
      <c r="FN114">
        <v>0</v>
      </c>
      <c r="FO114" t="e">
        <v>#VALUE!</v>
      </c>
      <c r="FP114" t="e">
        <v>#VALUE!</v>
      </c>
      <c r="FQ114" t="e">
        <v>#VALUE!</v>
      </c>
      <c r="FR114" t="e">
        <v>#VALUE!</v>
      </c>
      <c r="FS114" t="e">
        <v>#VALUE!</v>
      </c>
      <c r="FT114" t="e">
        <v>#VALUE!</v>
      </c>
      <c r="FU114" t="e">
        <v>#VALUE!</v>
      </c>
      <c r="FV114" t="e">
        <v>#VALUE!</v>
      </c>
      <c r="FW114" t="e">
        <v>#VALUE!</v>
      </c>
      <c r="FX114" t="e">
        <v>#VALUE!</v>
      </c>
      <c r="FY114" t="e">
        <v>#VALUE!</v>
      </c>
      <c r="FZ114" t="e">
        <v>#VALUE!</v>
      </c>
      <c r="GA114" t="e">
        <v>#VALUE!</v>
      </c>
      <c r="GB114" t="e">
        <v>#VALUE!</v>
      </c>
      <c r="GC114" t="e">
        <v>#VALUE!</v>
      </c>
      <c r="GD114" t="e">
        <v>#VALUE!</v>
      </c>
      <c r="GE114" t="e">
        <v>#VALUE!</v>
      </c>
      <c r="GF114" t="e">
        <v>#VALUE!</v>
      </c>
      <c r="GG114">
        <v>0</v>
      </c>
      <c r="GH114" t="e">
        <v>#VALUE!</v>
      </c>
      <c r="GI114" t="e">
        <v>#VALUE!</v>
      </c>
      <c r="GJ114" t="e">
        <v>#VALUE!</v>
      </c>
      <c r="GK114" t="e">
        <v>#VALUE!</v>
      </c>
      <c r="GL114" t="e">
        <v>#VALUE!</v>
      </c>
      <c r="GM114" t="e">
        <v>#VALUE!</v>
      </c>
      <c r="GN114" t="e">
        <v>#VALUE!</v>
      </c>
      <c r="GO114" t="e">
        <v>#VALUE!</v>
      </c>
      <c r="GP114" t="e">
        <v>#VALUE!</v>
      </c>
      <c r="GQ114" t="e">
        <v>#VALUE!</v>
      </c>
      <c r="GR114" t="e">
        <v>#VALUE!</v>
      </c>
      <c r="GS114" t="e">
        <v>#VALUE!</v>
      </c>
      <c r="GT114" t="e">
        <v>#VALUE!</v>
      </c>
      <c r="GU114" t="e">
        <v>#VALUE!</v>
      </c>
      <c r="GV114" t="e">
        <v>#VALUE!</v>
      </c>
      <c r="GW114" t="e">
        <v>#VALUE!</v>
      </c>
      <c r="GX114" t="e">
        <v>#VALUE!</v>
      </c>
      <c r="GY114" t="e">
        <v>#VALUE!</v>
      </c>
      <c r="GZ114">
        <v>0</v>
      </c>
      <c r="HA114" t="e">
        <v>#VALUE!</v>
      </c>
      <c r="HB114" t="e">
        <v>#VALUE!</v>
      </c>
      <c r="HC114" t="e">
        <v>#VALUE!</v>
      </c>
      <c r="HD114" t="e">
        <v>#VALUE!</v>
      </c>
      <c r="HE114" t="e">
        <v>#VALUE!</v>
      </c>
      <c r="HF114" t="e">
        <v>#VALUE!</v>
      </c>
      <c r="HG114" t="e">
        <v>#VALUE!</v>
      </c>
      <c r="HH114" t="e">
        <v>#VALUE!</v>
      </c>
      <c r="HI114" t="e">
        <v>#VALUE!</v>
      </c>
      <c r="HJ114" t="e">
        <v>#VALUE!</v>
      </c>
      <c r="HK114" t="e">
        <v>#VALUE!</v>
      </c>
      <c r="HL114" t="e">
        <v>#VALUE!</v>
      </c>
      <c r="HM114" t="e">
        <v>#VALUE!</v>
      </c>
      <c r="HN114" t="e">
        <v>#VALUE!</v>
      </c>
      <c r="HO114" t="e">
        <v>#VALUE!</v>
      </c>
      <c r="HP114" t="e">
        <v>#VALUE!</v>
      </c>
      <c r="HQ114" t="e">
        <v>#VALUE!</v>
      </c>
      <c r="HR114" t="e">
        <v>#VALUE!</v>
      </c>
      <c r="HS114">
        <v>0</v>
      </c>
      <c r="HT114" t="e">
        <v>#VALUE!</v>
      </c>
      <c r="HU114" t="e">
        <v>#VALUE!</v>
      </c>
      <c r="HV114" t="e">
        <v>#VALUE!</v>
      </c>
      <c r="HW114" t="e">
        <v>#VALUE!</v>
      </c>
      <c r="HX114" t="e">
        <v>#VALUE!</v>
      </c>
      <c r="HY114" t="e">
        <v>#VALUE!</v>
      </c>
      <c r="HZ114" t="e">
        <v>#VALUE!</v>
      </c>
      <c r="IA114" t="e">
        <v>#VALUE!</v>
      </c>
      <c r="IB114" t="e">
        <v>#VALUE!</v>
      </c>
      <c r="IC114" t="e">
        <v>#VALUE!</v>
      </c>
      <c r="ID114" t="e">
        <v>#VALUE!</v>
      </c>
      <c r="IE114" t="e">
        <v>#VALUE!</v>
      </c>
      <c r="IF114" t="e">
        <v>#VALUE!</v>
      </c>
      <c r="IG114" t="e">
        <v>#VALUE!</v>
      </c>
      <c r="IH114" t="e">
        <v>#VALUE!</v>
      </c>
      <c r="II114" t="e">
        <v>#VALUE!</v>
      </c>
      <c r="IJ114" t="e">
        <v>#VALUE!</v>
      </c>
      <c r="IK114" t="e">
        <v>#VALUE!</v>
      </c>
      <c r="IL114">
        <v>0</v>
      </c>
      <c r="IM114" t="e">
        <v>#VALUE!</v>
      </c>
      <c r="IN114" t="e">
        <v>#VALUE!</v>
      </c>
      <c r="IO114" t="e">
        <v>#VALUE!</v>
      </c>
      <c r="IP114" t="e">
        <v>#VALUE!</v>
      </c>
      <c r="IQ114" t="e">
        <v>#VALUE!</v>
      </c>
      <c r="IR114" t="e">
        <v>#VALUE!</v>
      </c>
      <c r="IS114" t="e">
        <v>#VALUE!</v>
      </c>
      <c r="IT114" t="e">
        <v>#VALUE!</v>
      </c>
      <c r="IU114" t="e">
        <v>#VALUE!</v>
      </c>
      <c r="IV114" t="e">
        <v>#VALUE!</v>
      </c>
    </row>
    <row r="115" spans="1:256" x14ac:dyDescent="0.25">
      <c r="A115" t="e">
        <v>#VALUE!</v>
      </c>
      <c r="B115" t="e">
        <v>#VALUE!</v>
      </c>
      <c r="C115" t="e">
        <v>#VALUE!</v>
      </c>
      <c r="D115" t="e">
        <v>#VALUE!</v>
      </c>
      <c r="E115" t="e">
        <v>#VALUE!</v>
      </c>
      <c r="F115" t="e">
        <v>#VALUE!</v>
      </c>
      <c r="G115" t="e">
        <v>#VALUE!</v>
      </c>
      <c r="H115" t="e">
        <v>#VALUE!</v>
      </c>
      <c r="I115">
        <v>0</v>
      </c>
      <c r="J115" t="e">
        <v>#VALUE!</v>
      </c>
      <c r="K115" t="e">
        <v>#VALUE!</v>
      </c>
      <c r="L115" t="e">
        <v>#VALUE!</v>
      </c>
      <c r="M115" t="e">
        <v>#VALUE!</v>
      </c>
      <c r="N115" t="e">
        <v>#VALUE!</v>
      </c>
      <c r="O115" t="e">
        <v>#VALUE!</v>
      </c>
      <c r="P115" t="e">
        <v>#VALUE!</v>
      </c>
      <c r="Q115" t="e">
        <v>#VALUE!</v>
      </c>
      <c r="R115" t="e">
        <v>#VALUE!</v>
      </c>
      <c r="S115" t="e">
        <v>#VALUE!</v>
      </c>
      <c r="T115" t="e">
        <v>#VALUE!</v>
      </c>
      <c r="U115" t="e">
        <v>#VALUE!</v>
      </c>
      <c r="V115" t="e">
        <v>#VALUE!</v>
      </c>
      <c r="W115" t="e">
        <v>#VALUE!</v>
      </c>
      <c r="X115" t="e">
        <v>#VALUE!</v>
      </c>
      <c r="Y115" t="e">
        <v>#VALUE!</v>
      </c>
      <c r="Z115" t="e">
        <v>#VALUE!</v>
      </c>
      <c r="AA115" t="e">
        <v>#VALUE!</v>
      </c>
      <c r="AB115">
        <v>0</v>
      </c>
      <c r="AC115" t="e">
        <v>#VALUE!</v>
      </c>
      <c r="AD115" t="e">
        <v>#VALUE!</v>
      </c>
      <c r="AE115" t="e">
        <v>#VALUE!</v>
      </c>
      <c r="AF115" t="e">
        <v>#VALUE!</v>
      </c>
      <c r="AG115" t="e">
        <v>#VALUE!</v>
      </c>
      <c r="AH115" t="e">
        <v>#VALUE!</v>
      </c>
      <c r="AI115" t="e">
        <v>#VALUE!</v>
      </c>
      <c r="AJ115" t="e">
        <v>#VALUE!</v>
      </c>
      <c r="AK115" t="e">
        <v>#VALUE!</v>
      </c>
      <c r="AL115" t="e">
        <v>#VALUE!</v>
      </c>
      <c r="AM115" t="e">
        <v>#VALUE!</v>
      </c>
      <c r="AN115" t="e">
        <v>#VALUE!</v>
      </c>
      <c r="AO115" t="e">
        <v>#VALUE!</v>
      </c>
      <c r="AP115" t="e">
        <v>#VALUE!</v>
      </c>
      <c r="AQ115" t="e">
        <v>#VALUE!</v>
      </c>
      <c r="AR115" t="e">
        <v>#VALUE!</v>
      </c>
      <c r="AS115" t="e">
        <v>#VALUE!</v>
      </c>
      <c r="AT115" t="e">
        <v>#VALUE!</v>
      </c>
      <c r="AU115">
        <v>0</v>
      </c>
      <c r="AV115" t="e">
        <v>#VALUE!</v>
      </c>
      <c r="AW115" t="e">
        <v>#VALUE!</v>
      </c>
      <c r="AX115" t="e">
        <v>#VALUE!</v>
      </c>
      <c r="AY115" t="e">
        <v>#VALUE!</v>
      </c>
      <c r="AZ115" t="e">
        <v>#VALUE!</v>
      </c>
      <c r="BA115" t="e">
        <v>#VALUE!</v>
      </c>
      <c r="BB115" t="e">
        <v>#VALUE!</v>
      </c>
      <c r="BC115" t="e">
        <v>#VALUE!</v>
      </c>
      <c r="BD115" t="e">
        <v>#VALUE!</v>
      </c>
      <c r="BE115" t="e">
        <v>#VALUE!</v>
      </c>
      <c r="BF115" t="e">
        <v>#VALUE!</v>
      </c>
      <c r="BG115" t="e">
        <v>#VALUE!</v>
      </c>
      <c r="BH115" t="e">
        <v>#VALUE!</v>
      </c>
      <c r="BI115" t="e">
        <v>#VALUE!</v>
      </c>
      <c r="BJ115" t="e">
        <v>#VALUE!</v>
      </c>
      <c r="BK115" t="e">
        <v>#VALUE!</v>
      </c>
      <c r="BL115" t="e">
        <v>#VALUE!</v>
      </c>
      <c r="BM115" t="e">
        <v>#VALUE!</v>
      </c>
      <c r="BN115">
        <v>0</v>
      </c>
      <c r="BO115" t="e">
        <v>#VALUE!</v>
      </c>
      <c r="BP115" t="e">
        <v>#VALUE!</v>
      </c>
      <c r="BQ115" t="e">
        <v>#VALUE!</v>
      </c>
      <c r="BR115" t="e">
        <v>#VALUE!</v>
      </c>
      <c r="BS115" t="e">
        <v>#VALUE!</v>
      </c>
      <c r="BT115" t="e">
        <v>#VALUE!</v>
      </c>
      <c r="BU115" t="e">
        <v>#VALUE!</v>
      </c>
      <c r="BV115" t="e">
        <v>#VALUE!</v>
      </c>
      <c r="BW115" t="e">
        <v>#VALUE!</v>
      </c>
      <c r="BX115" t="e">
        <v>#VALUE!</v>
      </c>
      <c r="BY115" t="e">
        <v>#VALUE!</v>
      </c>
      <c r="BZ115" t="e">
        <v>#VALUE!</v>
      </c>
      <c r="CA115" t="e">
        <v>#VALUE!</v>
      </c>
      <c r="CB115" t="e">
        <v>#VALUE!</v>
      </c>
      <c r="CC115" t="e">
        <v>#VALUE!</v>
      </c>
      <c r="CD115" t="e">
        <v>#VALUE!</v>
      </c>
      <c r="CE115" t="e">
        <v>#VALUE!</v>
      </c>
      <c r="CF115" t="e">
        <v>#VALUE!</v>
      </c>
      <c r="CG115">
        <v>0</v>
      </c>
      <c r="CH115" t="e">
        <v>#VALUE!</v>
      </c>
      <c r="CI115" t="e">
        <v>#VALUE!</v>
      </c>
      <c r="CJ115" t="e">
        <v>#VALUE!</v>
      </c>
      <c r="CK115" t="e">
        <v>#VALUE!</v>
      </c>
      <c r="CL115" t="e">
        <v>#VALUE!</v>
      </c>
      <c r="CM115" t="e">
        <v>#VALUE!</v>
      </c>
      <c r="CN115" t="e">
        <v>#VALUE!</v>
      </c>
      <c r="CO115" t="e">
        <v>#VALUE!</v>
      </c>
      <c r="CP115" t="e">
        <v>#VALUE!</v>
      </c>
      <c r="CQ115" t="e">
        <v>#VALUE!</v>
      </c>
      <c r="CR115" t="e">
        <v>#VALUE!</v>
      </c>
      <c r="CS115" t="e">
        <v>#VALUE!</v>
      </c>
      <c r="CT115" t="e">
        <v>#VALUE!</v>
      </c>
      <c r="CU115" t="e">
        <v>#VALUE!</v>
      </c>
      <c r="CV115" t="e">
        <v>#VALUE!</v>
      </c>
      <c r="CW115" t="e">
        <v>#VALUE!</v>
      </c>
      <c r="CX115" t="e">
        <v>#VALUE!</v>
      </c>
      <c r="CY115" t="e">
        <v>#VALUE!</v>
      </c>
      <c r="CZ115">
        <v>0</v>
      </c>
      <c r="DA115" t="e">
        <v>#VALUE!</v>
      </c>
      <c r="DB115" t="e">
        <v>#VALUE!</v>
      </c>
      <c r="DC115" t="e">
        <v>#VALUE!</v>
      </c>
      <c r="DD115" t="e">
        <v>#VALUE!</v>
      </c>
      <c r="DE115" t="e">
        <v>#VALUE!</v>
      </c>
      <c r="DF115" t="e">
        <v>#VALUE!</v>
      </c>
      <c r="DG115" t="e">
        <v>#VALUE!</v>
      </c>
      <c r="DH115" t="e">
        <v>#VALUE!</v>
      </c>
      <c r="DI115" t="e">
        <v>#VALUE!</v>
      </c>
      <c r="DJ115" t="e">
        <v>#VALUE!</v>
      </c>
      <c r="DK115" t="e">
        <v>#VALUE!</v>
      </c>
      <c r="DL115" t="e">
        <v>#VALUE!</v>
      </c>
      <c r="DM115" t="e">
        <v>#VALUE!</v>
      </c>
      <c r="DN115" t="e">
        <v>#VALUE!</v>
      </c>
      <c r="DO115" t="e">
        <v>#VALUE!</v>
      </c>
      <c r="DP115" t="e">
        <v>#VALUE!</v>
      </c>
      <c r="DQ115" t="e">
        <v>#VALUE!</v>
      </c>
      <c r="DR115" t="e">
        <v>#VALUE!</v>
      </c>
      <c r="DS115">
        <v>0</v>
      </c>
      <c r="DT115" t="e">
        <v>#VALUE!</v>
      </c>
      <c r="DU115" t="e">
        <v>#VALUE!</v>
      </c>
      <c r="DV115" t="e">
        <v>#VALUE!</v>
      </c>
      <c r="DW115" t="e">
        <v>#VALUE!</v>
      </c>
      <c r="DX115" t="e">
        <v>#VALUE!</v>
      </c>
      <c r="DY115" t="e">
        <v>#VALUE!</v>
      </c>
      <c r="DZ115" t="e">
        <v>#VALUE!</v>
      </c>
      <c r="EA115" t="e">
        <v>#VALUE!</v>
      </c>
      <c r="EB115" t="e">
        <v>#VALUE!</v>
      </c>
      <c r="EC115" t="e">
        <v>#VALUE!</v>
      </c>
      <c r="ED115" t="e">
        <v>#VALUE!</v>
      </c>
      <c r="EE115" t="e">
        <v>#VALUE!</v>
      </c>
      <c r="EF115" t="e">
        <v>#VALUE!</v>
      </c>
      <c r="EG115" t="e">
        <v>#VALUE!</v>
      </c>
      <c r="EH115" t="e">
        <v>#VALUE!</v>
      </c>
      <c r="EI115" t="e">
        <v>#VALUE!</v>
      </c>
      <c r="EJ115" t="e">
        <v>#VALUE!</v>
      </c>
      <c r="EK115" t="e">
        <v>#VALUE!</v>
      </c>
      <c r="EL115">
        <v>0</v>
      </c>
      <c r="EM115" t="e">
        <v>#VALUE!</v>
      </c>
      <c r="EN115" t="e">
        <v>#VALUE!</v>
      </c>
      <c r="EO115" t="e">
        <v>#VALUE!</v>
      </c>
      <c r="EP115" t="e">
        <v>#VALUE!</v>
      </c>
      <c r="EQ115" t="e">
        <v>#VALUE!</v>
      </c>
      <c r="ER115" t="e">
        <v>#VALUE!</v>
      </c>
      <c r="ES115" t="e">
        <v>#VALUE!</v>
      </c>
      <c r="ET115" t="e">
        <v>#VALUE!</v>
      </c>
      <c r="EU115" t="e">
        <v>#VALUE!</v>
      </c>
      <c r="EV115" t="e">
        <v>#VALUE!</v>
      </c>
      <c r="EW115" t="e">
        <v>#VALUE!</v>
      </c>
      <c r="EX115" t="e">
        <v>#VALUE!</v>
      </c>
      <c r="EY115" t="e">
        <v>#VALUE!</v>
      </c>
      <c r="EZ115" t="e">
        <v>#VALUE!</v>
      </c>
      <c r="FA115" t="e">
        <v>#VALUE!</v>
      </c>
      <c r="FB115" t="e">
        <v>#VALUE!</v>
      </c>
      <c r="FC115" t="e">
        <v>#VALUE!</v>
      </c>
      <c r="FD115" t="e">
        <v>#VALUE!</v>
      </c>
      <c r="FE115">
        <v>0</v>
      </c>
      <c r="FF115" t="e">
        <v>#VALUE!</v>
      </c>
      <c r="FG115" t="e">
        <v>#VALUE!</v>
      </c>
      <c r="FH115" t="e">
        <v>#VALUE!</v>
      </c>
      <c r="FI115" t="e">
        <v>#VALUE!</v>
      </c>
      <c r="FJ115" t="e">
        <v>#VALUE!</v>
      </c>
      <c r="FK115" t="e">
        <v>#VALUE!</v>
      </c>
      <c r="FL115" t="e">
        <v>#VALUE!</v>
      </c>
      <c r="FM115" t="e">
        <v>#VALUE!</v>
      </c>
      <c r="FN115" t="e">
        <v>#VALUE!</v>
      </c>
      <c r="FO115" t="e">
        <v>#VALUE!</v>
      </c>
      <c r="FP115" t="e">
        <v>#VALUE!</v>
      </c>
      <c r="FQ115" t="e">
        <v>#VALUE!</v>
      </c>
      <c r="FR115" t="e">
        <v>#VALUE!</v>
      </c>
      <c r="FS115" t="e">
        <v>#VALUE!</v>
      </c>
      <c r="FT115" t="e">
        <v>#VALUE!</v>
      </c>
      <c r="FU115" t="e">
        <v>#VALUE!</v>
      </c>
      <c r="FV115" t="e">
        <v>#VALUE!</v>
      </c>
      <c r="FW115" t="e">
        <v>#VALUE!</v>
      </c>
      <c r="FX115">
        <v>0</v>
      </c>
      <c r="FY115" t="e">
        <v>#VALUE!</v>
      </c>
      <c r="FZ115" t="e">
        <v>#VALUE!</v>
      </c>
      <c r="GA115" t="e">
        <v>#VALUE!</v>
      </c>
      <c r="GB115" t="e">
        <v>#VALUE!</v>
      </c>
      <c r="GC115" t="e">
        <v>#VALUE!</v>
      </c>
      <c r="GD115" t="e">
        <v>#VALUE!</v>
      </c>
      <c r="GE115" t="e">
        <v>#VALUE!</v>
      </c>
      <c r="GF115" t="e">
        <v>#VALUE!</v>
      </c>
      <c r="GG115" t="e">
        <v>#VALUE!</v>
      </c>
      <c r="GH115" t="e">
        <v>#VALUE!</v>
      </c>
      <c r="GI115" t="e">
        <v>#VALUE!</v>
      </c>
      <c r="GJ115" t="e">
        <v>#VALUE!</v>
      </c>
      <c r="GK115" t="e">
        <v>#VALUE!</v>
      </c>
      <c r="GL115" t="e">
        <v>#VALUE!</v>
      </c>
      <c r="GM115" t="e">
        <v>#VALUE!</v>
      </c>
      <c r="GN115" t="e">
        <v>#VALUE!</v>
      </c>
      <c r="GO115" t="e">
        <v>#VALUE!</v>
      </c>
      <c r="GP115" t="e">
        <v>#VALUE!</v>
      </c>
      <c r="GQ115">
        <v>0</v>
      </c>
      <c r="GR115" t="e">
        <v>#VALUE!</v>
      </c>
      <c r="GS115" t="e">
        <v>#VALUE!</v>
      </c>
      <c r="GT115" t="e">
        <v>#VALUE!</v>
      </c>
      <c r="GU115" t="e">
        <v>#VALUE!</v>
      </c>
      <c r="GV115" t="e">
        <v>#VALUE!</v>
      </c>
      <c r="GW115" t="e">
        <v>#VALUE!</v>
      </c>
      <c r="GX115" t="e">
        <v>#VALUE!</v>
      </c>
      <c r="GY115" t="e">
        <v>#VALUE!</v>
      </c>
      <c r="GZ115" t="e">
        <v>#VALUE!</v>
      </c>
      <c r="HA115" t="e">
        <v>#VALUE!</v>
      </c>
      <c r="HB115" t="e">
        <v>#VALUE!</v>
      </c>
      <c r="HC115" t="e">
        <v>#VALUE!</v>
      </c>
      <c r="HD115" t="e">
        <v>#VALUE!</v>
      </c>
      <c r="HE115" t="e">
        <v>#VALUE!</v>
      </c>
      <c r="HF115" t="e">
        <v>#VALUE!</v>
      </c>
      <c r="HG115" t="e">
        <v>#VALUE!</v>
      </c>
      <c r="HH115" t="e">
        <v>#VALUE!</v>
      </c>
      <c r="HI115" t="e">
        <v>#VALUE!</v>
      </c>
      <c r="HJ115">
        <v>0</v>
      </c>
      <c r="HK115" t="e">
        <v>#VALUE!</v>
      </c>
      <c r="HL115" t="e">
        <v>#VALUE!</v>
      </c>
      <c r="HM115" t="e">
        <v>#VALUE!</v>
      </c>
      <c r="HN115" t="e">
        <v>#VALUE!</v>
      </c>
      <c r="HO115" t="e">
        <v>#VALUE!</v>
      </c>
      <c r="HP115" t="e">
        <v>#VALUE!</v>
      </c>
      <c r="HQ115" t="e">
        <v>#VALUE!</v>
      </c>
      <c r="HR115" t="e">
        <v>#VALUE!</v>
      </c>
      <c r="HS115" t="e">
        <v>#VALUE!</v>
      </c>
      <c r="HT115" t="e">
        <v>#VALUE!</v>
      </c>
      <c r="HU115" t="e">
        <v>#VALUE!</v>
      </c>
      <c r="HV115" t="e">
        <v>#VALUE!</v>
      </c>
      <c r="HW115" t="e">
        <v>#VALUE!</v>
      </c>
      <c r="HX115" t="e">
        <v>#VALUE!</v>
      </c>
      <c r="HY115" t="e">
        <v>#VALUE!</v>
      </c>
      <c r="HZ115" t="e">
        <v>#VALUE!</v>
      </c>
      <c r="IA115" t="e">
        <v>#VALUE!</v>
      </c>
      <c r="IB115" t="e">
        <v>#VALUE!</v>
      </c>
      <c r="IC115">
        <v>0</v>
      </c>
      <c r="ID115" t="e">
        <v>#VALUE!</v>
      </c>
      <c r="IE115" t="e">
        <v>#VALUE!</v>
      </c>
      <c r="IF115" t="e">
        <v>#VALUE!</v>
      </c>
      <c r="IG115" t="e">
        <v>#VALUE!</v>
      </c>
      <c r="IH115" t="e">
        <v>#VALUE!</v>
      </c>
      <c r="II115" t="e">
        <v>#VALUE!</v>
      </c>
      <c r="IJ115" t="e">
        <v>#VALUE!</v>
      </c>
      <c r="IK115" t="e">
        <v>#VALUE!</v>
      </c>
      <c r="IL115" t="e">
        <v>#VALUE!</v>
      </c>
      <c r="IM115" t="e">
        <v>#VALUE!</v>
      </c>
      <c r="IN115" t="e">
        <v>#VALUE!</v>
      </c>
      <c r="IO115" t="e">
        <v>#VALUE!</v>
      </c>
      <c r="IP115" t="e">
        <v>#VALUE!</v>
      </c>
      <c r="IQ115" t="e">
        <v>#VALUE!</v>
      </c>
      <c r="IR115" t="e">
        <v>#VALUE!</v>
      </c>
      <c r="IS115" t="e">
        <v>#VALUE!</v>
      </c>
      <c r="IT115" t="e">
        <v>#VALUE!</v>
      </c>
      <c r="IU115" t="e">
        <v>#VALUE!</v>
      </c>
      <c r="IV115">
        <v>0</v>
      </c>
    </row>
    <row r="116" spans="1:256" x14ac:dyDescent="0.25">
      <c r="A116" t="e">
        <v>#VALUE!</v>
      </c>
      <c r="B116" t="e">
        <v>#VALUE!</v>
      </c>
      <c r="C116" t="e">
        <v>#VALUE!</v>
      </c>
      <c r="D116" t="e">
        <v>#VALUE!</v>
      </c>
      <c r="E116" t="e">
        <v>#VALUE!</v>
      </c>
      <c r="F116" t="e">
        <v>#VALUE!</v>
      </c>
      <c r="G116" t="e">
        <v>#VALUE!</v>
      </c>
      <c r="H116" t="e">
        <v>#VALUE!</v>
      </c>
      <c r="I116" t="e">
        <v>#VALUE!</v>
      </c>
      <c r="J116" t="e">
        <v>#VALUE!</v>
      </c>
      <c r="K116" t="e">
        <v>#VALUE!</v>
      </c>
      <c r="L116" t="e">
        <v>#VALUE!</v>
      </c>
      <c r="M116" t="e">
        <v>#VALUE!</v>
      </c>
      <c r="N116" t="e">
        <v>#VALUE!</v>
      </c>
      <c r="O116" t="e">
        <v>#VALUE!</v>
      </c>
      <c r="P116" t="e">
        <v>#VALUE!</v>
      </c>
      <c r="Q116" t="e">
        <v>#VALUE!</v>
      </c>
      <c r="R116" t="e">
        <v>#VALUE!</v>
      </c>
      <c r="S116">
        <v>0</v>
      </c>
      <c r="T116" t="e">
        <v>#VALUE!</v>
      </c>
      <c r="U116" t="e">
        <v>#VALUE!</v>
      </c>
      <c r="V116" t="e">
        <v>#VALUE!</v>
      </c>
      <c r="W116" t="e">
        <v>#VALUE!</v>
      </c>
      <c r="X116" t="e">
        <v>#VALUE!</v>
      </c>
      <c r="Y116" t="e">
        <v>#VALUE!</v>
      </c>
      <c r="Z116" t="e">
        <v>#VALUE!</v>
      </c>
      <c r="AA116" t="e">
        <v>#VALUE!</v>
      </c>
      <c r="AB116" t="e">
        <v>#VALUE!</v>
      </c>
      <c r="AC116" t="e">
        <v>#VALUE!</v>
      </c>
      <c r="AD116" t="e">
        <v>#VALUE!</v>
      </c>
      <c r="AE116" t="e">
        <v>#VALUE!</v>
      </c>
      <c r="AF116" t="e">
        <v>#VALUE!</v>
      </c>
      <c r="AG116" t="e">
        <v>#VALUE!</v>
      </c>
      <c r="AH116" t="e">
        <v>#VALUE!</v>
      </c>
      <c r="AI116" t="e">
        <v>#VALUE!</v>
      </c>
      <c r="AJ116" t="e">
        <v>#VALUE!</v>
      </c>
      <c r="AK116" t="e">
        <v>#VALUE!</v>
      </c>
      <c r="AL116">
        <v>0</v>
      </c>
      <c r="AM116" t="e">
        <v>#VALUE!</v>
      </c>
      <c r="AN116" t="e">
        <v>#VALUE!</v>
      </c>
      <c r="AO116" t="e">
        <v>#VALUE!</v>
      </c>
      <c r="AP116" t="e">
        <v>#VALUE!</v>
      </c>
      <c r="AQ116" t="e">
        <v>#VALUE!</v>
      </c>
      <c r="AR116" t="e">
        <v>#VALUE!</v>
      </c>
      <c r="AS116" t="e">
        <v>#VALUE!</v>
      </c>
      <c r="AT116" t="e">
        <v>#VALUE!</v>
      </c>
      <c r="AU116" t="e">
        <v>#VALUE!</v>
      </c>
      <c r="AV116" t="e">
        <v>#VALUE!</v>
      </c>
      <c r="AW116" t="e">
        <v>#VALUE!</v>
      </c>
      <c r="AX116" t="e">
        <v>#VALUE!</v>
      </c>
      <c r="AY116" t="e">
        <v>#VALUE!</v>
      </c>
      <c r="AZ116" t="e">
        <v>#VALUE!</v>
      </c>
      <c r="BA116" t="e">
        <v>#VALUE!</v>
      </c>
      <c r="BB116" t="e">
        <v>#VALUE!</v>
      </c>
      <c r="BC116" t="e">
        <v>#VALUE!</v>
      </c>
      <c r="BD116" t="e">
        <v>#VALUE!</v>
      </c>
      <c r="BE116">
        <v>0</v>
      </c>
      <c r="BF116" t="e">
        <v>#VALUE!</v>
      </c>
      <c r="BG116" t="e">
        <v>#VALUE!</v>
      </c>
      <c r="BH116" t="e">
        <v>#VALUE!</v>
      </c>
      <c r="BI116" t="e">
        <v>#VALUE!</v>
      </c>
      <c r="BJ116" t="e">
        <v>#VALUE!</v>
      </c>
      <c r="BK116" t="e">
        <v>#VALUE!</v>
      </c>
      <c r="BL116" t="e">
        <v>#VALUE!</v>
      </c>
      <c r="BM116" t="e">
        <v>#VALUE!</v>
      </c>
      <c r="BN116" t="e">
        <v>#VALUE!</v>
      </c>
      <c r="BO116" t="e">
        <v>#VALUE!</v>
      </c>
      <c r="BP116" t="e">
        <v>#VALUE!</v>
      </c>
      <c r="BQ116" t="e">
        <v>#VALUE!</v>
      </c>
      <c r="BR116" t="e">
        <v>#VALUE!</v>
      </c>
      <c r="BS116" t="e">
        <v>#VALUE!</v>
      </c>
      <c r="BT116" t="e">
        <v>#VALUE!</v>
      </c>
      <c r="BU116" t="e">
        <v>#VALUE!</v>
      </c>
      <c r="BV116" t="e">
        <v>#VALUE!</v>
      </c>
      <c r="BW116" t="e">
        <v>#VALUE!</v>
      </c>
      <c r="BX116">
        <v>0</v>
      </c>
      <c r="BY116" t="e">
        <v>#VALUE!</v>
      </c>
      <c r="BZ116" t="e">
        <v>#VALUE!</v>
      </c>
      <c r="CA116" t="e">
        <v>#VALUE!</v>
      </c>
      <c r="CB116" t="e">
        <v>#VALUE!</v>
      </c>
      <c r="CC116" t="e">
        <v>#VALUE!</v>
      </c>
      <c r="CD116" t="e">
        <v>#VALUE!</v>
      </c>
      <c r="CE116" t="e">
        <v>#VALUE!</v>
      </c>
      <c r="CF116" t="e">
        <v>#VALUE!</v>
      </c>
      <c r="CG116" t="e">
        <v>#VALUE!</v>
      </c>
      <c r="CH116" t="e">
        <v>#VALUE!</v>
      </c>
      <c r="CI116" t="e">
        <v>#VALUE!</v>
      </c>
      <c r="CJ116" t="e">
        <v>#VALUE!</v>
      </c>
      <c r="CK116" t="e">
        <v>#VALUE!</v>
      </c>
      <c r="CL116" t="e">
        <v>#VALUE!</v>
      </c>
      <c r="CM116" t="e">
        <v>#VALUE!</v>
      </c>
      <c r="CN116" t="e">
        <v>#VALUE!</v>
      </c>
      <c r="CO116" t="e">
        <v>#VALUE!</v>
      </c>
      <c r="CP116" t="e">
        <v>#VALUE!</v>
      </c>
      <c r="CQ116">
        <v>0</v>
      </c>
      <c r="CR116" t="e">
        <v>#VALUE!</v>
      </c>
      <c r="CS116" t="e">
        <v>#VALUE!</v>
      </c>
      <c r="CT116" t="e">
        <v>#VALUE!</v>
      </c>
      <c r="CU116" t="e">
        <v>#VALUE!</v>
      </c>
      <c r="CV116" t="e">
        <v>#VALUE!</v>
      </c>
      <c r="CW116" t="e">
        <v>#VALUE!</v>
      </c>
      <c r="CX116" t="e">
        <v>#VALUE!</v>
      </c>
      <c r="CY116" t="e">
        <v>#VALUE!</v>
      </c>
      <c r="CZ116" t="e">
        <v>#VALUE!</v>
      </c>
      <c r="DA116" t="e">
        <v>#VALUE!</v>
      </c>
      <c r="DB116" t="e">
        <v>#VALUE!</v>
      </c>
      <c r="DC116" t="e">
        <v>#VALUE!</v>
      </c>
      <c r="DD116" t="e">
        <v>#VALUE!</v>
      </c>
      <c r="DE116" t="e">
        <v>#VALUE!</v>
      </c>
      <c r="DF116" t="e">
        <v>#VALUE!</v>
      </c>
      <c r="DG116" t="e">
        <v>#VALUE!</v>
      </c>
      <c r="DH116" t="e">
        <v>#VALUE!</v>
      </c>
      <c r="DI116" t="e">
        <v>#VALUE!</v>
      </c>
      <c r="DJ116">
        <v>0</v>
      </c>
      <c r="DK116" t="e">
        <v>#VALUE!</v>
      </c>
      <c r="DL116" t="e">
        <v>#VALUE!</v>
      </c>
      <c r="DM116" t="e">
        <v>#VALUE!</v>
      </c>
      <c r="DN116" t="e">
        <v>#VALUE!</v>
      </c>
      <c r="DO116" t="e">
        <v>#VALUE!</v>
      </c>
      <c r="DP116" t="e">
        <v>#VALUE!</v>
      </c>
      <c r="DQ116" t="e">
        <v>#VALUE!</v>
      </c>
      <c r="DR116" t="e">
        <v>#VALUE!</v>
      </c>
      <c r="DS116" t="e">
        <v>#VALUE!</v>
      </c>
      <c r="DT116" t="e">
        <v>#VALUE!</v>
      </c>
      <c r="DU116" t="e">
        <v>#VALUE!</v>
      </c>
      <c r="DV116" t="e">
        <v>#VALUE!</v>
      </c>
      <c r="DW116" t="e">
        <v>#VALUE!</v>
      </c>
      <c r="DX116" t="e">
        <v>#VALUE!</v>
      </c>
      <c r="DY116" t="e">
        <v>#VALUE!</v>
      </c>
      <c r="DZ116" t="e">
        <v>#VALUE!</v>
      </c>
      <c r="EA116" t="e">
        <v>#VALUE!</v>
      </c>
      <c r="EB116" t="e">
        <v>#VALUE!</v>
      </c>
      <c r="EC116">
        <v>0</v>
      </c>
      <c r="ED116" t="e">
        <v>#VALUE!</v>
      </c>
      <c r="EE116" t="e">
        <v>#VALUE!</v>
      </c>
      <c r="EF116" t="e">
        <v>#VALUE!</v>
      </c>
      <c r="EG116" t="e">
        <v>#VALUE!</v>
      </c>
      <c r="EH116" t="e">
        <v>#VALUE!</v>
      </c>
      <c r="EI116" t="e">
        <v>#VALUE!</v>
      </c>
      <c r="EJ116" t="e">
        <v>#VALUE!</v>
      </c>
      <c r="EK116" t="e">
        <v>#VALUE!</v>
      </c>
      <c r="EL116" t="e">
        <v>#VALUE!</v>
      </c>
      <c r="EM116" t="e">
        <v>#VALUE!</v>
      </c>
      <c r="EN116" t="e">
        <v>#VALUE!</v>
      </c>
      <c r="EO116" t="e">
        <v>#VALUE!</v>
      </c>
      <c r="EP116" t="e">
        <v>#VALUE!</v>
      </c>
      <c r="EQ116" t="e">
        <v>#VALUE!</v>
      </c>
      <c r="ER116" t="e">
        <v>#VALUE!</v>
      </c>
      <c r="ES116" t="e">
        <v>#VALUE!</v>
      </c>
      <c r="ET116" t="e">
        <v>#VALUE!</v>
      </c>
      <c r="EU116" t="e">
        <v>#VALUE!</v>
      </c>
      <c r="EV116">
        <v>0</v>
      </c>
      <c r="EW116" t="e">
        <v>#VALUE!</v>
      </c>
      <c r="EX116" t="e">
        <v>#VALUE!</v>
      </c>
      <c r="EY116" t="e">
        <v>#VALUE!</v>
      </c>
      <c r="EZ116" t="e">
        <v>#VALUE!</v>
      </c>
      <c r="FA116" t="e">
        <v>#VALUE!</v>
      </c>
      <c r="FB116" t="e">
        <v>#VALUE!</v>
      </c>
      <c r="FC116" t="e">
        <v>#VALUE!</v>
      </c>
      <c r="FD116" t="e">
        <v>#VALUE!</v>
      </c>
      <c r="FE116" t="e">
        <v>#VALUE!</v>
      </c>
      <c r="FF116" t="e">
        <v>#VALUE!</v>
      </c>
      <c r="FG116" t="e">
        <v>#VALUE!</v>
      </c>
      <c r="FH116" t="e">
        <v>#VALUE!</v>
      </c>
      <c r="FI116" t="e">
        <v>#VALUE!</v>
      </c>
      <c r="FJ116" t="e">
        <v>#VALUE!</v>
      </c>
      <c r="FK116" t="e">
        <v>#VALUE!</v>
      </c>
      <c r="FL116" t="e">
        <v>#VALUE!</v>
      </c>
      <c r="FM116" t="e">
        <v>#VALUE!</v>
      </c>
      <c r="FN116" t="e">
        <v>#VALUE!</v>
      </c>
      <c r="FO116">
        <v>0</v>
      </c>
      <c r="FP116" t="e">
        <v>#VALUE!</v>
      </c>
      <c r="FQ116" t="e">
        <v>#VALUE!</v>
      </c>
      <c r="FR116" t="e">
        <v>#VALUE!</v>
      </c>
      <c r="FS116" t="e">
        <v>#VALUE!</v>
      </c>
      <c r="FT116" t="e">
        <v>#VALUE!</v>
      </c>
      <c r="FU116" t="e">
        <v>#VALUE!</v>
      </c>
      <c r="FV116" t="e">
        <v>#VALUE!</v>
      </c>
      <c r="FW116" t="e">
        <v>#VALUE!</v>
      </c>
      <c r="FX116" t="e">
        <v>#VALUE!</v>
      </c>
      <c r="FY116" t="e">
        <v>#VALUE!</v>
      </c>
      <c r="FZ116" t="e">
        <v>#VALUE!</v>
      </c>
      <c r="GA116" t="e">
        <v>#VALUE!</v>
      </c>
      <c r="GB116" t="e">
        <v>#VALUE!</v>
      </c>
      <c r="GC116" t="e">
        <v>#VALUE!</v>
      </c>
      <c r="GD116" t="e">
        <v>#VALUE!</v>
      </c>
      <c r="GE116" t="e">
        <v>#VALUE!</v>
      </c>
      <c r="GF116" t="e">
        <v>#VALUE!</v>
      </c>
      <c r="GG116" t="e">
        <v>#VALUE!</v>
      </c>
      <c r="GH116">
        <v>0</v>
      </c>
      <c r="GI116" t="e">
        <v>#VALUE!</v>
      </c>
      <c r="GJ116" t="e">
        <v>#VALUE!</v>
      </c>
      <c r="GK116" t="e">
        <v>#VALUE!</v>
      </c>
      <c r="GL116" t="e">
        <v>#VALUE!</v>
      </c>
      <c r="GM116" t="e">
        <v>#VALUE!</v>
      </c>
      <c r="GN116" t="e">
        <v>#VALUE!</v>
      </c>
      <c r="GO116" t="e">
        <v>#VALUE!</v>
      </c>
      <c r="GP116" t="e">
        <v>#VALUE!</v>
      </c>
      <c r="GQ116" t="e">
        <v>#VALUE!</v>
      </c>
      <c r="GR116" t="e">
        <v>#VALUE!</v>
      </c>
      <c r="GS116" t="e">
        <v>#VALUE!</v>
      </c>
      <c r="GT116" t="e">
        <v>#VALUE!</v>
      </c>
      <c r="GU116" t="e">
        <v>#VALUE!</v>
      </c>
      <c r="GV116" t="e">
        <v>#VALUE!</v>
      </c>
      <c r="GW116" t="e">
        <v>#VALUE!</v>
      </c>
      <c r="GX116" t="e">
        <v>#VALUE!</v>
      </c>
      <c r="GY116" t="e">
        <v>#VALUE!</v>
      </c>
      <c r="GZ116" t="e">
        <v>#VALUE!</v>
      </c>
      <c r="HA116">
        <v>0</v>
      </c>
      <c r="HB116" t="e">
        <v>#VALUE!</v>
      </c>
      <c r="HC116" t="e">
        <v>#VALUE!</v>
      </c>
      <c r="HD116" t="e">
        <v>#VALUE!</v>
      </c>
      <c r="HE116" t="e">
        <v>#VALUE!</v>
      </c>
      <c r="HF116" t="e">
        <v>#VALUE!</v>
      </c>
      <c r="HG116" t="e">
        <v>#VALUE!</v>
      </c>
      <c r="HH116" t="e">
        <v>#VALUE!</v>
      </c>
      <c r="HI116" t="e">
        <v>#VALUE!</v>
      </c>
      <c r="HJ116" t="e">
        <v>#VALUE!</v>
      </c>
      <c r="HK116" t="e">
        <v>#VALUE!</v>
      </c>
      <c r="HL116" t="e">
        <v>#VALUE!</v>
      </c>
      <c r="HM116" t="e">
        <v>#VALUE!</v>
      </c>
      <c r="HN116" t="e">
        <v>#VALUE!</v>
      </c>
      <c r="HO116" t="e">
        <v>#VALUE!</v>
      </c>
      <c r="HP116" t="e">
        <v>#VALUE!</v>
      </c>
      <c r="HQ116" t="e">
        <v>#VALUE!</v>
      </c>
      <c r="HR116" t="e">
        <v>#VALUE!</v>
      </c>
      <c r="HS116" t="e">
        <v>#VALUE!</v>
      </c>
      <c r="HT116">
        <v>0</v>
      </c>
      <c r="HU116" t="e">
        <v>#VALUE!</v>
      </c>
      <c r="HV116" t="e">
        <v>#VALUE!</v>
      </c>
      <c r="HW116" t="e">
        <v>#VALUE!</v>
      </c>
      <c r="HX116" t="e">
        <v>#VALUE!</v>
      </c>
      <c r="HY116" t="e">
        <v>#VALUE!</v>
      </c>
      <c r="HZ116" t="e">
        <v>#VALUE!</v>
      </c>
      <c r="IA116" t="e">
        <v>#VALUE!</v>
      </c>
      <c r="IB116" t="e">
        <v>#VALUE!</v>
      </c>
      <c r="IC116" t="e">
        <v>#VALUE!</v>
      </c>
      <c r="ID116" t="e">
        <v>#VALUE!</v>
      </c>
      <c r="IE116" t="e">
        <v>#VALUE!</v>
      </c>
      <c r="IF116" t="e">
        <v>#VALUE!</v>
      </c>
      <c r="IG116" t="e">
        <v>#VALUE!</v>
      </c>
      <c r="IH116" t="e">
        <v>#VALUE!</v>
      </c>
      <c r="II116" t="e">
        <v>#VALUE!</v>
      </c>
      <c r="IJ116" t="e">
        <v>#VALUE!</v>
      </c>
      <c r="IK116" t="e">
        <v>#VALUE!</v>
      </c>
      <c r="IL116" t="e">
        <v>#VALUE!</v>
      </c>
      <c r="IM116">
        <v>0</v>
      </c>
      <c r="IN116" t="e">
        <v>#VALUE!</v>
      </c>
      <c r="IO116" t="e">
        <v>#VALUE!</v>
      </c>
      <c r="IP116" t="e">
        <v>#VALUE!</v>
      </c>
      <c r="IQ116" t="e">
        <v>#VALUE!</v>
      </c>
      <c r="IR116" t="e">
        <v>#VALUE!</v>
      </c>
      <c r="IS116" t="e">
        <v>#VALUE!</v>
      </c>
      <c r="IT116" t="e">
        <v>#VALUE!</v>
      </c>
      <c r="IU116" t="e">
        <v>#VALUE!</v>
      </c>
      <c r="IV116" t="e">
        <v>#VALUE!</v>
      </c>
    </row>
    <row r="117" spans="1:256" x14ac:dyDescent="0.25">
      <c r="A117" t="e">
        <v>#VALUE!</v>
      </c>
      <c r="B117" t="e">
        <v>#VALUE!</v>
      </c>
      <c r="C117" t="e">
        <v>#VALUE!</v>
      </c>
      <c r="D117" t="e">
        <v>#VALUE!</v>
      </c>
      <c r="E117" t="e">
        <v>#VALUE!</v>
      </c>
      <c r="F117" t="e">
        <v>#VALUE!</v>
      </c>
      <c r="G117" t="e">
        <v>#VALUE!</v>
      </c>
      <c r="H117" t="e">
        <v>#VALUE!</v>
      </c>
      <c r="I117" t="e">
        <v>#VALUE!</v>
      </c>
      <c r="J117">
        <v>0</v>
      </c>
      <c r="K117" t="e">
        <v>#VALUE!</v>
      </c>
      <c r="L117" t="e">
        <v>#VALUE!</v>
      </c>
      <c r="M117" t="e">
        <v>#VALUE!</v>
      </c>
      <c r="N117" t="e">
        <v>#VALUE!</v>
      </c>
      <c r="O117" t="e">
        <v>#VALUE!</v>
      </c>
      <c r="P117" t="e">
        <v>#VALUE!</v>
      </c>
      <c r="Q117" t="e">
        <v>#VALUE!</v>
      </c>
      <c r="R117" t="e">
        <v>#VALUE!</v>
      </c>
      <c r="S117" t="e">
        <v>#VALUE!</v>
      </c>
      <c r="T117" t="e">
        <v>#VALUE!</v>
      </c>
      <c r="U117" t="e">
        <v>#VALUE!</v>
      </c>
      <c r="V117" t="e">
        <v>#VALUE!</v>
      </c>
      <c r="W117" t="e">
        <v>#VALUE!</v>
      </c>
      <c r="X117" t="e">
        <v>#VALUE!</v>
      </c>
      <c r="Y117" t="e">
        <v>#VALUE!</v>
      </c>
      <c r="Z117" t="e">
        <v>#VALUE!</v>
      </c>
      <c r="AA117" t="e">
        <v>#VALUE!</v>
      </c>
      <c r="AB117" t="e">
        <v>#VALUE!</v>
      </c>
      <c r="AC117">
        <v>0</v>
      </c>
      <c r="AD117" t="e">
        <v>#VALUE!</v>
      </c>
      <c r="AE117" t="e">
        <v>#VALUE!</v>
      </c>
      <c r="AF117" t="e">
        <v>#VALUE!</v>
      </c>
      <c r="AG117" t="e">
        <v>#VALUE!</v>
      </c>
      <c r="AH117" t="e">
        <v>#VALUE!</v>
      </c>
      <c r="AI117" t="e">
        <v>#VALUE!</v>
      </c>
      <c r="AJ117" t="e">
        <v>#VALUE!</v>
      </c>
      <c r="AK117" t="e">
        <v>#VALUE!</v>
      </c>
      <c r="AL117" t="e">
        <v>#VALUE!</v>
      </c>
      <c r="AM117" t="e">
        <v>#VALUE!</v>
      </c>
      <c r="AN117" t="e">
        <v>#VALUE!</v>
      </c>
      <c r="AO117" t="e">
        <v>#VALUE!</v>
      </c>
      <c r="AP117" t="e">
        <v>#VALUE!</v>
      </c>
      <c r="AQ117" t="e">
        <v>#VALUE!</v>
      </c>
      <c r="AR117" t="e">
        <v>#VALUE!</v>
      </c>
      <c r="AS117" t="e">
        <v>#VALUE!</v>
      </c>
      <c r="AT117" t="e">
        <v>#VALUE!</v>
      </c>
      <c r="AU117" t="e">
        <v>#VALUE!</v>
      </c>
      <c r="AV117">
        <v>0</v>
      </c>
      <c r="AW117" t="e">
        <v>#VALUE!</v>
      </c>
      <c r="AX117" t="e">
        <v>#VALUE!</v>
      </c>
      <c r="AY117" t="e">
        <v>#VALUE!</v>
      </c>
      <c r="AZ117" t="e">
        <v>#VALUE!</v>
      </c>
      <c r="BA117" t="e">
        <v>#VALUE!</v>
      </c>
      <c r="BB117" t="e">
        <v>#VALUE!</v>
      </c>
      <c r="BC117" t="e">
        <v>#VALUE!</v>
      </c>
      <c r="BD117" t="e">
        <v>#VALUE!</v>
      </c>
      <c r="BE117" t="e">
        <v>#VALUE!</v>
      </c>
      <c r="BF117" t="e">
        <v>#VALUE!</v>
      </c>
      <c r="BG117" t="e">
        <v>#VALUE!</v>
      </c>
      <c r="BH117" t="e">
        <v>#VALUE!</v>
      </c>
      <c r="BI117" t="e">
        <v>#VALUE!</v>
      </c>
      <c r="BJ117" t="e">
        <v>#VALUE!</v>
      </c>
      <c r="BK117" t="e">
        <v>#VALUE!</v>
      </c>
      <c r="BL117" t="e">
        <v>#VALUE!</v>
      </c>
      <c r="BM117" t="e">
        <v>#VALUE!</v>
      </c>
      <c r="BN117" t="e">
        <v>#VALUE!</v>
      </c>
      <c r="BO117">
        <v>0</v>
      </c>
      <c r="BP117" t="e">
        <v>#VALUE!</v>
      </c>
      <c r="BQ117" t="e">
        <v>#VALUE!</v>
      </c>
      <c r="BR117" t="e">
        <v>#VALUE!</v>
      </c>
      <c r="BS117" t="e">
        <v>#VALUE!</v>
      </c>
      <c r="BT117" t="e">
        <v>#VALUE!</v>
      </c>
      <c r="BU117" t="e">
        <v>#VALUE!</v>
      </c>
      <c r="BV117" t="e">
        <v>#VALUE!</v>
      </c>
      <c r="BW117" t="e">
        <v>#VALUE!</v>
      </c>
      <c r="BX117" t="e">
        <v>#VALUE!</v>
      </c>
      <c r="BY117" t="e">
        <v>#VALUE!</v>
      </c>
      <c r="BZ117" t="e">
        <v>#VALUE!</v>
      </c>
      <c r="CA117" t="e">
        <v>#VALUE!</v>
      </c>
      <c r="CB117" t="e">
        <v>#VALUE!</v>
      </c>
      <c r="CC117" t="e">
        <v>#VALUE!</v>
      </c>
      <c r="CD117" t="e">
        <v>#VALUE!</v>
      </c>
      <c r="CE117" t="e">
        <v>#VALUE!</v>
      </c>
      <c r="CF117" t="e">
        <v>#VALUE!</v>
      </c>
      <c r="CG117" t="e">
        <v>#VALUE!</v>
      </c>
      <c r="CH117">
        <v>0</v>
      </c>
      <c r="CI117" t="e">
        <v>#VALUE!</v>
      </c>
      <c r="CJ117" t="e">
        <v>#VALUE!</v>
      </c>
      <c r="CK117" t="e">
        <v>#VALUE!</v>
      </c>
      <c r="CL117" t="e">
        <v>#VALUE!</v>
      </c>
      <c r="CM117" t="e">
        <v>#VALUE!</v>
      </c>
      <c r="CN117" t="e">
        <v>#VALUE!</v>
      </c>
      <c r="CO117" t="e">
        <v>#VALUE!</v>
      </c>
      <c r="CP117" t="e">
        <v>#VALUE!</v>
      </c>
      <c r="CQ117" t="e">
        <v>#VALUE!</v>
      </c>
      <c r="CR117" t="e">
        <v>#VALUE!</v>
      </c>
      <c r="CS117" t="e">
        <v>#VALUE!</v>
      </c>
      <c r="CT117" t="e">
        <v>#VALUE!</v>
      </c>
      <c r="CU117" t="e">
        <v>#VALUE!</v>
      </c>
      <c r="CV117" t="e">
        <v>#VALUE!</v>
      </c>
      <c r="CW117" t="e">
        <v>#VALUE!</v>
      </c>
      <c r="CX117" t="e">
        <v>#VALUE!</v>
      </c>
      <c r="CY117" t="e">
        <v>#VALUE!</v>
      </c>
      <c r="CZ117" t="e">
        <v>#VALUE!</v>
      </c>
      <c r="DA117">
        <v>0</v>
      </c>
      <c r="DB117" t="e">
        <v>#VALUE!</v>
      </c>
      <c r="DC117" t="e">
        <v>#VALUE!</v>
      </c>
      <c r="DD117" t="e">
        <v>#VALUE!</v>
      </c>
      <c r="DE117" t="e">
        <v>#VALUE!</v>
      </c>
      <c r="DF117" t="e">
        <v>#VALUE!</v>
      </c>
      <c r="DG117" t="e">
        <v>#VALUE!</v>
      </c>
      <c r="DH117" t="e">
        <v>#VALUE!</v>
      </c>
      <c r="DI117" t="e">
        <v>#VALUE!</v>
      </c>
      <c r="DJ117" t="e">
        <v>#VALUE!</v>
      </c>
      <c r="DK117" t="e">
        <v>#VALUE!</v>
      </c>
      <c r="DL117" t="e">
        <v>#VALUE!</v>
      </c>
      <c r="DM117" t="e">
        <v>#VALUE!</v>
      </c>
      <c r="DN117" t="e">
        <v>#VALUE!</v>
      </c>
      <c r="DO117" t="e">
        <v>#VALUE!</v>
      </c>
      <c r="DP117" t="e">
        <v>#VALUE!</v>
      </c>
      <c r="DQ117" t="e">
        <v>#VALUE!</v>
      </c>
      <c r="DR117" t="e">
        <v>#VALUE!</v>
      </c>
      <c r="DS117" t="e">
        <v>#VALUE!</v>
      </c>
      <c r="DT117">
        <v>0</v>
      </c>
      <c r="DU117" t="e">
        <v>#VALUE!</v>
      </c>
      <c r="DV117" t="e">
        <v>#VALUE!</v>
      </c>
      <c r="DW117" t="e">
        <v>#VALUE!</v>
      </c>
      <c r="DX117" t="e">
        <v>#VALUE!</v>
      </c>
      <c r="DY117" t="e">
        <v>#VALUE!</v>
      </c>
      <c r="DZ117" t="e">
        <v>#VALUE!</v>
      </c>
      <c r="EA117" t="e">
        <v>#VALUE!</v>
      </c>
      <c r="EB117" t="e">
        <v>#VALUE!</v>
      </c>
      <c r="EC117" t="e">
        <v>#VALUE!</v>
      </c>
      <c r="ED117" t="e">
        <v>#VALUE!</v>
      </c>
      <c r="EE117" t="e">
        <v>#VALUE!</v>
      </c>
      <c r="EF117" t="e">
        <v>#VALUE!</v>
      </c>
      <c r="EG117" t="e">
        <v>#VALUE!</v>
      </c>
      <c r="EH117" t="e">
        <v>#VALUE!</v>
      </c>
      <c r="EI117" t="e">
        <v>#VALUE!</v>
      </c>
      <c r="EJ117" t="e">
        <v>#VALUE!</v>
      </c>
      <c r="EK117" t="e">
        <v>#VALUE!</v>
      </c>
      <c r="EL117" t="e">
        <v>#VALUE!</v>
      </c>
      <c r="EM117">
        <v>0</v>
      </c>
      <c r="EN117" t="e">
        <v>#VALUE!</v>
      </c>
      <c r="EO117" t="e">
        <v>#VALUE!</v>
      </c>
      <c r="EP117" t="e">
        <v>#VALUE!</v>
      </c>
      <c r="EQ117" t="e">
        <v>#VALUE!</v>
      </c>
      <c r="ER117" t="e">
        <v>#VALUE!</v>
      </c>
      <c r="ES117" t="e">
        <v>#VALUE!</v>
      </c>
      <c r="ET117" t="e">
        <v>#VALUE!</v>
      </c>
      <c r="EU117" t="e">
        <v>#VALUE!</v>
      </c>
      <c r="EV117" t="e">
        <v>#VALUE!</v>
      </c>
      <c r="EW117" t="e">
        <v>#VALUE!</v>
      </c>
      <c r="EX117" t="e">
        <v>#VALUE!</v>
      </c>
      <c r="EY117" t="e">
        <v>#VALUE!</v>
      </c>
      <c r="EZ117" t="e">
        <v>#VALUE!</v>
      </c>
      <c r="FA117" t="e">
        <v>#VALUE!</v>
      </c>
      <c r="FB117" t="e">
        <v>#VALUE!</v>
      </c>
      <c r="FC117" t="e">
        <v>#VALUE!</v>
      </c>
      <c r="FD117" t="e">
        <v>#VALUE!</v>
      </c>
      <c r="FE117" t="e">
        <v>#VALUE!</v>
      </c>
      <c r="FF117">
        <v>0</v>
      </c>
      <c r="FG117" t="e">
        <v>#VALUE!</v>
      </c>
      <c r="FH117" t="e">
        <v>#VALUE!</v>
      </c>
      <c r="FI117" t="e">
        <v>#VALUE!</v>
      </c>
      <c r="FJ117" t="e">
        <v>#VALUE!</v>
      </c>
      <c r="FK117" t="e">
        <v>#VALUE!</v>
      </c>
      <c r="FL117" t="e">
        <v>#VALUE!</v>
      </c>
      <c r="FM117" t="e">
        <v>#VALUE!</v>
      </c>
      <c r="FN117" t="e">
        <v>#VALUE!</v>
      </c>
      <c r="FO117" t="e">
        <v>#VALUE!</v>
      </c>
      <c r="FP117" t="e">
        <v>#VALUE!</v>
      </c>
      <c r="FQ117" t="e">
        <v>#VALUE!</v>
      </c>
      <c r="FR117" t="e">
        <v>#VALUE!</v>
      </c>
      <c r="FS117" t="e">
        <v>#VALUE!</v>
      </c>
      <c r="FT117" t="e">
        <v>#VALUE!</v>
      </c>
      <c r="FU117" t="e">
        <v>#VALUE!</v>
      </c>
      <c r="FV117" t="e">
        <v>#VALUE!</v>
      </c>
      <c r="FW117" t="e">
        <v>#VALUE!</v>
      </c>
      <c r="FX117" t="e">
        <v>#VALUE!</v>
      </c>
      <c r="FY117">
        <v>0</v>
      </c>
      <c r="FZ117" t="e">
        <v>#VALUE!</v>
      </c>
      <c r="GA117" t="e">
        <v>#VALUE!</v>
      </c>
      <c r="GB117" t="e">
        <v>#VALUE!</v>
      </c>
      <c r="GC117" t="e">
        <v>#VALUE!</v>
      </c>
      <c r="GD117" t="e">
        <v>#VALUE!</v>
      </c>
      <c r="GE117" t="e">
        <v>#VALUE!</v>
      </c>
      <c r="GF117" t="e">
        <v>#VALUE!</v>
      </c>
      <c r="GG117" t="e">
        <v>#VALUE!</v>
      </c>
      <c r="GH117" t="e">
        <v>#VALUE!</v>
      </c>
      <c r="GI117" t="e">
        <v>#VALUE!</v>
      </c>
      <c r="GJ117" t="e">
        <v>#VALUE!</v>
      </c>
      <c r="GK117" t="e">
        <v>#VALUE!</v>
      </c>
      <c r="GL117" t="e">
        <v>#VALUE!</v>
      </c>
      <c r="GM117" t="e">
        <v>#VALUE!</v>
      </c>
      <c r="GN117" t="e">
        <v>#VALUE!</v>
      </c>
      <c r="GO117" t="e">
        <v>#VALUE!</v>
      </c>
      <c r="GP117" t="e">
        <v>#VALUE!</v>
      </c>
      <c r="GQ117" t="e">
        <v>#VALUE!</v>
      </c>
      <c r="GR117">
        <v>0</v>
      </c>
      <c r="GS117" t="e">
        <v>#VALUE!</v>
      </c>
      <c r="GT117" t="e">
        <v>#VALUE!</v>
      </c>
      <c r="GU117" t="e">
        <v>#VALUE!</v>
      </c>
      <c r="GV117" t="e">
        <v>#VALUE!</v>
      </c>
      <c r="GW117" t="e">
        <v>#VALUE!</v>
      </c>
      <c r="GX117" t="e">
        <v>#VALUE!</v>
      </c>
      <c r="GY117" t="e">
        <v>#VALUE!</v>
      </c>
      <c r="GZ117" t="e">
        <v>#VALUE!</v>
      </c>
      <c r="HA117" t="e">
        <v>#VALUE!</v>
      </c>
      <c r="HB117" t="e">
        <v>#VALUE!</v>
      </c>
      <c r="HC117" t="e">
        <v>#VALUE!</v>
      </c>
      <c r="HD117" t="e">
        <v>#VALUE!</v>
      </c>
      <c r="HE117" t="e">
        <v>#VALUE!</v>
      </c>
      <c r="HF117" t="e">
        <v>#VALUE!</v>
      </c>
      <c r="HG117" t="e">
        <v>#VALUE!</v>
      </c>
      <c r="HH117" t="e">
        <v>#VALUE!</v>
      </c>
      <c r="HI117" t="e">
        <v>#VALUE!</v>
      </c>
      <c r="HJ117" t="e">
        <v>#VALUE!</v>
      </c>
      <c r="HK117">
        <v>0</v>
      </c>
      <c r="HL117" t="e">
        <v>#VALUE!</v>
      </c>
      <c r="HM117" t="e">
        <v>#VALUE!</v>
      </c>
      <c r="HN117" t="e">
        <v>#VALUE!</v>
      </c>
      <c r="HO117" t="e">
        <v>#VALUE!</v>
      </c>
      <c r="HP117" t="e">
        <v>#VALUE!</v>
      </c>
      <c r="HQ117" t="e">
        <v>#VALUE!</v>
      </c>
      <c r="HR117" t="e">
        <v>#VALUE!</v>
      </c>
      <c r="HS117" t="e">
        <v>#VALUE!</v>
      </c>
      <c r="HT117" t="e">
        <v>#VALUE!</v>
      </c>
      <c r="HU117" t="e">
        <v>#VALUE!</v>
      </c>
      <c r="HV117" t="e">
        <v>#VALUE!</v>
      </c>
      <c r="HW117" t="e">
        <v>#VALUE!</v>
      </c>
      <c r="HX117" t="e">
        <v>#VALUE!</v>
      </c>
      <c r="HY117" t="e">
        <v>#VALUE!</v>
      </c>
      <c r="HZ117" t="e">
        <v>#VALUE!</v>
      </c>
      <c r="IA117" t="e">
        <v>#VALUE!</v>
      </c>
      <c r="IB117" t="e">
        <v>#VALUE!</v>
      </c>
      <c r="IC117" t="e">
        <v>#VALUE!</v>
      </c>
      <c r="ID117">
        <v>0</v>
      </c>
      <c r="IE117" t="e">
        <v>#VALUE!</v>
      </c>
      <c r="IF117" t="e">
        <v>#VALUE!</v>
      </c>
      <c r="IG117" t="e">
        <v>#VALUE!</v>
      </c>
      <c r="IH117" t="e">
        <v>#VALUE!</v>
      </c>
      <c r="II117" t="e">
        <v>#VALUE!</v>
      </c>
      <c r="IJ117" t="e">
        <v>#VALUE!</v>
      </c>
      <c r="IK117" t="e">
        <v>#VALUE!</v>
      </c>
      <c r="IL117" t="e">
        <v>#VALUE!</v>
      </c>
      <c r="IM117" t="e">
        <v>#VALUE!</v>
      </c>
      <c r="IN117" t="e">
        <v>#VALUE!</v>
      </c>
      <c r="IO117" t="e">
        <v>#VALUE!</v>
      </c>
      <c r="IP117" t="e">
        <v>#VALUE!</v>
      </c>
      <c r="IQ117" t="e">
        <v>#VALUE!</v>
      </c>
      <c r="IR117" t="e">
        <v>#VALUE!</v>
      </c>
      <c r="IS117" t="e">
        <v>#VALUE!</v>
      </c>
      <c r="IT117" t="e">
        <v>#VALUE!</v>
      </c>
      <c r="IU117" t="e">
        <v>#VALUE!</v>
      </c>
      <c r="IV117" t="e">
        <v>#VALUE!</v>
      </c>
    </row>
    <row r="118" spans="1:256" x14ac:dyDescent="0.25">
      <c r="A118">
        <v>0</v>
      </c>
      <c r="B118" t="e">
        <v>#VALUE!</v>
      </c>
      <c r="C118" t="e">
        <v>#VALUE!</v>
      </c>
      <c r="D118" t="e">
        <v>#VALUE!</v>
      </c>
      <c r="E118" t="e">
        <v>#VALUE!</v>
      </c>
      <c r="F118" t="e">
        <v>#VALUE!</v>
      </c>
      <c r="G118" t="e">
        <v>#VALUE!</v>
      </c>
      <c r="H118" t="e">
        <v>#VALUE!</v>
      </c>
      <c r="I118" t="e">
        <v>#VALUE!</v>
      </c>
      <c r="J118" t="e">
        <v>#VALUE!</v>
      </c>
      <c r="K118" t="e">
        <v>#VALUE!</v>
      </c>
      <c r="L118" t="e">
        <v>#VALUE!</v>
      </c>
      <c r="M118" t="e">
        <v>#VALUE!</v>
      </c>
      <c r="N118" t="e">
        <v>#VALUE!</v>
      </c>
      <c r="O118" t="e">
        <v>#VALUE!</v>
      </c>
      <c r="P118" t="e">
        <v>#VALUE!</v>
      </c>
      <c r="Q118" t="e">
        <v>#VALUE!</v>
      </c>
      <c r="R118" t="e">
        <v>#VALUE!</v>
      </c>
      <c r="S118" t="e">
        <v>#VALUE!</v>
      </c>
      <c r="T118">
        <v>0</v>
      </c>
      <c r="U118" t="e">
        <v>#VALUE!</v>
      </c>
      <c r="V118" t="e">
        <v>#VALUE!</v>
      </c>
      <c r="W118" t="e">
        <v>#VALUE!</v>
      </c>
      <c r="X118" t="e">
        <v>#VALUE!</v>
      </c>
      <c r="Y118" t="e">
        <v>#VALUE!</v>
      </c>
      <c r="Z118" t="e">
        <v>#VALUE!</v>
      </c>
      <c r="AA118" t="e">
        <v>#VALUE!</v>
      </c>
      <c r="AB118" t="e">
        <v>#VALUE!</v>
      </c>
      <c r="AC118" t="e">
        <v>#VALUE!</v>
      </c>
      <c r="AD118" t="e">
        <v>#VALUE!</v>
      </c>
      <c r="AE118" t="e">
        <v>#VALUE!</v>
      </c>
      <c r="AF118" t="e">
        <v>#VALUE!</v>
      </c>
      <c r="AG118" t="e">
        <v>#VALUE!</v>
      </c>
      <c r="AH118" t="e">
        <v>#VALUE!</v>
      </c>
      <c r="AI118" t="e">
        <v>#VALUE!</v>
      </c>
      <c r="AJ118" t="e">
        <v>#VALUE!</v>
      </c>
      <c r="AK118" t="e">
        <v>#VALUE!</v>
      </c>
      <c r="AL118" t="e">
        <v>#VALUE!</v>
      </c>
      <c r="AM118">
        <v>0</v>
      </c>
      <c r="AN118" t="e">
        <v>#VALUE!</v>
      </c>
      <c r="AO118" t="e">
        <v>#VALUE!</v>
      </c>
      <c r="AP118" t="e">
        <v>#VALUE!</v>
      </c>
      <c r="AQ118" t="e">
        <v>#VALUE!</v>
      </c>
      <c r="AR118" t="e">
        <v>#VALUE!</v>
      </c>
      <c r="AS118" t="e">
        <v>#VALUE!</v>
      </c>
      <c r="AT118" t="e">
        <v>#VALUE!</v>
      </c>
      <c r="AU118" t="e">
        <v>#VALUE!</v>
      </c>
      <c r="AV118" t="e">
        <v>#VALUE!</v>
      </c>
      <c r="AW118" t="e">
        <v>#VALUE!</v>
      </c>
      <c r="AX118" t="e">
        <v>#VALUE!</v>
      </c>
      <c r="AY118" t="e">
        <v>#VALUE!</v>
      </c>
      <c r="AZ118" t="e">
        <v>#VALUE!</v>
      </c>
      <c r="BA118" t="e">
        <v>#VALUE!</v>
      </c>
      <c r="BB118" t="e">
        <v>#VALUE!</v>
      </c>
      <c r="BC118" t="e">
        <v>#VALUE!</v>
      </c>
      <c r="BD118" t="e">
        <v>#VALUE!</v>
      </c>
      <c r="BE118" t="e">
        <v>#VALUE!</v>
      </c>
      <c r="BF118">
        <v>0</v>
      </c>
      <c r="BG118" t="e">
        <v>#VALUE!</v>
      </c>
      <c r="BH118" t="e">
        <v>#VALUE!</v>
      </c>
      <c r="BI118" t="e">
        <v>#VALUE!</v>
      </c>
      <c r="BJ118" t="e">
        <v>#VALUE!</v>
      </c>
      <c r="BK118" t="e">
        <v>#VALUE!</v>
      </c>
      <c r="BL118" t="e">
        <v>#VALUE!</v>
      </c>
      <c r="BM118" t="e">
        <v>#VALUE!</v>
      </c>
      <c r="BN118" t="e">
        <v>#VALUE!</v>
      </c>
      <c r="BO118" t="e">
        <v>#VALUE!</v>
      </c>
      <c r="BP118" t="e">
        <v>#VALUE!</v>
      </c>
      <c r="BQ118" t="e">
        <v>#VALUE!</v>
      </c>
      <c r="BR118" t="e">
        <v>#VALUE!</v>
      </c>
      <c r="BS118" t="e">
        <v>#VALUE!</v>
      </c>
      <c r="BT118" t="e">
        <v>#VALUE!</v>
      </c>
      <c r="BU118" t="e">
        <v>#VALUE!</v>
      </c>
      <c r="BV118" t="e">
        <v>#VALUE!</v>
      </c>
      <c r="BW118" t="e">
        <v>#VALUE!</v>
      </c>
      <c r="BX118" t="e">
        <v>#VALUE!</v>
      </c>
      <c r="BY118">
        <v>0</v>
      </c>
      <c r="BZ118" t="e">
        <v>#VALUE!</v>
      </c>
      <c r="CA118" t="e">
        <v>#VALUE!</v>
      </c>
      <c r="CB118" t="e">
        <v>#VALUE!</v>
      </c>
      <c r="CC118" t="e">
        <v>#VALUE!</v>
      </c>
      <c r="CD118" t="e">
        <v>#VALUE!</v>
      </c>
      <c r="CE118" t="e">
        <v>#VALUE!</v>
      </c>
      <c r="CF118" t="e">
        <v>#VALUE!</v>
      </c>
      <c r="CG118" t="e">
        <v>#VALUE!</v>
      </c>
      <c r="CH118" t="e">
        <v>#VALUE!</v>
      </c>
      <c r="CI118" t="e">
        <v>#VALUE!</v>
      </c>
      <c r="CJ118" t="e">
        <v>#VALUE!</v>
      </c>
      <c r="CK118" t="e">
        <v>#VALUE!</v>
      </c>
      <c r="CL118" t="e">
        <v>#VALUE!</v>
      </c>
      <c r="CM118" t="e">
        <v>#VALUE!</v>
      </c>
      <c r="CN118" t="e">
        <v>#VALUE!</v>
      </c>
      <c r="CO118" t="e">
        <v>#VALUE!</v>
      </c>
      <c r="CP118" t="e">
        <v>#VALUE!</v>
      </c>
      <c r="CQ118" t="e">
        <v>#VALUE!</v>
      </c>
      <c r="CR118">
        <v>0</v>
      </c>
      <c r="CS118" t="e">
        <v>#VALUE!</v>
      </c>
      <c r="CT118" t="e">
        <v>#VALUE!</v>
      </c>
      <c r="CU118" t="e">
        <v>#VALUE!</v>
      </c>
      <c r="CV118" t="e">
        <v>#VALUE!</v>
      </c>
      <c r="CW118" t="e">
        <v>#VALUE!</v>
      </c>
      <c r="CX118" t="e">
        <v>#VALUE!</v>
      </c>
      <c r="CY118" t="e">
        <v>#VALUE!</v>
      </c>
      <c r="CZ118" t="e">
        <v>#VALUE!</v>
      </c>
      <c r="DA118" t="e">
        <v>#VALUE!</v>
      </c>
      <c r="DB118" t="e">
        <v>#VALUE!</v>
      </c>
      <c r="DC118" t="e">
        <v>#VALUE!</v>
      </c>
      <c r="DD118" t="e">
        <v>#VALUE!</v>
      </c>
      <c r="DE118" t="e">
        <v>#VALUE!</v>
      </c>
      <c r="DF118" t="e">
        <v>#VALUE!</v>
      </c>
      <c r="DG118" t="e">
        <v>#VALUE!</v>
      </c>
      <c r="DH118" t="e">
        <v>#VALUE!</v>
      </c>
      <c r="DI118" t="e">
        <v>#VALUE!</v>
      </c>
      <c r="DJ118" t="e">
        <v>#VALUE!</v>
      </c>
      <c r="DK118">
        <v>0</v>
      </c>
      <c r="DL118" t="e">
        <v>#VALUE!</v>
      </c>
      <c r="DM118" t="e">
        <v>#VALUE!</v>
      </c>
      <c r="DN118" t="e">
        <v>#VALUE!</v>
      </c>
      <c r="DO118" t="e">
        <v>#VALUE!</v>
      </c>
      <c r="DP118" t="e">
        <v>#VALUE!</v>
      </c>
      <c r="DQ118" t="e">
        <v>#VALUE!</v>
      </c>
      <c r="DR118" t="e">
        <v>#VALUE!</v>
      </c>
      <c r="DS118" t="e">
        <v>#VALUE!</v>
      </c>
      <c r="DT118" t="e">
        <v>#VALUE!</v>
      </c>
      <c r="DU118" t="e">
        <v>#VALUE!</v>
      </c>
      <c r="DV118" t="e">
        <v>#VALUE!</v>
      </c>
      <c r="DW118" t="e">
        <v>#VALUE!</v>
      </c>
      <c r="DX118" t="e">
        <v>#VALUE!</v>
      </c>
      <c r="DY118" t="e">
        <v>#VALUE!</v>
      </c>
      <c r="DZ118" t="e">
        <v>#VALUE!</v>
      </c>
      <c r="EA118" t="e">
        <v>#VALUE!</v>
      </c>
      <c r="EB118" t="e">
        <v>#VALUE!</v>
      </c>
      <c r="EC118" t="e">
        <v>#VALUE!</v>
      </c>
      <c r="ED118">
        <v>0</v>
      </c>
      <c r="EE118" t="e">
        <v>#VALUE!</v>
      </c>
      <c r="EF118" t="e">
        <v>#VALUE!</v>
      </c>
      <c r="EG118" t="e">
        <v>#VALUE!</v>
      </c>
      <c r="EH118" t="e">
        <v>#VALUE!</v>
      </c>
      <c r="EI118" t="e">
        <v>#VALUE!</v>
      </c>
      <c r="EJ118" t="e">
        <v>#VALUE!</v>
      </c>
      <c r="EK118" t="e">
        <v>#VALUE!</v>
      </c>
      <c r="EL118" t="e">
        <v>#VALUE!</v>
      </c>
      <c r="EM118" t="e">
        <v>#VALUE!</v>
      </c>
      <c r="EN118" t="e">
        <v>#VALUE!</v>
      </c>
      <c r="EO118" t="e">
        <v>#VALUE!</v>
      </c>
      <c r="EP118" t="e">
        <v>#VALUE!</v>
      </c>
      <c r="EQ118" t="e">
        <v>#VALUE!</v>
      </c>
      <c r="ER118" t="e">
        <v>#VALUE!</v>
      </c>
      <c r="ES118" t="e">
        <v>#VALUE!</v>
      </c>
      <c r="ET118" t="e">
        <v>#VALUE!</v>
      </c>
      <c r="EU118" t="e">
        <v>#VALUE!</v>
      </c>
      <c r="EV118" t="e">
        <v>#VALUE!</v>
      </c>
      <c r="EW118">
        <v>0</v>
      </c>
      <c r="EX118" t="e">
        <v>#VALUE!</v>
      </c>
      <c r="EY118" t="e">
        <v>#VALUE!</v>
      </c>
      <c r="EZ118" t="e">
        <v>#VALUE!</v>
      </c>
      <c r="FA118" t="e">
        <v>#VALUE!</v>
      </c>
      <c r="FB118" t="e">
        <v>#VALUE!</v>
      </c>
      <c r="FC118" t="e">
        <v>#VALUE!</v>
      </c>
      <c r="FD118" t="e">
        <v>#VALUE!</v>
      </c>
      <c r="FE118" t="e">
        <v>#VALUE!</v>
      </c>
      <c r="FF118" t="e">
        <v>#VALUE!</v>
      </c>
      <c r="FG118" t="e">
        <v>#VALUE!</v>
      </c>
      <c r="FH118" t="e">
        <v>#VALUE!</v>
      </c>
      <c r="FI118" t="e">
        <v>#VALUE!</v>
      </c>
      <c r="FJ118" t="e">
        <v>#VALUE!</v>
      </c>
      <c r="FK118" t="e">
        <v>#VALUE!</v>
      </c>
      <c r="FL118" t="e">
        <v>#VALUE!</v>
      </c>
      <c r="FM118" t="e">
        <v>#VALUE!</v>
      </c>
      <c r="FN118" t="e">
        <v>#VALUE!</v>
      </c>
      <c r="FO118" t="e">
        <v>#VALUE!</v>
      </c>
      <c r="FP118">
        <v>0</v>
      </c>
      <c r="FQ118" t="e">
        <v>#VALUE!</v>
      </c>
      <c r="FR118" t="e">
        <v>#VALUE!</v>
      </c>
      <c r="FS118" t="e">
        <v>#VALUE!</v>
      </c>
      <c r="FT118" t="e">
        <v>#VALUE!</v>
      </c>
      <c r="FU118" t="e">
        <v>#VALUE!</v>
      </c>
      <c r="FV118" t="e">
        <v>#VALUE!</v>
      </c>
      <c r="FW118" t="e">
        <v>#VALUE!</v>
      </c>
      <c r="FX118" t="e">
        <v>#VALUE!</v>
      </c>
      <c r="FY118" t="e">
        <v>#VALUE!</v>
      </c>
      <c r="FZ118" t="e">
        <v>#VALUE!</v>
      </c>
      <c r="GA118" t="e">
        <v>#VALUE!</v>
      </c>
      <c r="GB118" t="e">
        <v>#VALUE!</v>
      </c>
      <c r="GC118" t="e">
        <v>#VALUE!</v>
      </c>
      <c r="GD118" t="e">
        <v>#VALUE!</v>
      </c>
      <c r="GE118" t="e">
        <v>#VALUE!</v>
      </c>
      <c r="GF118" t="e">
        <v>#VALUE!</v>
      </c>
      <c r="GG118" t="e">
        <v>#VALUE!</v>
      </c>
      <c r="GH118" t="e">
        <v>#VALUE!</v>
      </c>
      <c r="GI118">
        <v>0</v>
      </c>
      <c r="GJ118" t="e">
        <v>#VALUE!</v>
      </c>
      <c r="GK118" t="e">
        <v>#VALUE!</v>
      </c>
      <c r="GL118" t="e">
        <v>#VALUE!</v>
      </c>
      <c r="GM118" t="e">
        <v>#VALUE!</v>
      </c>
      <c r="GN118" t="e">
        <v>#VALUE!</v>
      </c>
      <c r="GO118" t="e">
        <v>#VALUE!</v>
      </c>
      <c r="GP118" t="e">
        <v>#VALUE!</v>
      </c>
      <c r="GQ118" t="e">
        <v>#VALUE!</v>
      </c>
      <c r="GR118" t="e">
        <v>#VALUE!</v>
      </c>
      <c r="GS118" t="e">
        <v>#VALUE!</v>
      </c>
      <c r="GT118" t="e">
        <v>#VALUE!</v>
      </c>
      <c r="GU118" t="e">
        <v>#VALUE!</v>
      </c>
      <c r="GV118" t="e">
        <v>#VALUE!</v>
      </c>
      <c r="GW118" t="e">
        <v>#VALUE!</v>
      </c>
      <c r="GX118" t="e">
        <v>#VALUE!</v>
      </c>
      <c r="GY118" t="e">
        <v>#VALUE!</v>
      </c>
      <c r="GZ118" t="e">
        <v>#VALUE!</v>
      </c>
      <c r="HA118" t="e">
        <v>#VALUE!</v>
      </c>
      <c r="HB118">
        <v>0</v>
      </c>
      <c r="HC118" t="e">
        <v>#VALUE!</v>
      </c>
      <c r="HD118" t="e">
        <v>#VALUE!</v>
      </c>
      <c r="HE118" t="e">
        <v>#VALUE!</v>
      </c>
      <c r="HF118" t="e">
        <v>#VALUE!</v>
      </c>
      <c r="HG118" t="e">
        <v>#VALUE!</v>
      </c>
      <c r="HH118" t="e">
        <v>#VALUE!</v>
      </c>
      <c r="HI118" t="e">
        <v>#VALUE!</v>
      </c>
      <c r="HJ118" t="e">
        <v>#VALUE!</v>
      </c>
      <c r="HK118" t="e">
        <v>#VALUE!</v>
      </c>
      <c r="HL118" t="e">
        <v>#VALUE!</v>
      </c>
      <c r="HM118" t="e">
        <v>#VALUE!</v>
      </c>
      <c r="HN118" t="e">
        <v>#VALUE!</v>
      </c>
      <c r="HO118" t="e">
        <v>#VALUE!</v>
      </c>
      <c r="HP118" t="e">
        <v>#VALUE!</v>
      </c>
      <c r="HQ118" t="e">
        <v>#VALUE!</v>
      </c>
      <c r="HR118" t="e">
        <v>#VALUE!</v>
      </c>
      <c r="HS118" t="e">
        <v>#VALUE!</v>
      </c>
      <c r="HT118" t="e">
        <v>#VALUE!</v>
      </c>
      <c r="HU118">
        <v>0</v>
      </c>
      <c r="HV118" t="e">
        <v>#VALUE!</v>
      </c>
      <c r="HW118" t="e">
        <v>#VALUE!</v>
      </c>
      <c r="HX118" t="e">
        <v>#VALUE!</v>
      </c>
      <c r="HY118" t="e">
        <v>#VALUE!</v>
      </c>
      <c r="HZ118" t="e">
        <v>#VALUE!</v>
      </c>
      <c r="IA118" t="e">
        <v>#VALUE!</v>
      </c>
      <c r="IB118" t="e">
        <v>#VALUE!</v>
      </c>
      <c r="IC118" t="e">
        <v>#VALUE!</v>
      </c>
      <c r="ID118" t="e">
        <v>#VALUE!</v>
      </c>
      <c r="IE118" t="e">
        <v>#VALUE!</v>
      </c>
      <c r="IF118" t="e">
        <v>#VALUE!</v>
      </c>
      <c r="IG118" t="e">
        <v>#VALUE!</v>
      </c>
      <c r="IH118" t="e">
        <v>#VALUE!</v>
      </c>
      <c r="II118" t="e">
        <v>#VALUE!</v>
      </c>
      <c r="IJ118" t="e">
        <v>#VALUE!</v>
      </c>
      <c r="IK118" t="e">
        <v>#VALUE!</v>
      </c>
      <c r="IL118" t="e">
        <v>#VALUE!</v>
      </c>
      <c r="IM118" t="e">
        <v>#VALUE!</v>
      </c>
      <c r="IN118">
        <v>0</v>
      </c>
      <c r="IO118" t="e">
        <v>#VALUE!</v>
      </c>
      <c r="IP118" t="e">
        <v>#VALUE!</v>
      </c>
      <c r="IQ118" t="e">
        <v>#VALUE!</v>
      </c>
      <c r="IR118" t="e">
        <v>#VALUE!</v>
      </c>
      <c r="IS118" t="e">
        <v>#VALUE!</v>
      </c>
      <c r="IT118" t="e">
        <v>#VALUE!</v>
      </c>
      <c r="IU118" t="e">
        <v>#VALUE!</v>
      </c>
      <c r="IV118" t="e">
        <v>#VALUE!</v>
      </c>
    </row>
    <row r="119" spans="1:256" x14ac:dyDescent="0.25">
      <c r="A119" t="e">
        <v>#VALUE!</v>
      </c>
      <c r="B119" t="e">
        <v>#VALUE!</v>
      </c>
      <c r="C119" t="e">
        <v>#VALUE!</v>
      </c>
      <c r="D119" t="e">
        <v>#VALUE!</v>
      </c>
      <c r="E119" t="e">
        <v>#VALUE!</v>
      </c>
      <c r="F119" t="e">
        <v>#VALUE!</v>
      </c>
      <c r="G119" t="e">
        <v>#VALUE!</v>
      </c>
      <c r="H119" t="e">
        <v>#VALUE!</v>
      </c>
      <c r="I119" t="e">
        <v>#VALUE!</v>
      </c>
      <c r="J119" t="e">
        <v>#VALUE!</v>
      </c>
      <c r="K119">
        <v>0</v>
      </c>
      <c r="L119" t="e">
        <v>#VALUE!</v>
      </c>
      <c r="M119" t="e">
        <v>#VALUE!</v>
      </c>
      <c r="N119" t="e">
        <v>#VALUE!</v>
      </c>
      <c r="O119" t="e">
        <v>#VALUE!</v>
      </c>
      <c r="P119" t="e">
        <v>#VALUE!</v>
      </c>
      <c r="Q119" t="e">
        <v>#VALUE!</v>
      </c>
      <c r="R119" t="e">
        <v>#VALUE!</v>
      </c>
      <c r="S119" t="e">
        <v>#VALUE!</v>
      </c>
      <c r="T119" t="e">
        <v>#VALUE!</v>
      </c>
      <c r="U119" t="e">
        <v>#VALUE!</v>
      </c>
      <c r="V119" t="e">
        <v>#VALUE!</v>
      </c>
      <c r="W119" t="e">
        <v>#VALUE!</v>
      </c>
      <c r="X119" t="e">
        <v>#VALUE!</v>
      </c>
      <c r="Y119" t="e">
        <v>#VALUE!</v>
      </c>
      <c r="Z119" t="e">
        <v>#VALUE!</v>
      </c>
      <c r="AA119" t="e">
        <v>#VALUE!</v>
      </c>
      <c r="AB119" t="e">
        <v>#VALUE!</v>
      </c>
      <c r="AC119" t="e">
        <v>#VALUE!</v>
      </c>
      <c r="AD119">
        <v>0</v>
      </c>
      <c r="AE119" t="e">
        <v>#VALUE!</v>
      </c>
      <c r="AF119" t="e">
        <v>#VALUE!</v>
      </c>
      <c r="AG119" t="e">
        <v>#VALUE!</v>
      </c>
      <c r="AH119" t="e">
        <v>#VALUE!</v>
      </c>
      <c r="AI119" t="e">
        <v>#VALUE!</v>
      </c>
      <c r="AJ119" t="e">
        <v>#VALUE!</v>
      </c>
      <c r="AK119" t="e">
        <v>#VALUE!</v>
      </c>
      <c r="AL119" t="e">
        <v>#VALUE!</v>
      </c>
      <c r="AM119" t="e">
        <v>#VALUE!</v>
      </c>
      <c r="AN119" t="e">
        <v>#VALUE!</v>
      </c>
      <c r="AO119" t="e">
        <v>#VALUE!</v>
      </c>
      <c r="AP119" t="e">
        <v>#VALUE!</v>
      </c>
      <c r="AQ119" t="e">
        <v>#VALUE!</v>
      </c>
      <c r="AR119" t="e">
        <v>#VALUE!</v>
      </c>
      <c r="AS119" t="e">
        <v>#VALUE!</v>
      </c>
      <c r="AT119" t="e">
        <v>#VALUE!</v>
      </c>
      <c r="AU119" t="e">
        <v>#VALUE!</v>
      </c>
      <c r="AV119" t="e">
        <v>#VALUE!</v>
      </c>
      <c r="AW119">
        <v>0</v>
      </c>
      <c r="AX119" t="e">
        <v>#VALUE!</v>
      </c>
      <c r="AY119" t="e">
        <v>#VALUE!</v>
      </c>
      <c r="AZ119" t="e">
        <v>#VALUE!</v>
      </c>
      <c r="BA119" t="e">
        <v>#VALUE!</v>
      </c>
      <c r="BB119" t="e">
        <v>#VALUE!</v>
      </c>
      <c r="BC119" t="e">
        <v>#VALUE!</v>
      </c>
      <c r="BD119" t="e">
        <v>#VALUE!</v>
      </c>
      <c r="BE119" t="e">
        <v>#VALUE!</v>
      </c>
      <c r="BF119" t="e">
        <v>#VALUE!</v>
      </c>
      <c r="BG119" t="e">
        <v>#VALUE!</v>
      </c>
      <c r="BH119" t="e">
        <v>#VALUE!</v>
      </c>
      <c r="BI119" t="e">
        <v>#VALUE!</v>
      </c>
      <c r="BJ119" t="e">
        <v>#VALUE!</v>
      </c>
      <c r="BK119" t="e">
        <v>#VALUE!</v>
      </c>
      <c r="BL119" t="e">
        <v>#VALUE!</v>
      </c>
      <c r="BM119" t="e">
        <v>#VALUE!</v>
      </c>
      <c r="BN119" t="e">
        <v>#VALUE!</v>
      </c>
      <c r="BO119" t="e">
        <v>#VALUE!</v>
      </c>
      <c r="BP119">
        <v>0</v>
      </c>
      <c r="BQ119" t="e">
        <v>#VALUE!</v>
      </c>
      <c r="BR119" t="e">
        <v>#VALUE!</v>
      </c>
      <c r="BS119" t="e">
        <v>#VALUE!</v>
      </c>
      <c r="BT119" t="e">
        <v>#VALUE!</v>
      </c>
      <c r="BU119" t="e">
        <v>#VALUE!</v>
      </c>
      <c r="BV119" t="e">
        <v>#VALUE!</v>
      </c>
      <c r="BW119" t="e">
        <v>#VALUE!</v>
      </c>
      <c r="BX119" t="e">
        <v>#VALUE!</v>
      </c>
      <c r="BY119" t="e">
        <v>#VALUE!</v>
      </c>
      <c r="BZ119" t="e">
        <v>#VALUE!</v>
      </c>
      <c r="CA119" t="e">
        <v>#VALUE!</v>
      </c>
      <c r="CB119" t="e">
        <v>#VALUE!</v>
      </c>
      <c r="CC119" t="e">
        <v>#VALUE!</v>
      </c>
      <c r="CD119" t="e">
        <v>#VALUE!</v>
      </c>
      <c r="CE119" t="e">
        <v>#VALUE!</v>
      </c>
      <c r="CF119" t="e">
        <v>#VALUE!</v>
      </c>
      <c r="CG119" t="e">
        <v>#VALUE!</v>
      </c>
      <c r="CH119" t="e">
        <v>#VALUE!</v>
      </c>
      <c r="CI119">
        <v>0</v>
      </c>
      <c r="CJ119" t="e">
        <v>#VALUE!</v>
      </c>
      <c r="CK119" t="e">
        <v>#VALUE!</v>
      </c>
      <c r="CL119" t="e">
        <v>#VALUE!</v>
      </c>
      <c r="CM119" t="e">
        <v>#VALUE!</v>
      </c>
      <c r="CN119" t="e">
        <v>#VALUE!</v>
      </c>
      <c r="CO119" t="e">
        <v>#VALUE!</v>
      </c>
      <c r="CP119" t="e">
        <v>#VALUE!</v>
      </c>
      <c r="CQ119" t="e">
        <v>#VALUE!</v>
      </c>
      <c r="CR119" t="e">
        <v>#VALUE!</v>
      </c>
      <c r="CS119" t="e">
        <v>#VALUE!</v>
      </c>
      <c r="CT119" t="e">
        <v>#VALUE!</v>
      </c>
      <c r="CU119" t="e">
        <v>#VALUE!</v>
      </c>
      <c r="CV119" t="e">
        <v>#VALUE!</v>
      </c>
      <c r="CW119" t="e">
        <v>#VALUE!</v>
      </c>
      <c r="CX119" t="e">
        <v>#VALUE!</v>
      </c>
      <c r="CY119" t="e">
        <v>#VALUE!</v>
      </c>
      <c r="CZ119" t="e">
        <v>#VALUE!</v>
      </c>
      <c r="DA119" t="e">
        <v>#VALUE!</v>
      </c>
      <c r="DB119">
        <v>0</v>
      </c>
      <c r="DC119" t="e">
        <v>#VALUE!</v>
      </c>
      <c r="DD119" t="e">
        <v>#VALUE!</v>
      </c>
      <c r="DE119" t="e">
        <v>#VALUE!</v>
      </c>
      <c r="DF119" t="e">
        <v>#VALUE!</v>
      </c>
      <c r="DG119" t="e">
        <v>#VALUE!</v>
      </c>
      <c r="DH119" t="e">
        <v>#VALUE!</v>
      </c>
      <c r="DI119" t="e">
        <v>#VALUE!</v>
      </c>
      <c r="DJ119" t="e">
        <v>#VALUE!</v>
      </c>
      <c r="DK119" t="e">
        <v>#VALUE!</v>
      </c>
      <c r="DL119" t="e">
        <v>#VALUE!</v>
      </c>
      <c r="DM119" t="e">
        <v>#VALUE!</v>
      </c>
      <c r="DN119" t="e">
        <v>#VALUE!</v>
      </c>
      <c r="DO119" t="e">
        <v>#VALUE!</v>
      </c>
      <c r="DP119" t="e">
        <v>#VALUE!</v>
      </c>
      <c r="DQ119" t="e">
        <v>#VALUE!</v>
      </c>
      <c r="DR119" t="e">
        <v>#VALUE!</v>
      </c>
      <c r="DS119" t="e">
        <v>#VALUE!</v>
      </c>
      <c r="DT119" t="e">
        <v>#VALUE!</v>
      </c>
      <c r="DU119">
        <v>0</v>
      </c>
      <c r="DV119" t="e">
        <v>#VALUE!</v>
      </c>
      <c r="DW119" t="e">
        <v>#VALUE!</v>
      </c>
      <c r="DX119" t="e">
        <v>#VALUE!</v>
      </c>
      <c r="DY119" t="e">
        <v>#VALUE!</v>
      </c>
      <c r="DZ119" t="e">
        <v>#VALUE!</v>
      </c>
      <c r="EA119" t="e">
        <v>#VALUE!</v>
      </c>
      <c r="EB119" t="e">
        <v>#VALUE!</v>
      </c>
      <c r="EC119" t="e">
        <v>#VALUE!</v>
      </c>
      <c r="ED119" t="e">
        <v>#VALUE!</v>
      </c>
      <c r="EE119" t="e">
        <v>#VALUE!</v>
      </c>
      <c r="EF119" t="e">
        <v>#VALUE!</v>
      </c>
      <c r="EG119" t="e">
        <v>#VALUE!</v>
      </c>
      <c r="EH119" t="e">
        <v>#VALUE!</v>
      </c>
      <c r="EI119" t="e">
        <v>#VALUE!</v>
      </c>
      <c r="EJ119" t="e">
        <v>#VALUE!</v>
      </c>
      <c r="EK119" t="e">
        <v>#VALUE!</v>
      </c>
      <c r="EL119" t="e">
        <v>#VALUE!</v>
      </c>
      <c r="EM119" t="e">
        <v>#VALUE!</v>
      </c>
      <c r="EN119">
        <v>0</v>
      </c>
      <c r="EO119" t="e">
        <v>#VALUE!</v>
      </c>
      <c r="EP119" t="e">
        <v>#VALUE!</v>
      </c>
      <c r="EQ119" t="e">
        <v>#VALUE!</v>
      </c>
      <c r="ER119" t="e">
        <v>#VALUE!</v>
      </c>
      <c r="ES119" t="e">
        <v>#VALUE!</v>
      </c>
      <c r="ET119" t="e">
        <v>#VALUE!</v>
      </c>
      <c r="EU119" t="e">
        <v>#VALUE!</v>
      </c>
      <c r="EV119" t="e">
        <v>#VALUE!</v>
      </c>
      <c r="EW119" t="e">
        <v>#VALUE!</v>
      </c>
      <c r="EX119" t="e">
        <v>#VALUE!</v>
      </c>
      <c r="EY119" t="e">
        <v>#VALUE!</v>
      </c>
      <c r="EZ119" t="e">
        <v>#VALUE!</v>
      </c>
      <c r="FA119" t="e">
        <v>#VALUE!</v>
      </c>
      <c r="FB119" t="e">
        <v>#VALUE!</v>
      </c>
      <c r="FC119" t="e">
        <v>#VALUE!</v>
      </c>
      <c r="FD119" t="e">
        <v>#VALUE!</v>
      </c>
      <c r="FE119" t="e">
        <v>#VALUE!</v>
      </c>
      <c r="FF119" t="e">
        <v>#VALUE!</v>
      </c>
      <c r="FG119">
        <v>0</v>
      </c>
      <c r="FH119" t="e">
        <v>#VALUE!</v>
      </c>
      <c r="FI119" t="e">
        <v>#VALUE!</v>
      </c>
      <c r="FJ119" t="e">
        <v>#VALUE!</v>
      </c>
      <c r="FK119" t="e">
        <v>#VALUE!</v>
      </c>
      <c r="FL119" t="e">
        <v>#VALUE!</v>
      </c>
      <c r="FM119" t="e">
        <v>#VALUE!</v>
      </c>
      <c r="FN119" t="e">
        <v>#VALUE!</v>
      </c>
      <c r="FO119" t="e">
        <v>#VALUE!</v>
      </c>
      <c r="FP119" t="e">
        <v>#VALUE!</v>
      </c>
      <c r="FQ119" t="e">
        <v>#VALUE!</v>
      </c>
      <c r="FR119" t="e">
        <v>#VALUE!</v>
      </c>
      <c r="FS119" t="e">
        <v>#VALUE!</v>
      </c>
      <c r="FT119" t="e">
        <v>#VALUE!</v>
      </c>
      <c r="FU119" t="e">
        <v>#VALUE!</v>
      </c>
      <c r="FV119" t="e">
        <v>#VALUE!</v>
      </c>
      <c r="FW119" t="e">
        <v>#VALUE!</v>
      </c>
      <c r="FX119" t="e">
        <v>#VALUE!</v>
      </c>
      <c r="FY119" t="e">
        <v>#VALUE!</v>
      </c>
      <c r="FZ119">
        <v>0</v>
      </c>
      <c r="GA119" t="e">
        <v>#VALUE!</v>
      </c>
      <c r="GB119" t="e">
        <v>#VALUE!</v>
      </c>
      <c r="GC119" t="e">
        <v>#VALUE!</v>
      </c>
      <c r="GD119" t="e">
        <v>#VALUE!</v>
      </c>
      <c r="GE119" t="e">
        <v>#VALUE!</v>
      </c>
      <c r="GF119" t="e">
        <v>#VALUE!</v>
      </c>
      <c r="GG119" t="e">
        <v>#VALUE!</v>
      </c>
      <c r="GH119" t="e">
        <v>#VALUE!</v>
      </c>
      <c r="GI119" t="e">
        <v>#VALUE!</v>
      </c>
      <c r="GJ119" t="e">
        <v>#VALUE!</v>
      </c>
      <c r="GK119" t="e">
        <v>#VALUE!</v>
      </c>
      <c r="GL119" t="e">
        <v>#VALUE!</v>
      </c>
      <c r="GM119" t="e">
        <v>#VALUE!</v>
      </c>
      <c r="GN119" t="e">
        <v>#VALUE!</v>
      </c>
      <c r="GO119" t="e">
        <v>#VALUE!</v>
      </c>
      <c r="GP119" t="e">
        <v>#VALUE!</v>
      </c>
      <c r="GQ119" t="e">
        <v>#VALUE!</v>
      </c>
      <c r="GR119" t="e">
        <v>#VALUE!</v>
      </c>
      <c r="GS119">
        <v>0</v>
      </c>
      <c r="GT119" t="e">
        <v>#VALUE!</v>
      </c>
      <c r="GU119" t="e">
        <v>#VALUE!</v>
      </c>
      <c r="GV119" t="e">
        <v>#VALUE!</v>
      </c>
      <c r="GW119" t="e">
        <v>#VALUE!</v>
      </c>
      <c r="GX119" t="e">
        <v>#VALUE!</v>
      </c>
      <c r="GY119" t="e">
        <v>#VALUE!</v>
      </c>
      <c r="GZ119" t="e">
        <v>#VALUE!</v>
      </c>
      <c r="HA119" t="e">
        <v>#VALUE!</v>
      </c>
      <c r="HB119" t="e">
        <v>#VALUE!</v>
      </c>
      <c r="HC119" t="e">
        <v>#VALUE!</v>
      </c>
      <c r="HD119" t="e">
        <v>#VALUE!</v>
      </c>
      <c r="HE119" t="e">
        <v>#VALUE!</v>
      </c>
      <c r="HF119" t="e">
        <v>#VALUE!</v>
      </c>
      <c r="HG119" t="e">
        <v>#VALUE!</v>
      </c>
      <c r="HH119" t="e">
        <v>#VALUE!</v>
      </c>
      <c r="HI119" t="e">
        <v>#VALUE!</v>
      </c>
      <c r="HJ119" t="e">
        <v>#VALUE!</v>
      </c>
      <c r="HK119" t="e">
        <v>#VALUE!</v>
      </c>
      <c r="HL119">
        <v>0</v>
      </c>
      <c r="HM119" t="e">
        <v>#VALUE!</v>
      </c>
      <c r="HN119" t="e">
        <v>#VALUE!</v>
      </c>
      <c r="HO119" t="e">
        <v>#VALUE!</v>
      </c>
      <c r="HP119" t="e">
        <v>#VALUE!</v>
      </c>
      <c r="HQ119" t="e">
        <v>#VALUE!</v>
      </c>
      <c r="HR119" t="e">
        <v>#VALUE!</v>
      </c>
      <c r="HS119" t="e">
        <v>#VALUE!</v>
      </c>
      <c r="HT119" t="e">
        <v>#VALUE!</v>
      </c>
      <c r="HU119" t="e">
        <v>#VALUE!</v>
      </c>
      <c r="HV119" t="e">
        <v>#VALUE!</v>
      </c>
      <c r="HW119" t="e">
        <v>#VALUE!</v>
      </c>
      <c r="HX119" t="e">
        <v>#VALUE!</v>
      </c>
      <c r="HY119" t="e">
        <v>#VALUE!</v>
      </c>
      <c r="HZ119" t="e">
        <v>#VALUE!</v>
      </c>
      <c r="IA119" t="e">
        <v>#VALUE!</v>
      </c>
      <c r="IB119" t="e">
        <v>#VALUE!</v>
      </c>
      <c r="IC119" t="e">
        <v>#VALUE!</v>
      </c>
      <c r="ID119" t="e">
        <v>#VALUE!</v>
      </c>
      <c r="IE119">
        <v>0</v>
      </c>
      <c r="IF119" t="e">
        <v>#VALUE!</v>
      </c>
      <c r="IG119" t="e">
        <v>#VALUE!</v>
      </c>
      <c r="IH119" t="e">
        <v>#VALUE!</v>
      </c>
      <c r="II119" t="e">
        <v>#VALUE!</v>
      </c>
      <c r="IJ119" t="e">
        <v>#VALUE!</v>
      </c>
      <c r="IK119" t="e">
        <v>#VALUE!</v>
      </c>
      <c r="IL119" t="e">
        <v>#VALUE!</v>
      </c>
      <c r="IM119" t="e">
        <v>#VALUE!</v>
      </c>
      <c r="IN119" t="e">
        <v>#VALUE!</v>
      </c>
      <c r="IO119" t="e">
        <v>#VALUE!</v>
      </c>
      <c r="IP119" t="e">
        <v>#VALUE!</v>
      </c>
      <c r="IQ119" t="e">
        <v>#VALUE!</v>
      </c>
      <c r="IR119" t="e">
        <v>#VALUE!</v>
      </c>
      <c r="IS119" t="e">
        <v>#VALUE!</v>
      </c>
      <c r="IT119" t="e">
        <v>#VALUE!</v>
      </c>
      <c r="IU119" t="e">
        <v>#VALUE!</v>
      </c>
      <c r="IV119" t="e">
        <v>#VALUE!</v>
      </c>
    </row>
    <row r="120" spans="1:256" x14ac:dyDescent="0.25">
      <c r="A120" t="e">
        <v>#VALUE!</v>
      </c>
      <c r="B120">
        <v>0</v>
      </c>
      <c r="C120" t="e">
        <v>#VALUE!</v>
      </c>
      <c r="D120" t="e">
        <v>#VALUE!</v>
      </c>
      <c r="E120" t="e">
        <v>#VALUE!</v>
      </c>
      <c r="F120" t="e">
        <v>#VALUE!</v>
      </c>
      <c r="G120" t="e">
        <v>#VALUE!</v>
      </c>
      <c r="H120" t="e">
        <v>#VALUE!</v>
      </c>
      <c r="I120" t="e">
        <v>#VALUE!</v>
      </c>
      <c r="J120" t="e">
        <v>#VALUE!</v>
      </c>
      <c r="K120" t="e">
        <v>#VALUE!</v>
      </c>
      <c r="L120" t="e">
        <v>#VALUE!</v>
      </c>
      <c r="M120" t="e">
        <v>#VALUE!</v>
      </c>
      <c r="N120" t="e">
        <v>#VALUE!</v>
      </c>
      <c r="O120" t="e">
        <v>#VALUE!</v>
      </c>
      <c r="P120" t="e">
        <v>#VALUE!</v>
      </c>
      <c r="Q120" t="e">
        <v>#VALUE!</v>
      </c>
      <c r="R120" t="e">
        <v>#VALUE!</v>
      </c>
      <c r="S120" t="e">
        <v>#VALUE!</v>
      </c>
      <c r="T120" t="e">
        <v>#VALUE!</v>
      </c>
      <c r="U120">
        <v>0</v>
      </c>
      <c r="V120" t="e">
        <v>#VALUE!</v>
      </c>
      <c r="W120" t="e">
        <v>#VALUE!</v>
      </c>
      <c r="X120" t="e">
        <v>#VALUE!</v>
      </c>
      <c r="Y120" t="e">
        <v>#VALUE!</v>
      </c>
      <c r="Z120" t="e">
        <v>#VALUE!</v>
      </c>
      <c r="AA120" t="e">
        <v>#VALUE!</v>
      </c>
      <c r="AB120" t="e">
        <v>#VALUE!</v>
      </c>
      <c r="AC120" t="e">
        <v>#VALUE!</v>
      </c>
      <c r="AD120" t="e">
        <v>#VALUE!</v>
      </c>
      <c r="AE120" t="e">
        <v>#VALUE!</v>
      </c>
      <c r="AF120" t="e">
        <v>#VALUE!</v>
      </c>
      <c r="AG120" t="e">
        <v>#VALUE!</v>
      </c>
      <c r="AH120" t="e">
        <v>#VALUE!</v>
      </c>
      <c r="AI120" t="e">
        <v>#VALUE!</v>
      </c>
      <c r="AJ120" t="e">
        <v>#VALUE!</v>
      </c>
      <c r="AK120" t="e">
        <v>#VALUE!</v>
      </c>
      <c r="AL120" t="e">
        <v>#VALUE!</v>
      </c>
      <c r="AM120" t="e">
        <v>#VALUE!</v>
      </c>
      <c r="AN120">
        <v>0</v>
      </c>
      <c r="AO120" t="e">
        <v>#VALUE!</v>
      </c>
      <c r="AP120" t="e">
        <v>#VALUE!</v>
      </c>
      <c r="AQ120" t="e">
        <v>#VALUE!</v>
      </c>
      <c r="AR120" t="e">
        <v>#VALUE!</v>
      </c>
      <c r="AS120" t="e">
        <v>#VALUE!</v>
      </c>
      <c r="AT120" t="e">
        <v>#VALUE!</v>
      </c>
      <c r="AU120" t="e">
        <v>#VALUE!</v>
      </c>
      <c r="AV120" t="e">
        <v>#VALUE!</v>
      </c>
      <c r="AW120" t="e">
        <v>#VALUE!</v>
      </c>
      <c r="AX120" t="e">
        <v>#VALUE!</v>
      </c>
      <c r="AY120" t="e">
        <v>#VALUE!</v>
      </c>
      <c r="AZ120" t="e">
        <v>#VALUE!</v>
      </c>
      <c r="BA120" t="e">
        <v>#VALUE!</v>
      </c>
      <c r="BB120" t="e">
        <v>#VALUE!</v>
      </c>
      <c r="BC120" t="e">
        <v>#VALUE!</v>
      </c>
      <c r="BD120" t="e">
        <v>#VALUE!</v>
      </c>
      <c r="BE120" t="e">
        <v>#VALUE!</v>
      </c>
      <c r="BF120" t="e">
        <v>#VALUE!</v>
      </c>
      <c r="BG120">
        <v>0</v>
      </c>
      <c r="BH120" t="e">
        <v>#VALUE!</v>
      </c>
      <c r="BI120" t="e">
        <v>#VALUE!</v>
      </c>
      <c r="BJ120" t="e">
        <v>#VALUE!</v>
      </c>
      <c r="BK120" t="e">
        <v>#VALUE!</v>
      </c>
      <c r="BL120" t="e">
        <v>#VALUE!</v>
      </c>
      <c r="BM120" t="e">
        <v>#VALUE!</v>
      </c>
      <c r="BN120" t="e">
        <v>#VALUE!</v>
      </c>
      <c r="BO120" t="e">
        <v>#VALUE!</v>
      </c>
      <c r="BP120" t="e">
        <v>#VALUE!</v>
      </c>
      <c r="BQ120" t="e">
        <v>#VALUE!</v>
      </c>
      <c r="BR120" t="e">
        <v>#VALUE!</v>
      </c>
      <c r="BS120" t="e">
        <v>#VALUE!</v>
      </c>
      <c r="BT120" t="e">
        <v>#VALUE!</v>
      </c>
      <c r="BU120" t="e">
        <v>#VALUE!</v>
      </c>
      <c r="BV120" t="e">
        <v>#VALUE!</v>
      </c>
      <c r="BW120" t="e">
        <v>#VALUE!</v>
      </c>
      <c r="BX120" t="e">
        <v>#VALUE!</v>
      </c>
      <c r="BY120" t="e">
        <v>#VALUE!</v>
      </c>
      <c r="BZ120">
        <v>0</v>
      </c>
      <c r="CA120" t="e">
        <v>#VALUE!</v>
      </c>
      <c r="CB120" t="e">
        <v>#VALUE!</v>
      </c>
      <c r="CC120" t="e">
        <v>#VALUE!</v>
      </c>
      <c r="CD120" t="e">
        <v>#VALUE!</v>
      </c>
      <c r="CE120" t="e">
        <v>#VALUE!</v>
      </c>
      <c r="CF120" t="e">
        <v>#VALUE!</v>
      </c>
      <c r="CG120" t="e">
        <v>#VALUE!</v>
      </c>
      <c r="CH120" t="e">
        <v>#VALUE!</v>
      </c>
      <c r="CI120" t="e">
        <v>#VALUE!</v>
      </c>
      <c r="CJ120" t="e">
        <v>#VALUE!</v>
      </c>
      <c r="CK120" t="e">
        <v>#VALUE!</v>
      </c>
      <c r="CL120" t="e">
        <v>#VALUE!</v>
      </c>
      <c r="CM120" t="e">
        <v>#VALUE!</v>
      </c>
      <c r="CN120" t="e">
        <v>#VALUE!</v>
      </c>
      <c r="CO120" t="e">
        <v>#VALUE!</v>
      </c>
      <c r="CP120" t="e">
        <v>#VALUE!</v>
      </c>
      <c r="CQ120" t="e">
        <v>#VALUE!</v>
      </c>
      <c r="CR120" t="e">
        <v>#VALUE!</v>
      </c>
      <c r="CS120">
        <v>0</v>
      </c>
      <c r="CT120" t="e">
        <v>#VALUE!</v>
      </c>
      <c r="CU120" t="e">
        <v>#VALUE!</v>
      </c>
      <c r="CV120" t="e">
        <v>#VALUE!</v>
      </c>
      <c r="CW120" t="e">
        <v>#VALUE!</v>
      </c>
      <c r="CX120" t="e">
        <v>#VALUE!</v>
      </c>
      <c r="CY120" t="e">
        <v>#VALUE!</v>
      </c>
      <c r="CZ120" t="e">
        <v>#VALUE!</v>
      </c>
      <c r="DA120" t="e">
        <v>#VALUE!</v>
      </c>
      <c r="DB120" t="e">
        <v>#VALUE!</v>
      </c>
      <c r="DC120" t="e">
        <v>#VALUE!</v>
      </c>
      <c r="DD120" t="e">
        <v>#VALUE!</v>
      </c>
      <c r="DE120" t="e">
        <v>#VALUE!</v>
      </c>
      <c r="DF120" t="e">
        <v>#VALUE!</v>
      </c>
      <c r="DG120" t="e">
        <v>#VALUE!</v>
      </c>
      <c r="DH120" t="e">
        <v>#VALUE!</v>
      </c>
      <c r="DI120" t="e">
        <v>#VALUE!</v>
      </c>
      <c r="DJ120" t="e">
        <v>#VALUE!</v>
      </c>
      <c r="DK120" t="e">
        <v>#VALUE!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 t="e">
        <v>#VALUE!</v>
      </c>
      <c r="EF120" t="e">
        <v>#VALUE!</v>
      </c>
      <c r="EG120" t="e">
        <v>#VALUE!</v>
      </c>
      <c r="EH120" t="e">
        <v>#VALUE!</v>
      </c>
      <c r="EI120" t="e">
        <v>#VALUE!</v>
      </c>
      <c r="EJ120" t="e">
        <v>#VALUE!</v>
      </c>
      <c r="EK120" t="e">
        <v>#VALUE!</v>
      </c>
      <c r="EL120" t="e">
        <v>#VALUE!</v>
      </c>
      <c r="EM120" t="e">
        <v>#VALUE!</v>
      </c>
      <c r="EN120" t="e">
        <v>#VALUE!</v>
      </c>
      <c r="EO120" t="e">
        <v>#VALUE!</v>
      </c>
      <c r="EP120" t="e">
        <v>#VALUE!</v>
      </c>
      <c r="EQ120" t="e">
        <v>#VALUE!</v>
      </c>
      <c r="ER120" t="e">
        <v>#VALUE!</v>
      </c>
      <c r="ES120" t="e">
        <v>#VALUE!</v>
      </c>
      <c r="ET120" t="e">
        <v>#VALUE!</v>
      </c>
      <c r="EU120" t="e">
        <v>#VALUE!</v>
      </c>
      <c r="EV120" t="e">
        <v>#VALUE!</v>
      </c>
      <c r="EW120">
        <v>0</v>
      </c>
      <c r="EX120" t="e">
        <v>#VALUE!</v>
      </c>
      <c r="EY120" t="e">
        <v>#VALUE!</v>
      </c>
      <c r="EZ120" t="e">
        <v>#VALUE!</v>
      </c>
      <c r="FA120" t="e">
        <v>#VALUE!</v>
      </c>
      <c r="FB120" t="e">
        <v>#VALUE!</v>
      </c>
      <c r="FC120" t="e">
        <v>#VALUE!</v>
      </c>
      <c r="FD120" t="e">
        <v>#VALUE!</v>
      </c>
      <c r="FE120" t="e">
        <v>#VALUE!</v>
      </c>
      <c r="FF120" t="e">
        <v>#VALUE!</v>
      </c>
      <c r="FG120" t="e">
        <v>#VALUE!</v>
      </c>
      <c r="FH120" t="e">
        <v>#VALUE!</v>
      </c>
      <c r="FI120" t="e">
        <v>#VALUE!</v>
      </c>
      <c r="FJ120" t="e">
        <v>#VALUE!</v>
      </c>
      <c r="FK120" t="e">
        <v>#VALUE!</v>
      </c>
      <c r="FL120" t="e">
        <v>#VALUE!</v>
      </c>
      <c r="FM120" t="e">
        <v>#VALUE!</v>
      </c>
      <c r="FN120" t="e">
        <v>#VALUE!</v>
      </c>
      <c r="FO120" t="e">
        <v>#VALUE!</v>
      </c>
      <c r="FP120">
        <v>0</v>
      </c>
      <c r="FQ120" t="e">
        <v>#VALUE!</v>
      </c>
      <c r="FR120" t="e">
        <v>#VALUE!</v>
      </c>
      <c r="FS120" t="e">
        <v>#VALUE!</v>
      </c>
      <c r="FT120" t="e">
        <v>#VALUE!</v>
      </c>
      <c r="FU120" t="e">
        <v>#VALUE!</v>
      </c>
      <c r="FV120" t="e">
        <v>#VALUE!</v>
      </c>
      <c r="FW120" t="e">
        <v>#VALUE!</v>
      </c>
      <c r="FX120" t="e">
        <v>#VALUE!</v>
      </c>
      <c r="FY120" t="e">
        <v>#VALUE!</v>
      </c>
      <c r="FZ120" t="e">
        <v>#VALUE!</v>
      </c>
      <c r="GA120" t="e">
        <v>#VALUE!</v>
      </c>
      <c r="GB120" t="e">
        <v>#VALUE!</v>
      </c>
      <c r="GC120" t="e">
        <v>#VALUE!</v>
      </c>
      <c r="GD120" t="e">
        <v>#VALUE!</v>
      </c>
      <c r="GE120" t="e">
        <v>#VALUE!</v>
      </c>
      <c r="GF120" t="e">
        <v>#VALUE!</v>
      </c>
      <c r="GG120" t="e">
        <v>#VALUE!</v>
      </c>
      <c r="GH120" t="e">
        <v>#VALUE!</v>
      </c>
      <c r="GI120">
        <v>0</v>
      </c>
      <c r="GJ120" t="e">
        <v>#VALUE!</v>
      </c>
      <c r="GK120" t="e">
        <v>#VALUE!</v>
      </c>
      <c r="GL120" t="e">
        <v>#VALUE!</v>
      </c>
      <c r="GM120" t="e">
        <v>#VALUE!</v>
      </c>
      <c r="GN120" t="e">
        <v>#VALUE!</v>
      </c>
      <c r="GO120" t="e">
        <v>#VALUE!</v>
      </c>
      <c r="GP120" t="e">
        <v>#VALUE!</v>
      </c>
      <c r="GQ120" t="e">
        <v>#VALUE!</v>
      </c>
      <c r="GR120" t="e">
        <v>#VALUE!</v>
      </c>
      <c r="GS120" t="e">
        <v>#VALUE!</v>
      </c>
      <c r="GT120" t="e">
        <v>#VALUE!</v>
      </c>
      <c r="GU120" t="e">
        <v>#VALUE!</v>
      </c>
      <c r="GV120" t="e">
        <v>#VALUE!</v>
      </c>
      <c r="GW120" t="e">
        <v>#VALUE!</v>
      </c>
      <c r="GX120" t="e">
        <v>#VALUE!</v>
      </c>
      <c r="GY120" t="e">
        <v>#VALUE!</v>
      </c>
      <c r="GZ120" t="e">
        <v>#VALUE!</v>
      </c>
      <c r="HA120" t="e">
        <v>#VALUE!</v>
      </c>
      <c r="HB120">
        <v>0</v>
      </c>
      <c r="HC120" t="e">
        <v>#VALUE!</v>
      </c>
      <c r="HD120" t="e">
        <v>#VALUE!</v>
      </c>
      <c r="HE120" t="e">
        <v>#VALUE!</v>
      </c>
      <c r="HF120" t="e">
        <v>#VALUE!</v>
      </c>
      <c r="HG120" t="e">
        <v>#VALUE!</v>
      </c>
      <c r="HH120" t="e">
        <v>#VALUE!</v>
      </c>
      <c r="HI120" t="e">
        <v>#VALUE!</v>
      </c>
      <c r="HJ120" t="e">
        <v>#VALUE!</v>
      </c>
      <c r="HK120" t="e">
        <v>#VALUE!</v>
      </c>
      <c r="HL120" t="e">
        <v>#VALUE!</v>
      </c>
      <c r="HM120" t="e">
        <v>#VALUE!</v>
      </c>
      <c r="HN120" t="e">
        <v>#VALUE!</v>
      </c>
      <c r="HO120" t="e">
        <v>#VALUE!</v>
      </c>
      <c r="HP120" t="e">
        <v>#VALUE!</v>
      </c>
      <c r="HQ120" t="e">
        <v>#VALUE!</v>
      </c>
      <c r="HR120" t="e">
        <v>#VALUE!</v>
      </c>
      <c r="HS120" t="e">
        <v>#VALUE!</v>
      </c>
      <c r="HT120" t="e">
        <v>#VALUE!</v>
      </c>
      <c r="HU120">
        <v>0</v>
      </c>
      <c r="HV120" t="e">
        <v>#VALUE!</v>
      </c>
      <c r="HW120" t="e">
        <v>#VALUE!</v>
      </c>
      <c r="HX120" t="e">
        <v>#VALUE!</v>
      </c>
      <c r="HY120" t="e">
        <v>#VALUE!</v>
      </c>
      <c r="HZ120" t="e">
        <v>#VALUE!</v>
      </c>
      <c r="IA120" t="e">
        <v>#VALUE!</v>
      </c>
      <c r="IB120" t="e">
        <v>#VALUE!</v>
      </c>
      <c r="IC120" t="e">
        <v>#VALUE!</v>
      </c>
      <c r="ID120" t="e">
        <v>#VALUE!</v>
      </c>
      <c r="IE120" t="e">
        <v>#VALUE!</v>
      </c>
      <c r="IF120" t="e">
        <v>#VALUE!</v>
      </c>
      <c r="IG120" t="e">
        <v>#VALUE!</v>
      </c>
      <c r="IH120" t="e">
        <v>#VALUE!</v>
      </c>
      <c r="II120" t="e">
        <v>#VALUE!</v>
      </c>
      <c r="IJ120" t="e">
        <v>#VALUE!</v>
      </c>
      <c r="IK120" t="e">
        <v>#VALUE!</v>
      </c>
      <c r="IL120" t="e">
        <v>#VALUE!</v>
      </c>
      <c r="IM120" t="e">
        <v>#VALUE!</v>
      </c>
      <c r="IN120">
        <v>0</v>
      </c>
      <c r="IO120" t="e">
        <v>#VALUE!</v>
      </c>
      <c r="IP120" t="e">
        <v>#VALUE!</v>
      </c>
      <c r="IQ120" t="e">
        <v>#VALUE!</v>
      </c>
      <c r="IR120" t="e">
        <v>#VALUE!</v>
      </c>
      <c r="IS120" t="e">
        <v>#VALUE!</v>
      </c>
      <c r="IT120" t="e">
        <v>#VALUE!</v>
      </c>
      <c r="IU120" t="e">
        <v>#VALUE!</v>
      </c>
      <c r="IV120" t="e">
        <v>#VALUE!</v>
      </c>
    </row>
    <row r="121" spans="1:256" x14ac:dyDescent="0.25">
      <c r="A121" t="e">
        <v>#VALUE!</v>
      </c>
      <c r="B121" t="e">
        <v>#VALUE!</v>
      </c>
      <c r="C121" t="e">
        <v>#VALUE!</v>
      </c>
      <c r="D121" t="e">
        <v>#VALUE!</v>
      </c>
      <c r="E121" t="e">
        <v>#VALUE!</v>
      </c>
      <c r="F121" t="e">
        <v>#VALUE!</v>
      </c>
      <c r="G121" t="e">
        <v>#VALUE!</v>
      </c>
      <c r="H121" t="e">
        <v>#VALUE!</v>
      </c>
      <c r="I121" t="e">
        <v>#VALUE!</v>
      </c>
      <c r="J121" t="e">
        <v>#VALUE!</v>
      </c>
      <c r="K121">
        <v>0</v>
      </c>
      <c r="L121" t="e">
        <v>#VALUE!</v>
      </c>
      <c r="M121" t="e">
        <v>#VALUE!</v>
      </c>
      <c r="N121" t="e">
        <v>#VALUE!</v>
      </c>
      <c r="O121" t="e">
        <v>#VALUE!</v>
      </c>
      <c r="P121" t="e">
        <v>#VALUE!</v>
      </c>
      <c r="Q121" t="e">
        <v>#VALUE!</v>
      </c>
      <c r="R121" t="e">
        <v>#VALUE!</v>
      </c>
      <c r="S121" t="e">
        <v>#VALUE!</v>
      </c>
      <c r="T121" t="e">
        <v>#VALUE!</v>
      </c>
      <c r="U121" t="e">
        <v>#VALUE!</v>
      </c>
      <c r="V121" t="e">
        <v>#VALUE!</v>
      </c>
      <c r="W121" t="e">
        <v>#VALUE!</v>
      </c>
      <c r="X121" t="e">
        <v>#VALUE!</v>
      </c>
      <c r="Y121" t="e">
        <v>#VALUE!</v>
      </c>
      <c r="Z121" t="e">
        <v>#VALUE!</v>
      </c>
      <c r="AA121" t="e">
        <v>#VALUE!</v>
      </c>
      <c r="AB121" t="e">
        <v>#VALUE!</v>
      </c>
      <c r="AC121" t="e">
        <v>#VALUE!</v>
      </c>
      <c r="AD121">
        <v>0</v>
      </c>
      <c r="AE121" t="e">
        <v>#VALUE!</v>
      </c>
      <c r="AF121" t="e">
        <v>#VALUE!</v>
      </c>
      <c r="AG121" t="e">
        <v>#VALUE!</v>
      </c>
      <c r="AH121" t="e">
        <v>#VALUE!</v>
      </c>
      <c r="AI121" t="e">
        <v>#VALUE!</v>
      </c>
      <c r="AJ121" t="e">
        <v>#VALUE!</v>
      </c>
      <c r="AK121" t="e">
        <v>#VALUE!</v>
      </c>
      <c r="AL121" t="e">
        <v>#VALUE!</v>
      </c>
      <c r="AM121" t="e">
        <v>#VALUE!</v>
      </c>
      <c r="AN121" t="e">
        <v>#VALUE!</v>
      </c>
      <c r="AO121" t="e">
        <v>#VALUE!</v>
      </c>
      <c r="AP121" t="e">
        <v>#VALUE!</v>
      </c>
      <c r="AQ121" t="e">
        <v>#VALUE!</v>
      </c>
      <c r="AR121" t="e">
        <v>#VALUE!</v>
      </c>
      <c r="AS121" t="e">
        <v>#VALUE!</v>
      </c>
      <c r="AT121" t="e">
        <v>#VALUE!</v>
      </c>
      <c r="AU121" t="e">
        <v>#VALUE!</v>
      </c>
      <c r="AV121" t="e">
        <v>#VALUE!</v>
      </c>
      <c r="AW121">
        <v>0</v>
      </c>
      <c r="AX121" t="e">
        <v>#VALUE!</v>
      </c>
      <c r="AY121" t="e">
        <v>#VALUE!</v>
      </c>
      <c r="AZ121" t="e">
        <v>#VALUE!</v>
      </c>
      <c r="BA121" t="e">
        <v>#VALUE!</v>
      </c>
      <c r="BB121" t="e">
        <v>#VALUE!</v>
      </c>
      <c r="BC121" t="e">
        <v>#VALUE!</v>
      </c>
      <c r="BD121" t="e">
        <v>#VALUE!</v>
      </c>
      <c r="BE121" t="e">
        <v>#VALUE!</v>
      </c>
      <c r="BF121" t="e">
        <v>#VALUE!</v>
      </c>
      <c r="BG121" t="e">
        <v>#VALUE!</v>
      </c>
      <c r="BH121" t="e">
        <v>#VALUE!</v>
      </c>
      <c r="BI121" t="e">
        <v>#VALUE!</v>
      </c>
      <c r="BJ121" t="e">
        <v>#VALUE!</v>
      </c>
      <c r="BK121" t="e">
        <v>#VALUE!</v>
      </c>
      <c r="BL121" t="e">
        <v>#VALUE!</v>
      </c>
      <c r="BM121" t="e">
        <v>#VALUE!</v>
      </c>
      <c r="BN121" t="e">
        <v>#VALUE!</v>
      </c>
      <c r="BO121" t="e">
        <v>#VALUE!</v>
      </c>
      <c r="BP121">
        <v>0</v>
      </c>
      <c r="BQ121" t="e">
        <v>#VALUE!</v>
      </c>
      <c r="BR121" t="e">
        <v>#VALUE!</v>
      </c>
      <c r="BS121" t="e">
        <v>#VALUE!</v>
      </c>
      <c r="BT121" t="e">
        <v>#VALUE!</v>
      </c>
      <c r="BU121" t="e">
        <v>#VALUE!</v>
      </c>
      <c r="BV121" t="e">
        <v>#VALUE!</v>
      </c>
      <c r="BW121" t="e">
        <v>#VALUE!</v>
      </c>
      <c r="BX121" t="e">
        <v>#VALUE!</v>
      </c>
      <c r="BY121" t="e">
        <v>#VALUE!</v>
      </c>
      <c r="BZ121" t="e">
        <v>#VALUE!</v>
      </c>
      <c r="CA121" t="e">
        <v>#VALUE!</v>
      </c>
      <c r="CB121" t="e">
        <v>#VALUE!</v>
      </c>
      <c r="CC121" t="e">
        <v>#VALUE!</v>
      </c>
      <c r="CD121" t="e">
        <v>#VALUE!</v>
      </c>
      <c r="CE121" t="e">
        <v>#VALUE!</v>
      </c>
      <c r="CF121" t="e">
        <v>#VALUE!</v>
      </c>
      <c r="CG121" t="e">
        <v>#VALUE!</v>
      </c>
      <c r="CH121" t="e">
        <v>#VALUE!</v>
      </c>
      <c r="CI121">
        <v>0</v>
      </c>
      <c r="CJ121" t="e">
        <v>#VALUE!</v>
      </c>
      <c r="CK121" t="e">
        <v>#VALUE!</v>
      </c>
      <c r="CL121" t="e">
        <v>#VALUE!</v>
      </c>
      <c r="CM121" t="e">
        <v>#VALUE!</v>
      </c>
      <c r="CN121" t="e">
        <v>#VALUE!</v>
      </c>
      <c r="CO121" t="e">
        <v>#VALUE!</v>
      </c>
      <c r="CP121" t="e">
        <v>#VALUE!</v>
      </c>
      <c r="CQ121" t="e">
        <v>#VALUE!</v>
      </c>
      <c r="CR121" t="e">
        <v>#VALUE!</v>
      </c>
      <c r="CS121" t="e">
        <v>#VALUE!</v>
      </c>
      <c r="CT121" t="e">
        <v>#VALUE!</v>
      </c>
      <c r="CU121" t="e">
        <v>#VALUE!</v>
      </c>
      <c r="CV121" t="e">
        <v>#VALUE!</v>
      </c>
      <c r="CW121" t="e">
        <v>#VALUE!</v>
      </c>
      <c r="CX121" t="e">
        <v>#VALUE!</v>
      </c>
      <c r="CY121" t="e">
        <v>#VALUE!</v>
      </c>
      <c r="CZ121" t="e">
        <v>#VALUE!</v>
      </c>
      <c r="DA121" t="e">
        <v>#VALUE!</v>
      </c>
      <c r="DB121">
        <v>0</v>
      </c>
      <c r="DC121" t="e">
        <v>#VALUE!</v>
      </c>
      <c r="DD121" t="e">
        <v>#VALUE!</v>
      </c>
      <c r="DE121" t="e">
        <v>#VALUE!</v>
      </c>
      <c r="DF121" t="e">
        <v>#VALUE!</v>
      </c>
      <c r="DG121" t="e">
        <v>#VALUE!</v>
      </c>
      <c r="DH121" t="e">
        <v>#VALUE!</v>
      </c>
      <c r="DI121" t="e">
        <v>#VALUE!</v>
      </c>
      <c r="DJ121" t="e">
        <v>#VALUE!</v>
      </c>
      <c r="DK121" t="e">
        <v>#VALUE!</v>
      </c>
      <c r="DL121" t="e">
        <v>#VALUE!</v>
      </c>
      <c r="DM121" t="e">
        <v>#VALUE!</v>
      </c>
      <c r="DN121" t="e">
        <v>#VALUE!</v>
      </c>
      <c r="DO121" t="e">
        <v>#VALUE!</v>
      </c>
      <c r="DP121" t="e">
        <v>#VALUE!</v>
      </c>
      <c r="DQ121" t="e">
        <v>#VALUE!</v>
      </c>
      <c r="DR121" t="e">
        <v>#VALUE!</v>
      </c>
      <c r="DS121" t="e">
        <v>#VALUE!</v>
      </c>
      <c r="DT121" t="e">
        <v>#VALUE!</v>
      </c>
      <c r="DU121">
        <v>0</v>
      </c>
      <c r="DV121" t="e">
        <v>#VALUE!</v>
      </c>
      <c r="DW121" t="e">
        <v>#VALUE!</v>
      </c>
      <c r="DX121" t="e">
        <v>#VALUE!</v>
      </c>
      <c r="DY121" t="e">
        <v>#VALUE!</v>
      </c>
      <c r="DZ121" t="e">
        <v>#VALUE!</v>
      </c>
      <c r="EA121" t="e">
        <v>#VALUE!</v>
      </c>
      <c r="EB121" t="e">
        <v>#VALUE!</v>
      </c>
      <c r="EC121" t="e">
        <v>#VALUE!</v>
      </c>
      <c r="ED121" t="e">
        <v>#VALUE!</v>
      </c>
      <c r="EE121" t="e">
        <v>#VALUE!</v>
      </c>
      <c r="EF121" t="e">
        <v>#VALUE!</v>
      </c>
      <c r="EG121" t="e">
        <v>#VALUE!</v>
      </c>
      <c r="EH121" t="e">
        <v>#VALUE!</v>
      </c>
      <c r="EI121" t="e">
        <v>#VALUE!</v>
      </c>
      <c r="EJ121" t="e">
        <v>#VALUE!</v>
      </c>
      <c r="EK121" t="e">
        <v>#VALUE!</v>
      </c>
      <c r="EL121" t="e">
        <v>#VALUE!</v>
      </c>
      <c r="EM121" t="e">
        <v>#VALUE!</v>
      </c>
      <c r="EN121">
        <v>0</v>
      </c>
      <c r="EO121" t="e">
        <v>#VALUE!</v>
      </c>
      <c r="EP121" t="e">
        <v>#VALUE!</v>
      </c>
      <c r="EQ121" t="e">
        <v>#VALUE!</v>
      </c>
      <c r="ER121" t="e">
        <v>#VALUE!</v>
      </c>
      <c r="ES121" t="e">
        <v>#VALUE!</v>
      </c>
      <c r="ET121" t="e">
        <v>#VALUE!</v>
      </c>
      <c r="EU121" t="e">
        <v>#VALUE!</v>
      </c>
      <c r="EV121" t="e">
        <v>#VALUE!</v>
      </c>
      <c r="EW121" t="e">
        <v>#VALUE!</v>
      </c>
      <c r="EX121" t="e">
        <v>#VALUE!</v>
      </c>
      <c r="EY121" t="e">
        <v>#VALUE!</v>
      </c>
      <c r="EZ121" t="e">
        <v>#VALUE!</v>
      </c>
      <c r="FA121" t="e">
        <v>#VALUE!</v>
      </c>
      <c r="FB121" t="e">
        <v>#VALUE!</v>
      </c>
      <c r="FC121" t="e">
        <v>#VALUE!</v>
      </c>
      <c r="FD121" t="e">
        <v>#VALUE!</v>
      </c>
      <c r="FE121" t="e">
        <v>#VALUE!</v>
      </c>
      <c r="FF121" t="e">
        <v>#VALUE!</v>
      </c>
      <c r="FG121">
        <v>0</v>
      </c>
      <c r="FH121" t="e">
        <v>#VALUE!</v>
      </c>
      <c r="FI121" t="e">
        <v>#VALUE!</v>
      </c>
      <c r="FJ121" t="e">
        <v>#VALUE!</v>
      </c>
      <c r="FK121" t="e">
        <v>#VALUE!</v>
      </c>
      <c r="FL121" t="e">
        <v>#VALUE!</v>
      </c>
      <c r="FM121" t="e">
        <v>#VALUE!</v>
      </c>
      <c r="FN121" t="e">
        <v>#VALUE!</v>
      </c>
      <c r="FO121" t="e">
        <v>#VALUE!</v>
      </c>
      <c r="FP121" t="e">
        <v>#VALUE!</v>
      </c>
      <c r="FQ121" t="e">
        <v>#VALUE!</v>
      </c>
      <c r="FR121" t="e">
        <v>#VALUE!</v>
      </c>
      <c r="FS121" t="e">
        <v>#VALUE!</v>
      </c>
      <c r="FT121" t="e">
        <v>#VALUE!</v>
      </c>
      <c r="FU121" t="e">
        <v>#VALUE!</v>
      </c>
      <c r="FV121" t="e">
        <v>#VALUE!</v>
      </c>
      <c r="FW121" t="e">
        <v>#VALUE!</v>
      </c>
      <c r="FX121" t="e">
        <v>#VALUE!</v>
      </c>
      <c r="FY121" t="e">
        <v>#VALUE!</v>
      </c>
      <c r="FZ121">
        <v>0</v>
      </c>
      <c r="GA121" t="e">
        <v>#VALUE!</v>
      </c>
      <c r="GB121" t="e">
        <v>#VALUE!</v>
      </c>
      <c r="GC121" t="e">
        <v>#VALUE!</v>
      </c>
      <c r="GD121" t="e">
        <v>#VALUE!</v>
      </c>
      <c r="GE121" t="e">
        <v>#VALUE!</v>
      </c>
      <c r="GF121" t="e">
        <v>#VALUE!</v>
      </c>
      <c r="GG121" t="e">
        <v>#VALUE!</v>
      </c>
      <c r="GH121" t="e">
        <v>#VALUE!</v>
      </c>
      <c r="GI121" t="e">
        <v>#VALUE!</v>
      </c>
      <c r="GJ121" t="e">
        <v>#VALUE!</v>
      </c>
      <c r="GK121" t="e">
        <v>#VALUE!</v>
      </c>
      <c r="GL121" t="e">
        <v>#VALUE!</v>
      </c>
      <c r="GM121" t="e">
        <v>#VALUE!</v>
      </c>
      <c r="GN121" t="e">
        <v>#VALUE!</v>
      </c>
      <c r="GO121" t="e">
        <v>#VALUE!</v>
      </c>
      <c r="GP121" t="e">
        <v>#VALUE!</v>
      </c>
      <c r="GQ121" t="e">
        <v>#VALUE!</v>
      </c>
      <c r="GR121" t="e">
        <v>#VALUE!</v>
      </c>
      <c r="GS121">
        <v>0</v>
      </c>
      <c r="GT121" t="e">
        <v>#VALUE!</v>
      </c>
      <c r="GU121" t="e">
        <v>#VALUE!</v>
      </c>
      <c r="GV121" t="e">
        <v>#VALUE!</v>
      </c>
      <c r="GW121" t="e">
        <v>#VALUE!</v>
      </c>
      <c r="GX121" t="e">
        <v>#VALUE!</v>
      </c>
      <c r="GY121" t="e">
        <v>#VALUE!</v>
      </c>
      <c r="GZ121" t="e">
        <v>#VALUE!</v>
      </c>
      <c r="HA121" t="e">
        <v>#VALUE!</v>
      </c>
      <c r="HB121" t="e">
        <v>#VALUE!</v>
      </c>
      <c r="HC121" t="e">
        <v>#VALUE!</v>
      </c>
      <c r="HD121" t="e">
        <v>#VALUE!</v>
      </c>
      <c r="HE121" t="e">
        <v>#VALUE!</v>
      </c>
      <c r="HF121" t="e">
        <v>#VALUE!</v>
      </c>
      <c r="HG121" t="e">
        <v>#VALUE!</v>
      </c>
      <c r="HH121" t="e">
        <v>#VALUE!</v>
      </c>
      <c r="HI121" t="e">
        <v>#VALUE!</v>
      </c>
      <c r="HJ121" t="e">
        <v>#VALUE!</v>
      </c>
      <c r="HK121" t="e">
        <v>#VALUE!</v>
      </c>
      <c r="HL121">
        <v>0</v>
      </c>
      <c r="HM121" t="e">
        <v>#VALUE!</v>
      </c>
      <c r="HN121" t="e">
        <v>#VALUE!</v>
      </c>
      <c r="HO121" t="e">
        <v>#VALUE!</v>
      </c>
      <c r="HP121" t="e">
        <v>#VALUE!</v>
      </c>
      <c r="HQ121" t="e">
        <v>#VALUE!</v>
      </c>
      <c r="HR121" t="e">
        <v>#VALUE!</v>
      </c>
      <c r="HS121" t="e">
        <v>#VALUE!</v>
      </c>
      <c r="HT121" t="e">
        <v>#VALUE!</v>
      </c>
      <c r="HU121" t="e">
        <v>#VALUE!</v>
      </c>
      <c r="HV121" t="e">
        <v>#VALUE!</v>
      </c>
      <c r="HW121" t="e">
        <v>#VALUE!</v>
      </c>
      <c r="HX121" t="e">
        <v>#VALUE!</v>
      </c>
      <c r="HY121" t="e">
        <v>#VALUE!</v>
      </c>
      <c r="HZ121" t="e">
        <v>#VALUE!</v>
      </c>
      <c r="IA121" t="e">
        <v>#VALUE!</v>
      </c>
      <c r="IB121" t="e">
        <v>#VALUE!</v>
      </c>
      <c r="IC121" t="e">
        <v>#VALUE!</v>
      </c>
      <c r="ID121" t="e">
        <v>#VALUE!</v>
      </c>
      <c r="IE121">
        <v>0</v>
      </c>
      <c r="IF121" t="e">
        <v>#VALUE!</v>
      </c>
      <c r="IG121" t="e">
        <v>#VALUE!</v>
      </c>
      <c r="IH121" t="e">
        <v>#VALUE!</v>
      </c>
      <c r="II121" t="e">
        <v>#VALUE!</v>
      </c>
      <c r="IJ121" t="e">
        <v>#VALUE!</v>
      </c>
      <c r="IK121" t="e">
        <v>#VALUE!</v>
      </c>
      <c r="IL121" t="e">
        <v>#VALUE!</v>
      </c>
      <c r="IM121" t="e">
        <v>#VALUE!</v>
      </c>
      <c r="IN121" t="e">
        <v>#VALUE!</v>
      </c>
      <c r="IO121" t="e">
        <v>#VALUE!</v>
      </c>
      <c r="IP121" t="e">
        <v>#VALUE!</v>
      </c>
      <c r="IQ121" t="e">
        <v>#VALUE!</v>
      </c>
      <c r="IR121" t="e">
        <v>#VALUE!</v>
      </c>
      <c r="IS121" t="e">
        <v>#VALUE!</v>
      </c>
      <c r="IT121" t="e">
        <v>#VALUE!</v>
      </c>
      <c r="IU121" t="e">
        <v>#VALUE!</v>
      </c>
      <c r="IV121" t="e">
        <v>#VALUE!</v>
      </c>
    </row>
    <row r="122" spans="1:256" x14ac:dyDescent="0.25">
      <c r="A122" t="e">
        <v>#VALUE!</v>
      </c>
      <c r="B122" t="e">
        <v>#VALUE!</v>
      </c>
      <c r="C122" t="e">
        <v>#VALUE!</v>
      </c>
      <c r="D122" t="e">
        <v>#VALUE!</v>
      </c>
      <c r="E122" t="e">
        <v>#VALUE!</v>
      </c>
      <c r="F122" t="e">
        <v>#VALUE!</v>
      </c>
      <c r="G122" t="e">
        <v>#VALUE!</v>
      </c>
      <c r="H122" t="e">
        <v>#VALUE!</v>
      </c>
      <c r="I122" t="e">
        <v>#VALUE!</v>
      </c>
      <c r="J122" t="e">
        <v>#VALUE!</v>
      </c>
      <c r="K122" t="e">
        <v>#VALUE!</v>
      </c>
      <c r="L122" t="e">
        <v>#VALUE!</v>
      </c>
      <c r="M122" t="e">
        <v>#VALUE!</v>
      </c>
      <c r="N122" t="e">
        <v>#VALUE!</v>
      </c>
      <c r="O122" t="e">
        <v>#VALUE!</v>
      </c>
      <c r="P122" t="e">
        <v>#VALUE!</v>
      </c>
      <c r="Q122" t="e">
        <v>#VALUE!</v>
      </c>
      <c r="R122" t="e">
        <v>#VALUE!</v>
      </c>
      <c r="S122" t="e">
        <v>#VALUE!</v>
      </c>
      <c r="T122" t="e">
        <v>#VALUE!</v>
      </c>
      <c r="U122">
        <v>0</v>
      </c>
      <c r="V122" t="e">
        <v>#VALUE!</v>
      </c>
      <c r="W122" t="e">
        <v>#VALUE!</v>
      </c>
      <c r="X122" t="e">
        <v>#VALUE!</v>
      </c>
      <c r="Y122" t="e">
        <v>#VALUE!</v>
      </c>
      <c r="Z122" t="e">
        <v>#VALUE!</v>
      </c>
      <c r="AA122" t="e">
        <v>#VALUE!</v>
      </c>
      <c r="AB122" t="e">
        <v>#VALUE!</v>
      </c>
      <c r="AC122" t="e">
        <v>#VALUE!</v>
      </c>
      <c r="AD122" t="e">
        <v>#VALUE!</v>
      </c>
      <c r="AE122" t="e">
        <v>#VALUE!</v>
      </c>
      <c r="AF122" t="e">
        <v>#VALUE!</v>
      </c>
      <c r="AG122" t="e">
        <v>#VALUE!</v>
      </c>
      <c r="AH122" t="e">
        <v>#VALUE!</v>
      </c>
      <c r="AI122" t="e">
        <v>#VALUE!</v>
      </c>
      <c r="AJ122" t="e">
        <v>#VALUE!</v>
      </c>
      <c r="AK122" t="e">
        <v>#VALUE!</v>
      </c>
      <c r="AL122" t="e">
        <v>#VALUE!</v>
      </c>
      <c r="AM122" t="e">
        <v>#VALUE!</v>
      </c>
      <c r="AN122">
        <v>0</v>
      </c>
      <c r="AO122" t="e">
        <v>#VALUE!</v>
      </c>
      <c r="AP122" t="e">
        <v>#VALUE!</v>
      </c>
      <c r="AQ122" t="e">
        <v>#VALUE!</v>
      </c>
      <c r="AR122" t="e">
        <v>#VALUE!</v>
      </c>
      <c r="AS122" t="e">
        <v>#VALUE!</v>
      </c>
      <c r="AT122" t="e">
        <v>#VALUE!</v>
      </c>
      <c r="AU122" t="e">
        <v>#VALUE!</v>
      </c>
      <c r="AV122" t="e">
        <v>#VALUE!</v>
      </c>
      <c r="AW122" t="e">
        <v>#VALUE!</v>
      </c>
      <c r="AX122" t="e">
        <v>#VALUE!</v>
      </c>
      <c r="AY122" t="e">
        <v>#VALUE!</v>
      </c>
      <c r="AZ122" t="e">
        <v>#VALUE!</v>
      </c>
      <c r="BA122" t="e">
        <v>#VALUE!</v>
      </c>
      <c r="BB122" t="e">
        <v>#VALUE!</v>
      </c>
      <c r="BC122" t="e">
        <v>#VALUE!</v>
      </c>
      <c r="BD122" t="e">
        <v>#VALUE!</v>
      </c>
      <c r="BE122" t="e">
        <v>#VALUE!</v>
      </c>
      <c r="BF122" t="e">
        <v>#VALUE!</v>
      </c>
      <c r="BG122">
        <v>0</v>
      </c>
      <c r="BH122" t="e">
        <v>#VALUE!</v>
      </c>
      <c r="BI122" t="e">
        <v>#VALUE!</v>
      </c>
      <c r="BJ122" t="e">
        <v>#VALUE!</v>
      </c>
      <c r="BK122" t="e">
        <v>#VALUE!</v>
      </c>
      <c r="BL122" t="e">
        <v>#VALUE!</v>
      </c>
      <c r="BM122" t="e">
        <v>#VALUE!</v>
      </c>
      <c r="BN122" t="e">
        <v>#VALUE!</v>
      </c>
      <c r="BO122" t="e">
        <v>#VALUE!</v>
      </c>
      <c r="BP122" t="e">
        <v>#VALUE!</v>
      </c>
      <c r="BQ122" t="e">
        <v>#VALUE!</v>
      </c>
      <c r="BR122" t="e">
        <v>#VALUE!</v>
      </c>
      <c r="BS122" t="e">
        <v>#VALUE!</v>
      </c>
      <c r="BT122" t="e">
        <v>#VALUE!</v>
      </c>
      <c r="BU122" t="e">
        <v>#VALUE!</v>
      </c>
      <c r="BV122" t="e">
        <v>#VALUE!</v>
      </c>
      <c r="BW122" t="e">
        <v>#VALUE!</v>
      </c>
      <c r="BX122" t="e">
        <v>#VALUE!</v>
      </c>
      <c r="BY122" t="e">
        <v>#VALUE!</v>
      </c>
      <c r="BZ122">
        <v>0</v>
      </c>
      <c r="CA122" t="e">
        <v>#VALUE!</v>
      </c>
      <c r="CB122" t="e">
        <v>#VALUE!</v>
      </c>
      <c r="CC122" t="e">
        <v>#VALUE!</v>
      </c>
      <c r="CD122" t="e">
        <v>#VALUE!</v>
      </c>
      <c r="CE122" t="e">
        <v>#VALUE!</v>
      </c>
      <c r="CF122" t="e">
        <v>#VALUE!</v>
      </c>
      <c r="CG122" t="e">
        <v>#VALUE!</v>
      </c>
      <c r="CH122" t="e">
        <v>#VALUE!</v>
      </c>
      <c r="CI122" t="e">
        <v>#VALUE!</v>
      </c>
      <c r="CJ122" t="e">
        <v>#VALUE!</v>
      </c>
      <c r="CK122" t="e">
        <v>#VALUE!</v>
      </c>
      <c r="CL122" t="e">
        <v>#VALUE!</v>
      </c>
      <c r="CM122" t="e">
        <v>#VALUE!</v>
      </c>
      <c r="CN122" t="e">
        <v>#VALUE!</v>
      </c>
      <c r="CO122" t="e">
        <v>#VALUE!</v>
      </c>
      <c r="CP122" t="e">
        <v>#VALUE!</v>
      </c>
      <c r="CQ122" t="e">
        <v>#VALUE!</v>
      </c>
      <c r="CR122" t="e">
        <v>#VALUE!</v>
      </c>
      <c r="CS122">
        <v>0</v>
      </c>
      <c r="CT122" t="e">
        <v>#VALUE!</v>
      </c>
      <c r="CU122" t="e">
        <v>#VALUE!</v>
      </c>
      <c r="CV122" t="e">
        <v>#VALUE!</v>
      </c>
      <c r="CW122" t="e">
        <v>#VALUE!</v>
      </c>
      <c r="CX122" t="e">
        <v>#VALUE!</v>
      </c>
      <c r="CY122" t="e">
        <v>#VALUE!</v>
      </c>
      <c r="CZ122" t="e">
        <v>#VALUE!</v>
      </c>
      <c r="DA122" t="e">
        <v>#VALUE!</v>
      </c>
      <c r="DB122" t="e">
        <v>#VALUE!</v>
      </c>
      <c r="DC122" t="e">
        <v>#VALUE!</v>
      </c>
      <c r="DD122" t="e">
        <v>#VALUE!</v>
      </c>
      <c r="DE122" t="e">
        <v>#VALUE!</v>
      </c>
      <c r="DF122" t="e">
        <v>#VALUE!</v>
      </c>
      <c r="DG122" t="e">
        <v>#VALUE!</v>
      </c>
      <c r="DH122" t="e">
        <v>#VALUE!</v>
      </c>
      <c r="DI122" t="e">
        <v>#VALUE!</v>
      </c>
      <c r="DJ122" t="e">
        <v>#VALUE!</v>
      </c>
      <c r="DK122" t="e">
        <v>#VALUE!</v>
      </c>
      <c r="DL122">
        <v>0</v>
      </c>
      <c r="DM122" t="e">
        <v>#VALUE!</v>
      </c>
      <c r="DN122" t="e">
        <v>#VALUE!</v>
      </c>
      <c r="DO122" t="e">
        <v>#VALUE!</v>
      </c>
      <c r="DP122" t="e">
        <v>#VALUE!</v>
      </c>
      <c r="DQ122" t="e">
        <v>#VALUE!</v>
      </c>
      <c r="DR122" t="e">
        <v>#VALUE!</v>
      </c>
      <c r="DS122" t="e">
        <v>#VALUE!</v>
      </c>
      <c r="DT122" t="e">
        <v>#VALUE!</v>
      </c>
      <c r="DU122" t="e">
        <v>#VALUE!</v>
      </c>
      <c r="DV122" t="e">
        <v>#VALUE!</v>
      </c>
      <c r="DW122" t="e">
        <v>#VALUE!</v>
      </c>
      <c r="DX122" t="e">
        <v>#VALUE!</v>
      </c>
      <c r="DY122" t="e">
        <v>#VALUE!</v>
      </c>
      <c r="DZ122" t="e">
        <v>#VALUE!</v>
      </c>
      <c r="EA122" t="e">
        <v>#VALUE!</v>
      </c>
      <c r="EB122" t="e">
        <v>#VALUE!</v>
      </c>
      <c r="EC122" t="e">
        <v>#VALUE!</v>
      </c>
      <c r="ED122" t="e">
        <v>#VALUE!</v>
      </c>
      <c r="EE122">
        <v>0</v>
      </c>
      <c r="EF122" t="e">
        <v>#VALUE!</v>
      </c>
      <c r="EG122" t="e">
        <v>#VALUE!</v>
      </c>
      <c r="EH122" t="e">
        <v>#VALUE!</v>
      </c>
      <c r="EI122" t="e">
        <v>#VALUE!</v>
      </c>
      <c r="EJ122" t="e">
        <v>#VALUE!</v>
      </c>
      <c r="EK122" t="e">
        <v>#VALUE!</v>
      </c>
      <c r="EL122" t="e">
        <v>#VALUE!</v>
      </c>
      <c r="EM122" t="e">
        <v>#VALUE!</v>
      </c>
      <c r="EN122" t="e">
        <v>#VALUE!</v>
      </c>
      <c r="EO122" t="e">
        <v>#VALUE!</v>
      </c>
      <c r="EP122" t="e">
        <v>#VALUE!</v>
      </c>
      <c r="EQ122" t="e">
        <v>#VALUE!</v>
      </c>
      <c r="ER122" t="e">
        <v>#VALUE!</v>
      </c>
      <c r="ES122" t="e">
        <v>#VALUE!</v>
      </c>
      <c r="ET122" t="e">
        <v>#VALUE!</v>
      </c>
      <c r="EU122" t="e">
        <v>#VALUE!</v>
      </c>
      <c r="EV122" t="e">
        <v>#VALUE!</v>
      </c>
      <c r="EW122" t="e">
        <v>#VALUE!</v>
      </c>
      <c r="EX122">
        <v>0</v>
      </c>
      <c r="EY122" t="e">
        <v>#VALUE!</v>
      </c>
      <c r="EZ122" t="e">
        <v>#VALUE!</v>
      </c>
      <c r="FA122" t="e">
        <v>#VALUE!</v>
      </c>
      <c r="FB122" t="e">
        <v>#VALUE!</v>
      </c>
      <c r="FC122" t="e">
        <v>#VALUE!</v>
      </c>
      <c r="FD122" t="e">
        <v>#VALUE!</v>
      </c>
      <c r="FE122" t="e">
        <v>#VALUE!</v>
      </c>
      <c r="FF122" t="e">
        <v>#VALUE!</v>
      </c>
      <c r="FG122" t="e">
        <v>#VALUE!</v>
      </c>
      <c r="FH122" t="e">
        <v>#VALUE!</v>
      </c>
      <c r="FI122" t="e">
        <v>#VALUE!</v>
      </c>
      <c r="FJ122" t="e">
        <v>#VALUE!</v>
      </c>
      <c r="FK122" t="e">
        <v>#VALUE!</v>
      </c>
      <c r="FL122" t="e">
        <v>#VALUE!</v>
      </c>
      <c r="FM122" t="e">
        <v>#VALUE!</v>
      </c>
      <c r="FN122" t="e">
        <v>#VALUE!</v>
      </c>
      <c r="FO122" t="e">
        <v>#VALUE!</v>
      </c>
      <c r="FP122" t="e">
        <v>#VALUE!</v>
      </c>
      <c r="FQ122">
        <v>0</v>
      </c>
      <c r="FR122" t="e">
        <v>#VALUE!</v>
      </c>
      <c r="FS122" t="e">
        <v>#VALUE!</v>
      </c>
      <c r="FT122" t="e">
        <v>#VALUE!</v>
      </c>
      <c r="FU122" t="e">
        <v>#VALUE!</v>
      </c>
      <c r="FV122" t="e">
        <v>#VALUE!</v>
      </c>
      <c r="FW122" t="e">
        <v>#VALUE!</v>
      </c>
      <c r="FX122" t="e">
        <v>#VALUE!</v>
      </c>
      <c r="FY122" t="e">
        <v>#VALUE!</v>
      </c>
      <c r="FZ122" t="e">
        <v>#VALUE!</v>
      </c>
      <c r="GA122" t="e">
        <v>#VALUE!</v>
      </c>
      <c r="GB122" t="e">
        <v>#VALUE!</v>
      </c>
      <c r="GC122" t="e">
        <v>#VALUE!</v>
      </c>
      <c r="GD122" t="e">
        <v>#VALUE!</v>
      </c>
      <c r="GE122" t="e">
        <v>#VALUE!</v>
      </c>
      <c r="GF122" t="e">
        <v>#VALUE!</v>
      </c>
      <c r="GG122" t="e">
        <v>#VALUE!</v>
      </c>
      <c r="GH122" t="e">
        <v>#VALUE!</v>
      </c>
      <c r="GI122" t="e">
        <v>#VALUE!</v>
      </c>
      <c r="GJ122">
        <v>0</v>
      </c>
      <c r="GK122" t="e">
        <v>#VALUE!</v>
      </c>
      <c r="GL122" t="e">
        <v>#VALUE!</v>
      </c>
      <c r="GM122" t="e">
        <v>#VALUE!</v>
      </c>
      <c r="GN122" t="e">
        <v>#VALUE!</v>
      </c>
      <c r="GO122" t="e">
        <v>#VALUE!</v>
      </c>
      <c r="GP122" t="e">
        <v>#VALUE!</v>
      </c>
      <c r="GQ122" t="e">
        <v>#VALUE!</v>
      </c>
      <c r="GR122" t="e">
        <v>#VALUE!</v>
      </c>
      <c r="GS122" t="e">
        <v>#VALUE!</v>
      </c>
      <c r="GT122" t="e">
        <v>#VALUE!</v>
      </c>
      <c r="GU122" t="e">
        <v>#VALUE!</v>
      </c>
      <c r="GV122" t="e">
        <v>#VALUE!</v>
      </c>
      <c r="GW122" t="e">
        <v>#VALUE!</v>
      </c>
      <c r="GX122" t="e">
        <v>#VALUE!</v>
      </c>
      <c r="GY122" t="e">
        <v>#VALUE!</v>
      </c>
      <c r="GZ122" t="e">
        <v>#VALUE!</v>
      </c>
      <c r="HA122" t="e">
        <v>#VALUE!</v>
      </c>
      <c r="HB122" t="e">
        <v>#VALUE!</v>
      </c>
      <c r="HC122">
        <v>0</v>
      </c>
      <c r="HD122" t="e">
        <v>#VALUE!</v>
      </c>
      <c r="HE122" t="e">
        <v>#VALUE!</v>
      </c>
      <c r="HF122" t="e">
        <v>#VALUE!</v>
      </c>
      <c r="HG122" t="e">
        <v>#VALUE!</v>
      </c>
      <c r="HH122" t="e">
        <v>#VALUE!</v>
      </c>
      <c r="HI122" t="e">
        <v>#VALUE!</v>
      </c>
      <c r="HJ122" t="e">
        <v>#VALUE!</v>
      </c>
      <c r="HK122" t="e">
        <v>#VALUE!</v>
      </c>
      <c r="HL122" t="e">
        <v>#VALUE!</v>
      </c>
      <c r="HM122" t="e">
        <v>#VALUE!</v>
      </c>
      <c r="HN122" t="e">
        <v>#VALUE!</v>
      </c>
      <c r="HO122" t="e">
        <v>#VALUE!</v>
      </c>
      <c r="HP122" t="e">
        <v>#VALUE!</v>
      </c>
      <c r="HQ122" t="e">
        <v>#VALUE!</v>
      </c>
      <c r="HR122" t="e">
        <v>#VALUE!</v>
      </c>
      <c r="HS122" t="e">
        <v>#VALUE!</v>
      </c>
      <c r="HT122" t="e">
        <v>#VALUE!</v>
      </c>
      <c r="HU122" t="e">
        <v>#VALUE!</v>
      </c>
      <c r="HV122">
        <v>0</v>
      </c>
      <c r="HW122" t="e">
        <v>#VALUE!</v>
      </c>
      <c r="HX122" t="e">
        <v>#VALUE!</v>
      </c>
      <c r="HY122" t="e">
        <v>#VALUE!</v>
      </c>
      <c r="HZ122" t="e">
        <v>#VALUE!</v>
      </c>
      <c r="IA122" t="e">
        <v>#VALUE!</v>
      </c>
      <c r="IB122" t="e">
        <v>#VALUE!</v>
      </c>
      <c r="IC122" t="e">
        <v>#VALUE!</v>
      </c>
      <c r="ID122" t="e">
        <v>#VALUE!</v>
      </c>
      <c r="IE122" t="e">
        <v>#VALUE!</v>
      </c>
      <c r="IF122" t="e">
        <v>#VALUE!</v>
      </c>
      <c r="IG122" t="e">
        <v>#VALUE!</v>
      </c>
      <c r="IH122" t="e">
        <v>#VALUE!</v>
      </c>
      <c r="II122" t="e">
        <v>#VALUE!</v>
      </c>
      <c r="IJ122" t="e">
        <v>#VALUE!</v>
      </c>
      <c r="IK122" t="e">
        <v>#VALUE!</v>
      </c>
      <c r="IL122" t="e">
        <v>#VALUE!</v>
      </c>
      <c r="IM122" t="e">
        <v>#VALUE!</v>
      </c>
      <c r="IN122" t="e">
        <v>#VALUE!</v>
      </c>
      <c r="IO122">
        <v>0</v>
      </c>
      <c r="IP122" t="e">
        <v>#VALUE!</v>
      </c>
      <c r="IQ122" t="e">
        <v>#VALUE!</v>
      </c>
      <c r="IR122" t="e">
        <v>#VALUE!</v>
      </c>
      <c r="IS122" t="e">
        <v>#VALUE!</v>
      </c>
      <c r="IT122" t="e">
        <v>#VALUE!</v>
      </c>
      <c r="IU122" t="e">
        <v>#VALUE!</v>
      </c>
      <c r="IV122" t="e">
        <v>#VALUE!</v>
      </c>
    </row>
    <row r="123" spans="1:256" x14ac:dyDescent="0.25">
      <c r="A123" t="e">
        <v>#VALUE!</v>
      </c>
      <c r="B123" t="e">
        <v>#VALUE!</v>
      </c>
      <c r="C123" t="e">
        <v>#VALUE!</v>
      </c>
      <c r="D123" t="e">
        <v>#VALUE!</v>
      </c>
      <c r="E123" t="e">
        <v>#VALUE!</v>
      </c>
      <c r="F123" t="e">
        <v>#VALUE!</v>
      </c>
      <c r="G123" t="e">
        <v>#VALUE!</v>
      </c>
      <c r="H123" t="e">
        <v>#VALUE!</v>
      </c>
      <c r="I123" t="e">
        <v>#VALUE!</v>
      </c>
      <c r="J123" t="e">
        <v>#VALUE!</v>
      </c>
      <c r="K123" t="e">
        <v>#VALUE!</v>
      </c>
      <c r="L123">
        <v>0</v>
      </c>
      <c r="M123" t="e">
        <v>#VALUE!</v>
      </c>
      <c r="N123" t="e">
        <v>#VALUE!</v>
      </c>
      <c r="O123" t="e">
        <v>#VALUE!</v>
      </c>
      <c r="P123" t="e">
        <v>#VALUE!</v>
      </c>
      <c r="Q123" t="e">
        <v>#VALUE!</v>
      </c>
      <c r="R123" t="e">
        <v>#VALUE!</v>
      </c>
      <c r="S123" t="e">
        <v>#VALUE!</v>
      </c>
      <c r="T123" t="e">
        <v>#VALUE!</v>
      </c>
      <c r="U123" t="e">
        <v>#VALUE!</v>
      </c>
      <c r="V123" t="e">
        <v>#VALUE!</v>
      </c>
      <c r="W123" t="e">
        <v>#VALUE!</v>
      </c>
      <c r="X123" t="e">
        <v>#VALUE!</v>
      </c>
      <c r="Y123" t="e">
        <v>#VALUE!</v>
      </c>
      <c r="Z123" t="e">
        <v>#VALUE!</v>
      </c>
      <c r="AA123" t="e">
        <v>#VALUE!</v>
      </c>
      <c r="AB123" t="e">
        <v>#VALUE!</v>
      </c>
      <c r="AC123" t="e">
        <v>#VALUE!</v>
      </c>
      <c r="AD123" t="e">
        <v>#VALUE!</v>
      </c>
      <c r="AE123">
        <v>0</v>
      </c>
      <c r="AF123" t="e">
        <v>#VALUE!</v>
      </c>
      <c r="AG123" t="e">
        <v>#VALUE!</v>
      </c>
      <c r="AH123" t="e">
        <v>#VALUE!</v>
      </c>
      <c r="AI123" t="e">
        <v>#VALUE!</v>
      </c>
      <c r="AJ123" t="e">
        <v>#VALUE!</v>
      </c>
      <c r="AK123" t="e">
        <v>#VALUE!</v>
      </c>
      <c r="AL123" t="e">
        <v>#VALUE!</v>
      </c>
      <c r="AM123" t="e">
        <v>#VALUE!</v>
      </c>
      <c r="AN123" t="e">
        <v>#VALUE!</v>
      </c>
      <c r="AO123" t="e">
        <v>#VALUE!</v>
      </c>
      <c r="AP123" t="e">
        <v>#VALUE!</v>
      </c>
      <c r="AQ123" t="e">
        <v>#VALUE!</v>
      </c>
      <c r="AR123" t="e">
        <v>#VALUE!</v>
      </c>
      <c r="AS123" t="e">
        <v>#VALUE!</v>
      </c>
      <c r="AT123" t="e">
        <v>#VALUE!</v>
      </c>
      <c r="AU123" t="e">
        <v>#VALUE!</v>
      </c>
      <c r="AV123" t="e">
        <v>#VALUE!</v>
      </c>
      <c r="AW123" t="e">
        <v>#VALUE!</v>
      </c>
      <c r="AX123">
        <v>0</v>
      </c>
      <c r="AY123" t="e">
        <v>#VALUE!</v>
      </c>
      <c r="AZ123" t="e">
        <v>#VALUE!</v>
      </c>
      <c r="BA123" t="e">
        <v>#VALUE!</v>
      </c>
      <c r="BB123" t="e">
        <v>#VALUE!</v>
      </c>
      <c r="BC123" t="e">
        <v>#VALUE!</v>
      </c>
      <c r="BD123" t="e">
        <v>#VALUE!</v>
      </c>
      <c r="BE123" t="e">
        <v>#VALUE!</v>
      </c>
      <c r="BF123" t="e">
        <v>#VALUE!</v>
      </c>
      <c r="BG123" t="e">
        <v>#VALUE!</v>
      </c>
      <c r="BH123" t="e">
        <v>#VALUE!</v>
      </c>
      <c r="BI123" t="e">
        <v>#VALUE!</v>
      </c>
      <c r="BJ123" t="e">
        <v>#VALUE!</v>
      </c>
      <c r="BK123" t="e">
        <v>#VALUE!</v>
      </c>
      <c r="BL123" t="e">
        <v>#VALUE!</v>
      </c>
      <c r="BM123" t="e">
        <v>#VALUE!</v>
      </c>
      <c r="BN123" t="e">
        <v>#VALUE!</v>
      </c>
      <c r="BO123" t="e">
        <v>#VALUE!</v>
      </c>
      <c r="BP123" t="e">
        <v>#VALUE!</v>
      </c>
      <c r="BQ123">
        <v>0</v>
      </c>
      <c r="BR123" t="e">
        <v>#VALUE!</v>
      </c>
      <c r="BS123" t="e">
        <v>#VALUE!</v>
      </c>
      <c r="BT123" t="e">
        <v>#VALUE!</v>
      </c>
      <c r="BU123" t="e">
        <v>#VALUE!</v>
      </c>
      <c r="BV123" t="e">
        <v>#VALUE!</v>
      </c>
      <c r="BW123" t="e">
        <v>#VALUE!</v>
      </c>
      <c r="BX123" t="e">
        <v>#VALUE!</v>
      </c>
      <c r="BY123" t="e">
        <v>#VALUE!</v>
      </c>
      <c r="BZ123" t="e">
        <v>#VALUE!</v>
      </c>
      <c r="CA123" t="e">
        <v>#VALUE!</v>
      </c>
      <c r="CB123" t="e">
        <v>#VALUE!</v>
      </c>
      <c r="CC123" t="e">
        <v>#VALUE!</v>
      </c>
      <c r="CD123" t="e">
        <v>#VALUE!</v>
      </c>
      <c r="CE123" t="e">
        <v>#VALUE!</v>
      </c>
      <c r="CF123" t="e">
        <v>#VALUE!</v>
      </c>
      <c r="CG123" t="e">
        <v>#VALUE!</v>
      </c>
      <c r="CH123" t="e">
        <v>#VALUE!</v>
      </c>
      <c r="CI123" t="e">
        <v>#VALUE!</v>
      </c>
      <c r="CJ123">
        <v>0</v>
      </c>
      <c r="CK123" t="e">
        <v>#VALUE!</v>
      </c>
      <c r="CL123" t="e">
        <v>#VALUE!</v>
      </c>
      <c r="CM123" t="e">
        <v>#VALUE!</v>
      </c>
      <c r="CN123" t="e">
        <v>#VALUE!</v>
      </c>
      <c r="CO123" t="e">
        <v>#VALUE!</v>
      </c>
      <c r="CP123" t="e">
        <v>#VALUE!</v>
      </c>
      <c r="CQ123" t="e">
        <v>#VALUE!</v>
      </c>
      <c r="CR123" t="e">
        <v>#VALUE!</v>
      </c>
      <c r="CS123" t="e">
        <v>#VALUE!</v>
      </c>
      <c r="CT123" t="e">
        <v>#VALUE!</v>
      </c>
      <c r="CU123" t="e">
        <v>#VALUE!</v>
      </c>
      <c r="CV123" t="e">
        <v>#VALUE!</v>
      </c>
      <c r="CW123" t="e">
        <v>#VALUE!</v>
      </c>
      <c r="CX123" t="e">
        <v>#VALUE!</v>
      </c>
      <c r="CY123" t="e">
        <v>#VALUE!</v>
      </c>
      <c r="CZ123" t="e">
        <v>#VALUE!</v>
      </c>
      <c r="DA123" t="e">
        <v>#VALUE!</v>
      </c>
      <c r="DB123" t="e">
        <v>#VALUE!</v>
      </c>
      <c r="DC123">
        <v>0</v>
      </c>
      <c r="DD123" t="e">
        <v>#VALUE!</v>
      </c>
      <c r="DE123" t="e">
        <v>#VALUE!</v>
      </c>
      <c r="DF123" t="e">
        <v>#VALUE!</v>
      </c>
      <c r="DG123" t="e">
        <v>#VALUE!</v>
      </c>
      <c r="DH123" t="e">
        <v>#VALUE!</v>
      </c>
      <c r="DI123" t="e">
        <v>#VALUE!</v>
      </c>
      <c r="DJ123" t="e">
        <v>#VALUE!</v>
      </c>
      <c r="DK123" t="e">
        <v>#VALUE!</v>
      </c>
      <c r="DL123" t="e">
        <v>#VALUE!</v>
      </c>
      <c r="DM123" t="e">
        <v>#VALUE!</v>
      </c>
      <c r="DN123" t="e">
        <v>#VALUE!</v>
      </c>
      <c r="DO123" t="e">
        <v>#VALUE!</v>
      </c>
      <c r="DP123" t="e">
        <v>#VALUE!</v>
      </c>
      <c r="DQ123" t="e">
        <v>#VALUE!</v>
      </c>
      <c r="DR123" t="e">
        <v>#VALUE!</v>
      </c>
      <c r="DS123" t="e">
        <v>#VALUE!</v>
      </c>
      <c r="DT123" t="e">
        <v>#VALUE!</v>
      </c>
      <c r="DU123" t="e">
        <v>#VALUE!</v>
      </c>
      <c r="DV123">
        <v>0</v>
      </c>
      <c r="DW123" t="e">
        <v>#VALUE!</v>
      </c>
      <c r="DX123" t="e">
        <v>#VALUE!</v>
      </c>
      <c r="DY123" t="e">
        <v>#VALUE!</v>
      </c>
      <c r="DZ123" t="e">
        <v>#VALUE!</v>
      </c>
      <c r="EA123" t="e">
        <v>#VALUE!</v>
      </c>
      <c r="EB123" t="e">
        <v>#VALUE!</v>
      </c>
      <c r="EC123" t="e">
        <v>#VALUE!</v>
      </c>
      <c r="ED123" t="e">
        <v>#VALUE!</v>
      </c>
      <c r="EE123" t="e">
        <v>#VALUE!</v>
      </c>
      <c r="EF123" t="e">
        <v>#VALUE!</v>
      </c>
      <c r="EG123" t="e">
        <v>#VALUE!</v>
      </c>
      <c r="EH123" t="e">
        <v>#VALUE!</v>
      </c>
      <c r="EI123" t="e">
        <v>#VALUE!</v>
      </c>
      <c r="EJ123" t="e">
        <v>#VALUE!</v>
      </c>
      <c r="EK123" t="e">
        <v>#VALUE!</v>
      </c>
      <c r="EL123" t="e">
        <v>#VALUE!</v>
      </c>
      <c r="EM123" t="e">
        <v>#VALUE!</v>
      </c>
      <c r="EN123" t="e">
        <v>#VALUE!</v>
      </c>
      <c r="EO123">
        <v>0</v>
      </c>
      <c r="EP123" t="e">
        <v>#VALUE!</v>
      </c>
      <c r="EQ123" t="e">
        <v>#VALUE!</v>
      </c>
      <c r="ER123" t="e">
        <v>#VALUE!</v>
      </c>
      <c r="ES123" t="e">
        <v>#VALUE!</v>
      </c>
      <c r="ET123" t="e">
        <v>#VALUE!</v>
      </c>
      <c r="EU123" t="e">
        <v>#VALUE!</v>
      </c>
      <c r="EV123" t="e">
        <v>#VALUE!</v>
      </c>
      <c r="EW123" t="e">
        <v>#VALUE!</v>
      </c>
      <c r="EX123" t="e">
        <v>#VALUE!</v>
      </c>
      <c r="EY123" t="e">
        <v>#VALUE!</v>
      </c>
      <c r="EZ123" t="e">
        <v>#VALUE!</v>
      </c>
      <c r="FA123" t="e">
        <v>#VALUE!</v>
      </c>
      <c r="FB123" t="e">
        <v>#VALUE!</v>
      </c>
      <c r="FC123" t="e">
        <v>#VALUE!</v>
      </c>
      <c r="FD123" t="e">
        <v>#VALUE!</v>
      </c>
      <c r="FE123" t="e">
        <v>#VALUE!</v>
      </c>
      <c r="FF123" t="e">
        <v>#VALUE!</v>
      </c>
      <c r="FG123" t="e">
        <v>#VALUE!</v>
      </c>
      <c r="FH123">
        <v>0</v>
      </c>
      <c r="FI123" t="e">
        <v>#VALUE!</v>
      </c>
      <c r="FJ123" t="e">
        <v>#VALUE!</v>
      </c>
      <c r="FK123" t="e">
        <v>#VALUE!</v>
      </c>
      <c r="FL123" t="e">
        <v>#VALUE!</v>
      </c>
      <c r="FM123" t="e">
        <v>#VALUE!</v>
      </c>
      <c r="FN123" t="e">
        <v>#VALUE!</v>
      </c>
      <c r="FO123" t="e">
        <v>#VALUE!</v>
      </c>
      <c r="FP123" t="e">
        <v>#VALUE!</v>
      </c>
      <c r="FQ123" t="e">
        <v>#VALUE!</v>
      </c>
      <c r="FR123" t="e">
        <v>#VALUE!</v>
      </c>
      <c r="FS123" t="e">
        <v>#VALUE!</v>
      </c>
      <c r="FT123" t="e">
        <v>#VALUE!</v>
      </c>
      <c r="FU123" t="e">
        <v>#VALUE!</v>
      </c>
      <c r="FV123" t="e">
        <v>#VALUE!</v>
      </c>
      <c r="FW123" t="e">
        <v>#VALUE!</v>
      </c>
      <c r="FX123" t="e">
        <v>#VALUE!</v>
      </c>
      <c r="FY123" t="e">
        <v>#VALUE!</v>
      </c>
      <c r="FZ123" t="e">
        <v>#VALUE!</v>
      </c>
      <c r="GA123">
        <v>0</v>
      </c>
      <c r="GB123" t="e">
        <v>#VALUE!</v>
      </c>
      <c r="GC123" t="e">
        <v>#VALUE!</v>
      </c>
      <c r="GD123" t="e">
        <v>#VALUE!</v>
      </c>
      <c r="GE123" t="e">
        <v>#VALUE!</v>
      </c>
      <c r="GF123" t="e">
        <v>#VALUE!</v>
      </c>
      <c r="GG123" t="e">
        <v>#VALUE!</v>
      </c>
      <c r="GH123" t="e">
        <v>#VALUE!</v>
      </c>
      <c r="GI123" t="e">
        <v>#VALUE!</v>
      </c>
      <c r="GJ123" t="e">
        <v>#VALUE!</v>
      </c>
      <c r="GK123" t="e">
        <v>#VALUE!</v>
      </c>
      <c r="GL123" t="e">
        <v>#VALUE!</v>
      </c>
      <c r="GM123" t="e">
        <v>#VALUE!</v>
      </c>
      <c r="GN123" t="e">
        <v>#VALUE!</v>
      </c>
      <c r="GO123" t="e">
        <v>#VALUE!</v>
      </c>
      <c r="GP123" t="e">
        <v>#VALUE!</v>
      </c>
      <c r="GQ123" t="e">
        <v>#VALUE!</v>
      </c>
      <c r="GR123" t="e">
        <v>#VALUE!</v>
      </c>
      <c r="GS123" t="e">
        <v>#VALUE!</v>
      </c>
      <c r="GT123">
        <v>0</v>
      </c>
      <c r="GU123" t="e">
        <v>#VALUE!</v>
      </c>
      <c r="GV123" t="e">
        <v>#VALUE!</v>
      </c>
      <c r="GW123" t="e">
        <v>#VALUE!</v>
      </c>
      <c r="GX123" t="e">
        <v>#VALUE!</v>
      </c>
      <c r="GY123" t="e">
        <v>#VALUE!</v>
      </c>
      <c r="GZ123" t="e">
        <v>#VALUE!</v>
      </c>
      <c r="HA123" t="e">
        <v>#VALUE!</v>
      </c>
      <c r="HB123" t="e">
        <v>#VALUE!</v>
      </c>
      <c r="HC123" t="e">
        <v>#VALUE!</v>
      </c>
      <c r="HD123" t="e">
        <v>#VALUE!</v>
      </c>
      <c r="HE123" t="e">
        <v>#VALUE!</v>
      </c>
      <c r="HF123" t="e">
        <v>#VALUE!</v>
      </c>
      <c r="HG123" t="e">
        <v>#VALUE!</v>
      </c>
      <c r="HH123" t="e">
        <v>#VALUE!</v>
      </c>
      <c r="HI123" t="e">
        <v>#VALUE!</v>
      </c>
      <c r="HJ123" t="e">
        <v>#VALUE!</v>
      </c>
      <c r="HK123" t="e">
        <v>#VALUE!</v>
      </c>
      <c r="HL123" t="e">
        <v>#VALUE!</v>
      </c>
      <c r="HM123">
        <v>0</v>
      </c>
      <c r="HN123" t="e">
        <v>#VALUE!</v>
      </c>
      <c r="HO123" t="e">
        <v>#VALUE!</v>
      </c>
      <c r="HP123" t="e">
        <v>#VALUE!</v>
      </c>
      <c r="HQ123" t="e">
        <v>#VALUE!</v>
      </c>
      <c r="HR123" t="e">
        <v>#VALUE!</v>
      </c>
      <c r="HS123" t="e">
        <v>#VALUE!</v>
      </c>
      <c r="HT123" t="e">
        <v>#VALUE!</v>
      </c>
      <c r="HU123" t="e">
        <v>#VALUE!</v>
      </c>
      <c r="HV123" t="e">
        <v>#VALUE!</v>
      </c>
      <c r="HW123" t="e">
        <v>#VALUE!</v>
      </c>
      <c r="HX123" t="e">
        <v>#VALUE!</v>
      </c>
      <c r="HY123" t="e">
        <v>#VALUE!</v>
      </c>
      <c r="HZ123" t="e">
        <v>#VALUE!</v>
      </c>
      <c r="IA123" t="e">
        <v>#VALUE!</v>
      </c>
      <c r="IB123" t="e">
        <v>#VALUE!</v>
      </c>
      <c r="IC123" t="e">
        <v>#VALUE!</v>
      </c>
      <c r="ID123" t="e">
        <v>#VALUE!</v>
      </c>
      <c r="IE123" t="e">
        <v>#VALUE!</v>
      </c>
      <c r="IF123">
        <v>0</v>
      </c>
      <c r="IG123" t="e">
        <v>#VALUE!</v>
      </c>
      <c r="IH123" t="e">
        <v>#VALUE!</v>
      </c>
      <c r="II123" t="e">
        <v>#VALUE!</v>
      </c>
      <c r="IJ123" t="e">
        <v>#VALUE!</v>
      </c>
      <c r="IK123" t="e">
        <v>#VALUE!</v>
      </c>
      <c r="IL123" t="e">
        <v>#VALUE!</v>
      </c>
      <c r="IM123" t="e">
        <v>#VALUE!</v>
      </c>
      <c r="IN123" t="e">
        <v>#VALUE!</v>
      </c>
      <c r="IO123" t="e">
        <v>#VALUE!</v>
      </c>
      <c r="IP123" t="e">
        <v>#VALUE!</v>
      </c>
      <c r="IQ123" t="e">
        <v>#VALUE!</v>
      </c>
      <c r="IR123" t="e">
        <v>#VALUE!</v>
      </c>
      <c r="IS123" t="e">
        <v>#VALUE!</v>
      </c>
      <c r="IT123" t="e">
        <v>#VALUE!</v>
      </c>
      <c r="IU123" t="e">
        <v>#VALUE!</v>
      </c>
      <c r="IV123" t="e">
        <v>#VALUE!</v>
      </c>
    </row>
    <row r="124" spans="1:256" x14ac:dyDescent="0.25">
      <c r="A124" t="e">
        <v>#VALUE!</v>
      </c>
      <c r="B124" t="e">
        <v>#VALUE!</v>
      </c>
      <c r="C124">
        <v>0</v>
      </c>
      <c r="D124" t="e">
        <v>#VALUE!</v>
      </c>
      <c r="E124" t="e">
        <v>#VALUE!</v>
      </c>
      <c r="F124" t="e">
        <v>#VALUE!</v>
      </c>
      <c r="G124" t="e">
        <v>#VALUE!</v>
      </c>
      <c r="H124" t="e">
        <v>#VALUE!</v>
      </c>
      <c r="I124" t="e">
        <v>#VALUE!</v>
      </c>
      <c r="J124" t="e">
        <v>#VALUE!</v>
      </c>
      <c r="K124" t="e">
        <v>#VALUE!</v>
      </c>
      <c r="L124" t="e">
        <v>#VALUE!</v>
      </c>
      <c r="M124" t="e">
        <v>#VALUE!</v>
      </c>
      <c r="N124" t="e">
        <v>#VALUE!</v>
      </c>
      <c r="O124" t="e">
        <v>#VALUE!</v>
      </c>
      <c r="P124" t="e">
        <v>#VALUE!</v>
      </c>
      <c r="Q124" t="e">
        <v>#VALUE!</v>
      </c>
      <c r="R124" t="e">
        <v>#VALUE!</v>
      </c>
      <c r="S124" t="e">
        <v>#VALUE!</v>
      </c>
      <c r="T124" t="e">
        <v>#VALUE!</v>
      </c>
      <c r="U124" t="e">
        <v>#VALUE!</v>
      </c>
      <c r="V124">
        <v>0</v>
      </c>
      <c r="W124" t="e">
        <v>#VALUE!</v>
      </c>
      <c r="X124" t="e">
        <v>#VALUE!</v>
      </c>
      <c r="Y124" t="e">
        <v>#VALUE!</v>
      </c>
      <c r="Z124" t="e">
        <v>#VALUE!</v>
      </c>
      <c r="AA124" t="e">
        <v>#VALUE!</v>
      </c>
      <c r="AB124" t="e">
        <v>#VALUE!</v>
      </c>
      <c r="AC124" t="e">
        <v>#VALUE!</v>
      </c>
      <c r="AD124" t="e">
        <v>#VALUE!</v>
      </c>
      <c r="AE124" t="e">
        <v>#VALUE!</v>
      </c>
      <c r="AF124" t="e">
        <v>#VALUE!</v>
      </c>
      <c r="AG124" t="e">
        <v>#VALUE!</v>
      </c>
      <c r="AH124" t="e">
        <v>#VALUE!</v>
      </c>
      <c r="AI124" t="e">
        <v>#VALUE!</v>
      </c>
      <c r="AJ124" t="e">
        <v>#VALUE!</v>
      </c>
      <c r="AK124" t="e">
        <v>#VALUE!</v>
      </c>
      <c r="AL124" t="e">
        <v>#VALUE!</v>
      </c>
      <c r="AM124" t="e">
        <v>#VALUE!</v>
      </c>
      <c r="AN124" t="e">
        <v>#VALUE!</v>
      </c>
      <c r="AO124">
        <v>0</v>
      </c>
      <c r="AP124" t="e">
        <v>#VALUE!</v>
      </c>
      <c r="AQ124" t="e">
        <v>#VALUE!</v>
      </c>
      <c r="AR124" t="e">
        <v>#VALUE!</v>
      </c>
      <c r="AS124" t="e">
        <v>#VALUE!</v>
      </c>
      <c r="AT124" t="e">
        <v>#VALUE!</v>
      </c>
      <c r="AU124" t="e">
        <v>#VALUE!</v>
      </c>
      <c r="AV124" t="e">
        <v>#VALUE!</v>
      </c>
      <c r="AW124" t="e">
        <v>#VALUE!</v>
      </c>
      <c r="AX124" t="e">
        <v>#VALUE!</v>
      </c>
      <c r="AY124" t="e">
        <v>#VALUE!</v>
      </c>
      <c r="AZ124" t="e">
        <v>#VALUE!</v>
      </c>
      <c r="BA124" t="e">
        <v>#VALUE!</v>
      </c>
      <c r="BB124" t="e">
        <v>#VALUE!</v>
      </c>
      <c r="BC124" t="e">
        <v>#VALUE!</v>
      </c>
      <c r="BD124" t="e">
        <v>#VALUE!</v>
      </c>
      <c r="BE124" t="e">
        <v>#VALUE!</v>
      </c>
      <c r="BF124" t="e">
        <v>#VALUE!</v>
      </c>
      <c r="BG124" t="e">
        <v>#VALUE!</v>
      </c>
      <c r="BH124">
        <v>0</v>
      </c>
      <c r="BI124" t="e">
        <v>#VALUE!</v>
      </c>
      <c r="BJ124" t="e">
        <v>#VALUE!</v>
      </c>
      <c r="BK124" t="e">
        <v>#VALUE!</v>
      </c>
      <c r="BL124" t="e">
        <v>#VALUE!</v>
      </c>
      <c r="BM124" t="e">
        <v>#VALUE!</v>
      </c>
      <c r="BN124" t="e">
        <v>#VALUE!</v>
      </c>
      <c r="BO124" t="e">
        <v>#VALUE!</v>
      </c>
      <c r="BP124" t="e">
        <v>#VALUE!</v>
      </c>
      <c r="BQ124" t="e">
        <v>#VALUE!</v>
      </c>
      <c r="BR124" t="e">
        <v>#VALUE!</v>
      </c>
      <c r="BS124" t="e">
        <v>#VALUE!</v>
      </c>
      <c r="BT124" t="e">
        <v>#VALUE!</v>
      </c>
      <c r="BU124" t="e">
        <v>#VALUE!</v>
      </c>
      <c r="BV124" t="e">
        <v>#VALUE!</v>
      </c>
      <c r="BW124" t="e">
        <v>#VALUE!</v>
      </c>
      <c r="BX124" t="e">
        <v>#VALUE!</v>
      </c>
      <c r="BY124" t="e">
        <v>#VALUE!</v>
      </c>
      <c r="BZ124" t="e">
        <v>#VALUE!</v>
      </c>
      <c r="CA124">
        <v>0</v>
      </c>
      <c r="CB124" t="e">
        <v>#VALUE!</v>
      </c>
      <c r="CC124" t="e">
        <v>#VALUE!</v>
      </c>
      <c r="CD124" t="e">
        <v>#VALUE!</v>
      </c>
      <c r="CE124" t="e">
        <v>#VALUE!</v>
      </c>
      <c r="CF124" t="e">
        <v>#VALUE!</v>
      </c>
      <c r="CG124" t="e">
        <v>#VALUE!</v>
      </c>
      <c r="CH124" t="e">
        <v>#VALUE!</v>
      </c>
      <c r="CI124" t="e">
        <v>#VALUE!</v>
      </c>
      <c r="CJ124" t="e">
        <v>#VALUE!</v>
      </c>
      <c r="CK124" t="e">
        <v>#VALUE!</v>
      </c>
      <c r="CL124" t="e">
        <v>#VALUE!</v>
      </c>
      <c r="CM124" t="e">
        <v>#VALUE!</v>
      </c>
      <c r="CN124" t="e">
        <v>#VALUE!</v>
      </c>
      <c r="CO124" t="e">
        <v>#VALUE!</v>
      </c>
      <c r="CP124" t="e">
        <v>#VALUE!</v>
      </c>
      <c r="CQ124" t="e">
        <v>#VALUE!</v>
      </c>
      <c r="CR124" t="e">
        <v>#VALUE!</v>
      </c>
      <c r="CS124" t="e">
        <v>#VALUE!</v>
      </c>
      <c r="CT124">
        <v>0</v>
      </c>
      <c r="CU124" t="e">
        <v>#VALUE!</v>
      </c>
      <c r="CV124" t="e">
        <v>#VALUE!</v>
      </c>
      <c r="CW124" t="e">
        <v>#VALUE!</v>
      </c>
      <c r="CX124" t="e">
        <v>#VALUE!</v>
      </c>
      <c r="CY124" t="e">
        <v>#VALUE!</v>
      </c>
      <c r="CZ124" t="e">
        <v>#VALUE!</v>
      </c>
      <c r="DA124" t="e">
        <v>#VALUE!</v>
      </c>
      <c r="DB124" t="e">
        <v>#VALUE!</v>
      </c>
      <c r="DC124" t="e">
        <v>#VALUE!</v>
      </c>
      <c r="DD124" t="e">
        <v>#VALUE!</v>
      </c>
      <c r="DE124" t="e">
        <v>#VALUE!</v>
      </c>
      <c r="DF124" t="e">
        <v>#VALUE!</v>
      </c>
      <c r="DG124" t="e">
        <v>#VALUE!</v>
      </c>
      <c r="DH124" t="e">
        <v>#VALUE!</v>
      </c>
      <c r="DI124" t="e">
        <v>#VALUE!</v>
      </c>
      <c r="DJ124" t="e">
        <v>#VALUE!</v>
      </c>
      <c r="DK124" t="e">
        <v>#VALUE!</v>
      </c>
      <c r="DL124" t="e">
        <v>#VALUE!</v>
      </c>
      <c r="DM124">
        <v>0</v>
      </c>
      <c r="DN124" t="e">
        <v>#VALUE!</v>
      </c>
      <c r="DO124" t="e">
        <v>#VALUE!</v>
      </c>
      <c r="DP124" t="e">
        <v>#VALUE!</v>
      </c>
      <c r="DQ124" t="e">
        <v>#VALUE!</v>
      </c>
      <c r="DR124" t="e">
        <v>#VALUE!</v>
      </c>
      <c r="DS124" t="e">
        <v>#VALUE!</v>
      </c>
      <c r="DT124" t="e">
        <v>#VALUE!</v>
      </c>
      <c r="DU124" t="e">
        <v>#VALUE!</v>
      </c>
      <c r="DV124" t="e">
        <v>#VALUE!</v>
      </c>
      <c r="DW124" t="e">
        <v>#VALUE!</v>
      </c>
      <c r="DX124" t="e">
        <v>#VALUE!</v>
      </c>
      <c r="DY124" t="e">
        <v>#VALUE!</v>
      </c>
      <c r="DZ124" t="e">
        <v>#VALUE!</v>
      </c>
      <c r="EA124" t="e">
        <v>#VALUE!</v>
      </c>
      <c r="EB124" t="e">
        <v>#VALUE!</v>
      </c>
      <c r="EC124" t="e">
        <v>#VALUE!</v>
      </c>
      <c r="ED124" t="e">
        <v>#VALUE!</v>
      </c>
      <c r="EE124" t="e">
        <v>#VALUE!</v>
      </c>
      <c r="EF124">
        <v>0</v>
      </c>
      <c r="EG124" t="e">
        <v>#VALUE!</v>
      </c>
      <c r="EH124" t="e">
        <v>#VALUE!</v>
      </c>
      <c r="EI124" t="e">
        <v>#VALUE!</v>
      </c>
      <c r="EJ124" t="e">
        <v>#VALUE!</v>
      </c>
      <c r="EK124" t="e">
        <v>#VALUE!</v>
      </c>
      <c r="EL124" t="e">
        <v>#VALUE!</v>
      </c>
      <c r="EM124" t="e">
        <v>#VALUE!</v>
      </c>
      <c r="EN124" t="e">
        <v>#VALUE!</v>
      </c>
      <c r="EO124" t="e">
        <v>#VALUE!</v>
      </c>
      <c r="EP124" t="e">
        <v>#VALUE!</v>
      </c>
      <c r="EQ124" t="e">
        <v>#VALUE!</v>
      </c>
      <c r="ER124" t="e">
        <v>#VALUE!</v>
      </c>
      <c r="ES124" t="e">
        <v>#VALUE!</v>
      </c>
      <c r="ET124" t="e">
        <v>#VALUE!</v>
      </c>
      <c r="EU124" t="e">
        <v>#VALUE!</v>
      </c>
      <c r="EV124" t="e">
        <v>#VALUE!</v>
      </c>
      <c r="EW124" t="e">
        <v>#VALUE!</v>
      </c>
      <c r="EX124" t="e">
        <v>#VALUE!</v>
      </c>
      <c r="EY124">
        <v>0</v>
      </c>
      <c r="EZ124" t="e">
        <v>#VALUE!</v>
      </c>
      <c r="FA124" t="e">
        <v>#VALUE!</v>
      </c>
      <c r="FB124" t="e">
        <v>#VALUE!</v>
      </c>
      <c r="FC124" t="e">
        <v>#VALUE!</v>
      </c>
      <c r="FD124" t="e">
        <v>#VALUE!</v>
      </c>
      <c r="FE124" t="e">
        <v>#VALUE!</v>
      </c>
      <c r="FF124" t="e">
        <v>#VALUE!</v>
      </c>
      <c r="FG124" t="e">
        <v>#VALUE!</v>
      </c>
      <c r="FH124" t="e">
        <v>#VALUE!</v>
      </c>
      <c r="FI124" t="e">
        <v>#VALUE!</v>
      </c>
      <c r="FJ124" t="e">
        <v>#VALUE!</v>
      </c>
      <c r="FK124" t="e">
        <v>#VALUE!</v>
      </c>
      <c r="FL124" t="e">
        <v>#VALUE!</v>
      </c>
      <c r="FM124" t="e">
        <v>#VALUE!</v>
      </c>
      <c r="FN124" t="e">
        <v>#VALUE!</v>
      </c>
      <c r="FO124" t="e">
        <v>#VALUE!</v>
      </c>
      <c r="FP124" t="e">
        <v>#VALUE!</v>
      </c>
      <c r="FQ124" t="e">
        <v>#VALUE!</v>
      </c>
      <c r="FR124">
        <v>0</v>
      </c>
      <c r="FS124" t="e">
        <v>#VALUE!</v>
      </c>
      <c r="FT124" t="e">
        <v>#VALUE!</v>
      </c>
      <c r="FU124" t="e">
        <v>#VALUE!</v>
      </c>
      <c r="FV124" t="e">
        <v>#VALUE!</v>
      </c>
      <c r="FW124" t="e">
        <v>#VALUE!</v>
      </c>
      <c r="FX124" t="e">
        <v>#VALUE!</v>
      </c>
      <c r="FY124" t="e">
        <v>#VALUE!</v>
      </c>
      <c r="FZ124" t="e">
        <v>#VALUE!</v>
      </c>
      <c r="GA124" t="e">
        <v>#VALUE!</v>
      </c>
      <c r="GB124" t="e">
        <v>#VALUE!</v>
      </c>
      <c r="GC124" t="e">
        <v>#VALUE!</v>
      </c>
      <c r="GD124" t="e">
        <v>#VALUE!</v>
      </c>
      <c r="GE124" t="e">
        <v>#VALUE!</v>
      </c>
      <c r="GF124" t="e">
        <v>#VALUE!</v>
      </c>
      <c r="GG124" t="e">
        <v>#VALUE!</v>
      </c>
      <c r="GH124" t="e">
        <v>#VALUE!</v>
      </c>
      <c r="GI124" t="e">
        <v>#VALUE!</v>
      </c>
      <c r="GJ124" t="e">
        <v>#VALUE!</v>
      </c>
      <c r="GK124">
        <v>0</v>
      </c>
      <c r="GL124" t="e">
        <v>#VALUE!</v>
      </c>
      <c r="GM124" t="e">
        <v>#VALUE!</v>
      </c>
      <c r="GN124" t="e">
        <v>#VALUE!</v>
      </c>
      <c r="GO124" t="e">
        <v>#VALUE!</v>
      </c>
      <c r="GP124" t="e">
        <v>#VALUE!</v>
      </c>
      <c r="GQ124" t="e">
        <v>#VALUE!</v>
      </c>
      <c r="GR124" t="e">
        <v>#VALUE!</v>
      </c>
      <c r="GS124" t="e">
        <v>#VALUE!</v>
      </c>
      <c r="GT124" t="e">
        <v>#VALUE!</v>
      </c>
      <c r="GU124" t="e">
        <v>#VALUE!</v>
      </c>
      <c r="GV124" t="e">
        <v>#VALUE!</v>
      </c>
      <c r="GW124" t="e">
        <v>#VALUE!</v>
      </c>
      <c r="GX124" t="e">
        <v>#VALUE!</v>
      </c>
      <c r="GY124" t="e">
        <v>#VALUE!</v>
      </c>
      <c r="GZ124" t="e">
        <v>#VALUE!</v>
      </c>
      <c r="HA124" t="e">
        <v>#VALUE!</v>
      </c>
      <c r="HB124" t="e">
        <v>#VALUE!</v>
      </c>
      <c r="HC124" t="e">
        <v>#VALUE!</v>
      </c>
      <c r="HD124">
        <v>0</v>
      </c>
      <c r="HE124" t="e">
        <v>#VALUE!</v>
      </c>
      <c r="HF124" t="e">
        <v>#VALUE!</v>
      </c>
      <c r="HG124" t="e">
        <v>#VALUE!</v>
      </c>
      <c r="HH124" t="e">
        <v>#VALUE!</v>
      </c>
      <c r="HI124" t="e">
        <v>#VALUE!</v>
      </c>
      <c r="HJ124" t="e">
        <v>#VALUE!</v>
      </c>
      <c r="HK124" t="e">
        <v>#VALUE!</v>
      </c>
      <c r="HL124" t="e">
        <v>#VALUE!</v>
      </c>
      <c r="HM124" t="e">
        <v>#VALUE!</v>
      </c>
      <c r="HN124" t="e">
        <v>#VALUE!</v>
      </c>
      <c r="HO124" t="e">
        <v>#VALUE!</v>
      </c>
      <c r="HP124" t="e">
        <v>#VALUE!</v>
      </c>
      <c r="HQ124" t="e">
        <v>#VALUE!</v>
      </c>
      <c r="HR124" t="e">
        <v>#VALUE!</v>
      </c>
      <c r="HS124" t="e">
        <v>#VALUE!</v>
      </c>
      <c r="HT124" t="e">
        <v>#VALUE!</v>
      </c>
      <c r="HU124" t="e">
        <v>#VALUE!</v>
      </c>
      <c r="HV124" t="e">
        <v>#VALUE!</v>
      </c>
      <c r="HW124">
        <v>0</v>
      </c>
      <c r="HX124" t="e">
        <v>#VALUE!</v>
      </c>
      <c r="HY124" t="e">
        <v>#VALUE!</v>
      </c>
      <c r="HZ124" t="e">
        <v>#VALUE!</v>
      </c>
      <c r="IA124" t="e">
        <v>#VALUE!</v>
      </c>
      <c r="IB124" t="e">
        <v>#VALUE!</v>
      </c>
      <c r="IC124" t="e">
        <v>#VALUE!</v>
      </c>
      <c r="ID124" t="e">
        <v>#VALUE!</v>
      </c>
      <c r="IE124" t="e">
        <v>#VALUE!</v>
      </c>
      <c r="IF124" t="e">
        <v>#VALUE!</v>
      </c>
      <c r="IG124" t="e">
        <v>#VALUE!</v>
      </c>
      <c r="IH124" t="e">
        <v>#VALUE!</v>
      </c>
      <c r="II124" t="e">
        <v>#VALUE!</v>
      </c>
      <c r="IJ124" t="e">
        <v>#VALUE!</v>
      </c>
      <c r="IK124" t="e">
        <v>#VALUE!</v>
      </c>
      <c r="IL124" t="e">
        <v>#VALUE!</v>
      </c>
      <c r="IM124" t="e">
        <v>#VALUE!</v>
      </c>
      <c r="IN124" t="e">
        <v>#VALUE!</v>
      </c>
      <c r="IO124" t="e">
        <v>#VALUE!</v>
      </c>
      <c r="IP124">
        <v>0</v>
      </c>
      <c r="IQ124" t="e">
        <v>#VALUE!</v>
      </c>
      <c r="IR124" t="e">
        <v>#VALUE!</v>
      </c>
      <c r="IS124" t="e">
        <v>#VALUE!</v>
      </c>
      <c r="IT124" t="e">
        <v>#VALUE!</v>
      </c>
      <c r="IU124" t="e">
        <v>#VALUE!</v>
      </c>
      <c r="IV124" t="e">
        <v>#VALUE!</v>
      </c>
    </row>
    <row r="125" spans="1:256" x14ac:dyDescent="0.25">
      <c r="A125" t="e">
        <v>#VALUE!</v>
      </c>
      <c r="B125" t="e">
        <v>#VALUE!</v>
      </c>
      <c r="C125" t="e">
        <v>#VALUE!</v>
      </c>
      <c r="D125" t="e">
        <v>#VALUE!</v>
      </c>
      <c r="E125" t="e">
        <v>#VALUE!</v>
      </c>
      <c r="F125" t="e">
        <v>#VALUE!</v>
      </c>
      <c r="G125" t="e">
        <v>#VALUE!</v>
      </c>
      <c r="H125" t="e">
        <v>#VALUE!</v>
      </c>
      <c r="I125" t="e">
        <v>#VALUE!</v>
      </c>
      <c r="J125" t="e">
        <v>#VALUE!</v>
      </c>
      <c r="K125" t="e">
        <v>#VALUE!</v>
      </c>
      <c r="L125" t="e">
        <v>#VALUE!</v>
      </c>
      <c r="M125">
        <v>0</v>
      </c>
      <c r="N125" t="e">
        <v>#VALUE!</v>
      </c>
      <c r="O125" t="e">
        <v>#VALUE!</v>
      </c>
      <c r="P125" t="e">
        <v>#VALUE!</v>
      </c>
      <c r="Q125" t="e">
        <v>#VALUE!</v>
      </c>
      <c r="R125" t="e">
        <v>#VALUE!</v>
      </c>
      <c r="S125" t="e">
        <v>#VALUE!</v>
      </c>
      <c r="T125" t="e">
        <v>#VALUE!</v>
      </c>
      <c r="U125" t="e">
        <v>#VALUE!</v>
      </c>
      <c r="V125" t="e">
        <v>#VALUE!</v>
      </c>
      <c r="W125" t="e">
        <v>#VALUE!</v>
      </c>
      <c r="X125" t="e">
        <v>#VALUE!</v>
      </c>
      <c r="Y125" t="e">
        <v>#VALUE!</v>
      </c>
      <c r="Z125" t="e">
        <v>#VALUE!</v>
      </c>
      <c r="AA125" t="e">
        <v>#VALUE!</v>
      </c>
      <c r="AB125" t="e">
        <v>#VALUE!</v>
      </c>
      <c r="AC125" t="e">
        <v>#VALUE!</v>
      </c>
      <c r="AD125" t="e">
        <v>#VALUE!</v>
      </c>
      <c r="AE125" t="e">
        <v>#VALUE!</v>
      </c>
      <c r="AF125">
        <v>0</v>
      </c>
      <c r="AG125" t="e">
        <v>#VALUE!</v>
      </c>
      <c r="AH125" t="e">
        <v>#VALUE!</v>
      </c>
      <c r="AI125" t="e">
        <v>#VALUE!</v>
      </c>
      <c r="AJ125" t="e">
        <v>#VALUE!</v>
      </c>
      <c r="AK125" t="e">
        <v>#VALUE!</v>
      </c>
      <c r="AL125" t="e">
        <v>#VALUE!</v>
      </c>
      <c r="AM125" t="e">
        <v>#VALUE!</v>
      </c>
      <c r="AN125" t="e">
        <v>#VALUE!</v>
      </c>
      <c r="AO125" t="e">
        <v>#VALUE!</v>
      </c>
      <c r="AP125" t="e">
        <v>#VALUE!</v>
      </c>
      <c r="AQ125" t="e">
        <v>#VALUE!</v>
      </c>
      <c r="AR125" t="e">
        <v>#VALUE!</v>
      </c>
      <c r="AS125" t="e">
        <v>#VALUE!</v>
      </c>
      <c r="AT125" t="e">
        <v>#VALUE!</v>
      </c>
      <c r="AU125" t="e">
        <v>#VALUE!</v>
      </c>
      <c r="AV125" t="e">
        <v>#VALUE!</v>
      </c>
      <c r="AW125" t="e">
        <v>#VALUE!</v>
      </c>
      <c r="AX125" t="e">
        <v>#VALUE!</v>
      </c>
      <c r="AY125">
        <v>0</v>
      </c>
      <c r="AZ125" t="e">
        <v>#VALUE!</v>
      </c>
      <c r="BA125" t="e">
        <v>#VALUE!</v>
      </c>
      <c r="BB125" t="e">
        <v>#VALUE!</v>
      </c>
      <c r="BC125" t="e">
        <v>#VALUE!</v>
      </c>
      <c r="BD125" t="e">
        <v>#VALUE!</v>
      </c>
      <c r="BE125" t="e">
        <v>#VALUE!</v>
      </c>
      <c r="BF125" t="e">
        <v>#VALUE!</v>
      </c>
      <c r="BG125" t="e">
        <v>#VALUE!</v>
      </c>
      <c r="BH125" t="e">
        <v>#VALUE!</v>
      </c>
      <c r="BI125" t="e">
        <v>#VALUE!</v>
      </c>
      <c r="BJ125" t="e">
        <v>#VALUE!</v>
      </c>
      <c r="BK125" t="e">
        <v>#VALUE!</v>
      </c>
      <c r="BL125" t="e">
        <v>#VALUE!</v>
      </c>
      <c r="BM125" t="e">
        <v>#VALUE!</v>
      </c>
      <c r="BN125" t="e">
        <v>#VALUE!</v>
      </c>
      <c r="BO125" t="e">
        <v>#VALUE!</v>
      </c>
      <c r="BP125" t="e">
        <v>#VALUE!</v>
      </c>
      <c r="BQ125" t="e">
        <v>#VALUE!</v>
      </c>
      <c r="BR125">
        <v>0</v>
      </c>
      <c r="BS125" t="e">
        <v>#VALUE!</v>
      </c>
      <c r="BT125" t="e">
        <v>#VALUE!</v>
      </c>
      <c r="BU125" t="e">
        <v>#VALUE!</v>
      </c>
      <c r="BV125" t="e">
        <v>#VALUE!</v>
      </c>
      <c r="BW125" t="e">
        <v>#VALUE!</v>
      </c>
      <c r="BX125" t="e">
        <v>#VALUE!</v>
      </c>
      <c r="BY125" t="e">
        <v>#VALUE!</v>
      </c>
      <c r="BZ125" t="e">
        <v>#VALUE!</v>
      </c>
      <c r="CA125" t="e">
        <v>#VALUE!</v>
      </c>
      <c r="CB125" t="e">
        <v>#VALUE!</v>
      </c>
      <c r="CC125" t="e">
        <v>#VALUE!</v>
      </c>
      <c r="CD125" t="e">
        <v>#VALUE!</v>
      </c>
      <c r="CE125" t="e">
        <v>#VALUE!</v>
      </c>
      <c r="CF125" t="e">
        <v>#VALUE!</v>
      </c>
      <c r="CG125" t="e">
        <v>#VALUE!</v>
      </c>
      <c r="CH125" t="e">
        <v>#VALUE!</v>
      </c>
      <c r="CI125" t="e">
        <v>#VALUE!</v>
      </c>
      <c r="CJ125" t="e">
        <v>#VALUE!</v>
      </c>
      <c r="CK125">
        <v>0</v>
      </c>
      <c r="CL125" t="e">
        <v>#VALUE!</v>
      </c>
      <c r="CM125" t="e">
        <v>#VALUE!</v>
      </c>
      <c r="CN125" t="e">
        <v>#VALUE!</v>
      </c>
      <c r="CO125" t="e">
        <v>#VALUE!</v>
      </c>
      <c r="CP125" t="e">
        <v>#VALUE!</v>
      </c>
      <c r="CQ125" t="e">
        <v>#VALUE!</v>
      </c>
      <c r="CR125" t="e">
        <v>#VALUE!</v>
      </c>
      <c r="CS125" t="e">
        <v>#VALUE!</v>
      </c>
      <c r="CT125" t="e">
        <v>#VALUE!</v>
      </c>
      <c r="CU125" t="e">
        <v>#VALUE!</v>
      </c>
      <c r="CV125" t="e">
        <v>#VALUE!</v>
      </c>
      <c r="CW125" t="e">
        <v>#VALUE!</v>
      </c>
      <c r="CX125" t="e">
        <v>#VALUE!</v>
      </c>
      <c r="CY125" t="e">
        <v>#VALUE!</v>
      </c>
      <c r="CZ125" t="e">
        <v>#VALUE!</v>
      </c>
      <c r="DA125" t="e">
        <v>#VALUE!</v>
      </c>
      <c r="DB125" t="e">
        <v>#VALUE!</v>
      </c>
      <c r="DC125" t="e">
        <v>#VALUE!</v>
      </c>
      <c r="DD125">
        <v>0</v>
      </c>
      <c r="DE125" t="e">
        <v>#VALUE!</v>
      </c>
      <c r="DF125" t="e">
        <v>#VALUE!</v>
      </c>
      <c r="DG125" t="e">
        <v>#VALUE!</v>
      </c>
      <c r="DH125" t="e">
        <v>#VALUE!</v>
      </c>
      <c r="DI125" t="e">
        <v>#VALUE!</v>
      </c>
      <c r="DJ125" t="e">
        <v>#VALUE!</v>
      </c>
      <c r="DK125" t="e">
        <v>#VALUE!</v>
      </c>
      <c r="DL125" t="e">
        <v>#VALUE!</v>
      </c>
      <c r="DM125" t="e">
        <v>#VALUE!</v>
      </c>
      <c r="DN125" t="e">
        <v>#VALUE!</v>
      </c>
      <c r="DO125" t="e">
        <v>#VALUE!</v>
      </c>
      <c r="DP125" t="e">
        <v>#VALUE!</v>
      </c>
      <c r="DQ125" t="e">
        <v>#VALUE!</v>
      </c>
      <c r="DR125" t="e">
        <v>#VALUE!</v>
      </c>
      <c r="DS125" t="e">
        <v>#VALUE!</v>
      </c>
      <c r="DT125" t="e">
        <v>#VALUE!</v>
      </c>
      <c r="DU125" t="e">
        <v>#VALUE!</v>
      </c>
      <c r="DV125" t="e">
        <v>#VALUE!</v>
      </c>
      <c r="DW125">
        <v>0</v>
      </c>
      <c r="DX125" t="e">
        <v>#VALUE!</v>
      </c>
      <c r="DY125" t="e">
        <v>#VALUE!</v>
      </c>
      <c r="DZ125" t="e">
        <v>#VALUE!</v>
      </c>
      <c r="EA125" t="e">
        <v>#VALUE!</v>
      </c>
      <c r="EB125" t="e">
        <v>#VALUE!</v>
      </c>
      <c r="EC125" t="e">
        <v>#VALUE!</v>
      </c>
      <c r="ED125" t="e">
        <v>#VALUE!</v>
      </c>
      <c r="EE125" t="e">
        <v>#VALUE!</v>
      </c>
      <c r="EF125" t="e">
        <v>#VALUE!</v>
      </c>
      <c r="EG125" t="e">
        <v>#VALUE!</v>
      </c>
      <c r="EH125" t="e">
        <v>#VALUE!</v>
      </c>
      <c r="EI125" t="e">
        <v>#VALUE!</v>
      </c>
      <c r="EJ125" t="e">
        <v>#VALUE!</v>
      </c>
      <c r="EK125" t="e">
        <v>#VALUE!</v>
      </c>
      <c r="EL125" t="e">
        <v>#VALUE!</v>
      </c>
      <c r="EM125" t="e">
        <v>#VALUE!</v>
      </c>
      <c r="EN125" t="e">
        <v>#VALUE!</v>
      </c>
      <c r="EO125" t="e">
        <v>#VALUE!</v>
      </c>
      <c r="EP125">
        <v>0</v>
      </c>
      <c r="EQ125" t="e">
        <v>#VALUE!</v>
      </c>
      <c r="ER125" t="e">
        <v>#VALUE!</v>
      </c>
      <c r="ES125" t="e">
        <v>#VALUE!</v>
      </c>
      <c r="ET125" t="e">
        <v>#VALUE!</v>
      </c>
      <c r="EU125" t="e">
        <v>#VALUE!</v>
      </c>
      <c r="EV125" t="e">
        <v>#VALUE!</v>
      </c>
      <c r="EW125" t="e">
        <v>#VALUE!</v>
      </c>
      <c r="EX125" t="e">
        <v>#VALUE!</v>
      </c>
      <c r="EY125" t="e">
        <v>#VALUE!</v>
      </c>
      <c r="EZ125" t="e">
        <v>#VALUE!</v>
      </c>
      <c r="FA125" t="e">
        <v>#VALUE!</v>
      </c>
      <c r="FB125" t="e">
        <v>#VALUE!</v>
      </c>
      <c r="FC125" t="e">
        <v>#VALUE!</v>
      </c>
      <c r="FD125" t="e">
        <v>#VALUE!</v>
      </c>
      <c r="FE125" t="e">
        <v>#VALUE!</v>
      </c>
      <c r="FF125" t="e">
        <v>#VALUE!</v>
      </c>
      <c r="FG125" t="e">
        <v>#VALUE!</v>
      </c>
      <c r="FH125" t="e">
        <v>#VALUE!</v>
      </c>
      <c r="FI125">
        <v>0</v>
      </c>
      <c r="FJ125" t="e">
        <v>#VALUE!</v>
      </c>
      <c r="FK125" t="e">
        <v>#VALUE!</v>
      </c>
      <c r="FL125" t="e">
        <v>#VALUE!</v>
      </c>
      <c r="FM125" t="e">
        <v>#VALUE!</v>
      </c>
      <c r="FN125" t="e">
        <v>#VALUE!</v>
      </c>
      <c r="FO125" t="e">
        <v>#VALUE!</v>
      </c>
      <c r="FP125" t="e">
        <v>#VALUE!</v>
      </c>
      <c r="FQ125" t="e">
        <v>#VALUE!</v>
      </c>
      <c r="FR125" t="e">
        <v>#VALUE!</v>
      </c>
      <c r="FS125" t="e">
        <v>#VALUE!</v>
      </c>
      <c r="FT125" t="e">
        <v>#VALUE!</v>
      </c>
      <c r="FU125" t="e">
        <v>#VALUE!</v>
      </c>
      <c r="FV125" t="e">
        <v>#VALUE!</v>
      </c>
      <c r="FW125" t="e">
        <v>#VALUE!</v>
      </c>
      <c r="FX125" t="e">
        <v>#VALUE!</v>
      </c>
      <c r="FY125" t="e">
        <v>#VALUE!</v>
      </c>
      <c r="FZ125" t="e">
        <v>#VALUE!</v>
      </c>
      <c r="GA125" t="e">
        <v>#VALUE!</v>
      </c>
      <c r="GB125">
        <v>0</v>
      </c>
      <c r="GC125" t="e">
        <v>#VALUE!</v>
      </c>
      <c r="GD125" t="e">
        <v>#VALUE!</v>
      </c>
      <c r="GE125" t="e">
        <v>#VALUE!</v>
      </c>
      <c r="GF125" t="e">
        <v>#VALUE!</v>
      </c>
      <c r="GG125" t="e">
        <v>#VALUE!</v>
      </c>
      <c r="GH125" t="e">
        <v>#VALUE!</v>
      </c>
      <c r="GI125" t="e">
        <v>#VALUE!</v>
      </c>
      <c r="GJ125" t="e">
        <v>#VALUE!</v>
      </c>
      <c r="GK125" t="e">
        <v>#VALUE!</v>
      </c>
      <c r="GL125" t="e">
        <v>#VALUE!</v>
      </c>
      <c r="GM125" t="e">
        <v>#VALUE!</v>
      </c>
      <c r="GN125" t="e">
        <v>#VALUE!</v>
      </c>
      <c r="GO125" t="e">
        <v>#VALUE!</v>
      </c>
      <c r="GP125" t="e">
        <v>#VALUE!</v>
      </c>
      <c r="GQ125" t="e">
        <v>#VALUE!</v>
      </c>
      <c r="GR125" t="e">
        <v>#VALUE!</v>
      </c>
      <c r="GS125" t="e">
        <v>#VALUE!</v>
      </c>
      <c r="GT125" t="e">
        <v>#VALUE!</v>
      </c>
      <c r="GU125">
        <v>0</v>
      </c>
      <c r="GV125" t="e">
        <v>#VALUE!</v>
      </c>
      <c r="GW125" t="e">
        <v>#VALUE!</v>
      </c>
      <c r="GX125" t="e">
        <v>#VALUE!</v>
      </c>
      <c r="GY125" t="e">
        <v>#VALUE!</v>
      </c>
      <c r="GZ125" t="e">
        <v>#VALUE!</v>
      </c>
      <c r="HA125" t="e">
        <v>#VALUE!</v>
      </c>
      <c r="HB125" t="e">
        <v>#VALUE!</v>
      </c>
      <c r="HC125" t="e">
        <v>#VALUE!</v>
      </c>
      <c r="HD125" t="e">
        <v>#VALUE!</v>
      </c>
      <c r="HE125" t="e">
        <v>#VALUE!</v>
      </c>
      <c r="HF125" t="e">
        <v>#VALUE!</v>
      </c>
      <c r="HG125" t="e">
        <v>#VALUE!</v>
      </c>
      <c r="HH125" t="e">
        <v>#VALUE!</v>
      </c>
      <c r="HI125" t="e">
        <v>#VALUE!</v>
      </c>
      <c r="HJ125" t="e">
        <v>#VALUE!</v>
      </c>
      <c r="HK125" t="e">
        <v>#VALUE!</v>
      </c>
      <c r="HL125" t="e">
        <v>#VALUE!</v>
      </c>
      <c r="HM125" t="e">
        <v>#VALUE!</v>
      </c>
      <c r="HN125">
        <v>0</v>
      </c>
      <c r="HO125" t="e">
        <v>#VALUE!</v>
      </c>
      <c r="HP125" t="e">
        <v>#VALUE!</v>
      </c>
      <c r="HQ125" t="e">
        <v>#VALUE!</v>
      </c>
      <c r="HR125" t="e">
        <v>#VALUE!</v>
      </c>
      <c r="HS125" t="e">
        <v>#VALUE!</v>
      </c>
      <c r="HT125" t="e">
        <v>#VALUE!</v>
      </c>
      <c r="HU125" t="e">
        <v>#VALUE!</v>
      </c>
      <c r="HV125" t="e">
        <v>#VALUE!</v>
      </c>
      <c r="HW125" t="e">
        <v>#VALUE!</v>
      </c>
      <c r="HX125" t="e">
        <v>#VALUE!</v>
      </c>
      <c r="HY125" t="e">
        <v>#VALUE!</v>
      </c>
      <c r="HZ125" t="e">
        <v>#VALUE!</v>
      </c>
      <c r="IA125" t="e">
        <v>#VALUE!</v>
      </c>
      <c r="IB125" t="e">
        <v>#VALUE!</v>
      </c>
      <c r="IC125" t="e">
        <v>#VALUE!</v>
      </c>
      <c r="ID125" t="e">
        <v>#VALUE!</v>
      </c>
      <c r="IE125" t="e">
        <v>#VALUE!</v>
      </c>
      <c r="IF125" t="e">
        <v>#VALUE!</v>
      </c>
      <c r="IG125">
        <v>0</v>
      </c>
      <c r="IH125" t="e">
        <v>#VALUE!</v>
      </c>
      <c r="II125" t="e">
        <v>#VALUE!</v>
      </c>
      <c r="IJ125" t="e">
        <v>#VALUE!</v>
      </c>
      <c r="IK125" t="e">
        <v>#VALUE!</v>
      </c>
      <c r="IL125" t="e">
        <v>#VALUE!</v>
      </c>
      <c r="IM125" t="e">
        <v>#VALUE!</v>
      </c>
      <c r="IN125" t="e">
        <v>#VALUE!</v>
      </c>
      <c r="IO125" t="e">
        <v>#VALUE!</v>
      </c>
      <c r="IP125" t="e">
        <v>#VALUE!</v>
      </c>
      <c r="IQ125" t="e">
        <v>#VALUE!</v>
      </c>
      <c r="IR125" t="e">
        <v>#VALUE!</v>
      </c>
      <c r="IS125" t="e">
        <v>#VALUE!</v>
      </c>
      <c r="IT125" t="e">
        <v>#VALUE!</v>
      </c>
      <c r="IU125" t="e">
        <v>#VALUE!</v>
      </c>
      <c r="IV125" t="e">
        <v>#VALUE!</v>
      </c>
    </row>
    <row r="126" spans="1:256" x14ac:dyDescent="0.25">
      <c r="A126" t="e">
        <v>#VALUE!</v>
      </c>
      <c r="B126" t="e">
        <v>#VALUE!</v>
      </c>
      <c r="C126" t="e">
        <v>#VALUE!</v>
      </c>
      <c r="D126">
        <v>0</v>
      </c>
      <c r="E126" t="e">
        <v>#VALUE!</v>
      </c>
      <c r="F126" t="e">
        <v>#VALUE!</v>
      </c>
      <c r="G126" t="e">
        <v>#VALUE!</v>
      </c>
      <c r="H126" t="e">
        <v>#VALUE!</v>
      </c>
      <c r="I126" t="e">
        <v>#VALUE!</v>
      </c>
      <c r="J126" t="e">
        <v>#VALUE!</v>
      </c>
      <c r="K126" t="e">
        <v>#VALUE!</v>
      </c>
      <c r="L126" t="e">
        <v>#VALUE!</v>
      </c>
      <c r="M126" t="e">
        <v>#VALUE!</v>
      </c>
      <c r="N126" t="e">
        <v>#VALUE!</v>
      </c>
      <c r="O126" t="e">
        <v>#VALUE!</v>
      </c>
      <c r="P126" t="e">
        <v>#VALUE!</v>
      </c>
      <c r="Q126" t="e">
        <v>#VALUE!</v>
      </c>
      <c r="R126" t="e">
        <v>#VALUE!</v>
      </c>
      <c r="S126" t="e">
        <v>#VALUE!</v>
      </c>
      <c r="T126" t="e">
        <v>#VALUE!</v>
      </c>
      <c r="U126" t="e">
        <v>#VALUE!</v>
      </c>
      <c r="V126" t="e">
        <v>#VALUE!</v>
      </c>
      <c r="W126">
        <v>0</v>
      </c>
      <c r="X126" t="e">
        <v>#VALUE!</v>
      </c>
      <c r="Y126" t="e">
        <v>#VALUE!</v>
      </c>
      <c r="Z126" t="e">
        <v>#VALUE!</v>
      </c>
      <c r="AA126" t="e">
        <v>#VALUE!</v>
      </c>
      <c r="AB126" t="e">
        <v>#VALUE!</v>
      </c>
      <c r="AC126" t="e">
        <v>#VALUE!</v>
      </c>
      <c r="AD126" t="e">
        <v>#VALUE!</v>
      </c>
      <c r="AE126" t="e">
        <v>#VALUE!</v>
      </c>
      <c r="AF126" t="e">
        <v>#VALUE!</v>
      </c>
      <c r="AG126" t="e">
        <v>#VALUE!</v>
      </c>
      <c r="AH126" t="e">
        <v>#VALUE!</v>
      </c>
      <c r="AI126" t="e">
        <v>#VALUE!</v>
      </c>
      <c r="AJ126" t="e">
        <v>#VALUE!</v>
      </c>
      <c r="AK126" t="e">
        <v>#VALUE!</v>
      </c>
      <c r="AL126" t="e">
        <v>#VALUE!</v>
      </c>
      <c r="AM126" t="e">
        <v>#VALUE!</v>
      </c>
      <c r="AN126" t="e">
        <v>#VALUE!</v>
      </c>
      <c r="AO126" t="e">
        <v>#VALUE!</v>
      </c>
      <c r="AP126">
        <v>0</v>
      </c>
      <c r="AQ126" t="e">
        <v>#VALUE!</v>
      </c>
      <c r="AR126" t="e">
        <v>#VALUE!</v>
      </c>
      <c r="AS126" t="e">
        <v>#VALUE!</v>
      </c>
      <c r="AT126" t="e">
        <v>#VALUE!</v>
      </c>
      <c r="AU126" t="e">
        <v>#VALUE!</v>
      </c>
      <c r="AV126" t="e">
        <v>#VALUE!</v>
      </c>
      <c r="AW126" t="e">
        <v>#VALUE!</v>
      </c>
      <c r="AX126" t="e">
        <v>#VALUE!</v>
      </c>
      <c r="AY126" t="e">
        <v>#VALUE!</v>
      </c>
      <c r="AZ126" t="e">
        <v>#VALUE!</v>
      </c>
      <c r="BA126" t="e">
        <v>#VALUE!</v>
      </c>
      <c r="BB126" t="e">
        <v>#VALUE!</v>
      </c>
      <c r="BC126" t="e">
        <v>#VALUE!</v>
      </c>
      <c r="BD126" t="e">
        <v>#VALUE!</v>
      </c>
      <c r="BE126" t="e">
        <v>#VALUE!</v>
      </c>
      <c r="BF126" t="e">
        <v>#VALUE!</v>
      </c>
      <c r="BG126" t="e">
        <v>#VALUE!</v>
      </c>
      <c r="BH126" t="e">
        <v>#VALUE!</v>
      </c>
      <c r="BI126">
        <v>0</v>
      </c>
      <c r="BJ126" t="e">
        <v>#VALUE!</v>
      </c>
      <c r="BK126" t="e">
        <v>#VALUE!</v>
      </c>
      <c r="BL126" t="e">
        <v>#VALUE!</v>
      </c>
      <c r="BM126" t="e">
        <v>#VALUE!</v>
      </c>
      <c r="BN126" t="e">
        <v>#VALUE!</v>
      </c>
      <c r="BO126" t="e">
        <v>#VALUE!</v>
      </c>
      <c r="BP126" t="e">
        <v>#VALUE!</v>
      </c>
      <c r="BQ126" t="e">
        <v>#VALUE!</v>
      </c>
      <c r="BR126" t="e">
        <v>#VALUE!</v>
      </c>
      <c r="BS126" t="e">
        <v>#VALUE!</v>
      </c>
      <c r="BT126" t="e">
        <v>#VALUE!</v>
      </c>
      <c r="BU126" t="e">
        <v>#VALUE!</v>
      </c>
      <c r="BV126" t="e">
        <v>#VALUE!</v>
      </c>
      <c r="BW126" t="e">
        <v>#VALUE!</v>
      </c>
      <c r="BX126" t="e">
        <v>#VALUE!</v>
      </c>
      <c r="BY126" t="e">
        <v>#VALUE!</v>
      </c>
      <c r="BZ126" t="e">
        <v>#VALUE!</v>
      </c>
      <c r="CA126" t="e">
        <v>#VALUE!</v>
      </c>
      <c r="CB126">
        <v>0</v>
      </c>
      <c r="CC126" t="e">
        <v>#VALUE!</v>
      </c>
      <c r="CD126" t="e">
        <v>#VALUE!</v>
      </c>
      <c r="CE126" t="e">
        <v>#VALUE!</v>
      </c>
      <c r="CF126" t="e">
        <v>#VALUE!</v>
      </c>
      <c r="CG126" t="e">
        <v>#VALUE!</v>
      </c>
      <c r="CH126" t="e">
        <v>#VALUE!</v>
      </c>
      <c r="CI126" t="e">
        <v>#VALUE!</v>
      </c>
      <c r="CJ126" t="e">
        <v>#VALUE!</v>
      </c>
      <c r="CK126" t="e">
        <v>#VALUE!</v>
      </c>
      <c r="CL126" t="e">
        <v>#VALUE!</v>
      </c>
      <c r="CM126" t="e">
        <v>#VALUE!</v>
      </c>
      <c r="CN126" t="e">
        <v>#VALUE!</v>
      </c>
      <c r="CO126" t="e">
        <v>#VALUE!</v>
      </c>
      <c r="CP126" t="e">
        <v>#VALUE!</v>
      </c>
      <c r="CQ126" t="e">
        <v>#VALUE!</v>
      </c>
      <c r="CR126" t="e">
        <v>#VALUE!</v>
      </c>
      <c r="CS126" t="e">
        <v>#VALUE!</v>
      </c>
      <c r="CT126" t="e">
        <v>#VALUE!</v>
      </c>
      <c r="CU126">
        <v>0</v>
      </c>
      <c r="CV126" t="e">
        <v>#VALUE!</v>
      </c>
      <c r="CW126" t="e">
        <v>#VALUE!</v>
      </c>
      <c r="CX126" t="e">
        <v>#VALUE!</v>
      </c>
      <c r="CY126" t="e">
        <v>#VALUE!</v>
      </c>
      <c r="CZ126" t="e">
        <v>#VALUE!</v>
      </c>
      <c r="DA126" t="e">
        <v>#VALUE!</v>
      </c>
      <c r="DB126" t="e">
        <v>#VALUE!</v>
      </c>
      <c r="DC126" t="e">
        <v>#VALUE!</v>
      </c>
      <c r="DD126" t="e">
        <v>#VALUE!</v>
      </c>
      <c r="DE126" t="e">
        <v>#VALUE!</v>
      </c>
      <c r="DF126" t="e">
        <v>#VALUE!</v>
      </c>
      <c r="DG126" t="e">
        <v>#VALUE!</v>
      </c>
      <c r="DH126" t="e">
        <v>#VALUE!</v>
      </c>
      <c r="DI126" t="e">
        <v>#VALUE!</v>
      </c>
      <c r="DJ126" t="e">
        <v>#VALUE!</v>
      </c>
      <c r="DK126" t="e">
        <v>#VALUE!</v>
      </c>
      <c r="DL126" t="e">
        <v>#VALUE!</v>
      </c>
      <c r="DM126" t="e">
        <v>#VALUE!</v>
      </c>
      <c r="DN126">
        <v>0</v>
      </c>
      <c r="DO126" t="e">
        <v>#VALUE!</v>
      </c>
      <c r="DP126" t="e">
        <v>#VALUE!</v>
      </c>
      <c r="DQ126" t="e">
        <v>#VALUE!</v>
      </c>
      <c r="DR126" t="e">
        <v>#VALUE!</v>
      </c>
      <c r="DS126" t="e">
        <v>#VALUE!</v>
      </c>
      <c r="DT126" t="e">
        <v>#VALUE!</v>
      </c>
      <c r="DU126" t="e">
        <v>#VALUE!</v>
      </c>
      <c r="DV126" t="e">
        <v>#VALUE!</v>
      </c>
      <c r="DW126" t="e">
        <v>#VALUE!</v>
      </c>
      <c r="DX126" t="e">
        <v>#VALUE!</v>
      </c>
      <c r="DY126" t="e">
        <v>#VALUE!</v>
      </c>
      <c r="DZ126" t="e">
        <v>#VALUE!</v>
      </c>
      <c r="EA126" t="e">
        <v>#VALUE!</v>
      </c>
      <c r="EB126" t="e">
        <v>#VALUE!</v>
      </c>
      <c r="EC126" t="e">
        <v>#VALUE!</v>
      </c>
      <c r="ED126" t="e">
        <v>#VALUE!</v>
      </c>
      <c r="EE126" t="e">
        <v>#VALUE!</v>
      </c>
      <c r="EF126" t="e">
        <v>#VALUE!</v>
      </c>
      <c r="EG126">
        <v>0</v>
      </c>
      <c r="EH126" t="e">
        <v>#VALUE!</v>
      </c>
      <c r="EI126" t="e">
        <v>#VALUE!</v>
      </c>
      <c r="EJ126" t="e">
        <v>#VALUE!</v>
      </c>
      <c r="EK126" t="e">
        <v>#VALUE!</v>
      </c>
      <c r="EL126" t="e">
        <v>#VALUE!</v>
      </c>
      <c r="EM126" t="e">
        <v>#VALUE!</v>
      </c>
      <c r="EN126" t="e">
        <v>#VALUE!</v>
      </c>
      <c r="EO126" t="e">
        <v>#VALUE!</v>
      </c>
      <c r="EP126" t="e">
        <v>#VALUE!</v>
      </c>
      <c r="EQ126" t="e">
        <v>#VALUE!</v>
      </c>
      <c r="ER126" t="e">
        <v>#VALUE!</v>
      </c>
      <c r="ES126" t="e">
        <v>#VALUE!</v>
      </c>
      <c r="ET126" t="e">
        <v>#VALUE!</v>
      </c>
      <c r="EU126" t="e">
        <v>#VALUE!</v>
      </c>
      <c r="EV126" t="e">
        <v>#VALUE!</v>
      </c>
      <c r="EW126" t="e">
        <v>#VALUE!</v>
      </c>
      <c r="EX126" t="e">
        <v>#VALUE!</v>
      </c>
      <c r="EY126" t="e">
        <v>#VALUE!</v>
      </c>
      <c r="EZ126">
        <v>0</v>
      </c>
      <c r="FA126" t="e">
        <v>#VALUE!</v>
      </c>
      <c r="FB126" t="e">
        <v>#VALUE!</v>
      </c>
      <c r="FC126" t="e">
        <v>#VALUE!</v>
      </c>
      <c r="FD126" t="e">
        <v>#VALUE!</v>
      </c>
      <c r="FE126" t="e">
        <v>#VALUE!</v>
      </c>
      <c r="FF126" t="e">
        <v>#VALUE!</v>
      </c>
      <c r="FG126" t="e">
        <v>#VALUE!</v>
      </c>
      <c r="FH126" t="e">
        <v>#VALUE!</v>
      </c>
      <c r="FI126" t="e">
        <v>#VALUE!</v>
      </c>
      <c r="FJ126" t="e">
        <v>#VALUE!</v>
      </c>
      <c r="FK126" t="e">
        <v>#VALUE!</v>
      </c>
      <c r="FL126" t="e">
        <v>#VALUE!</v>
      </c>
      <c r="FM126" t="e">
        <v>#VALUE!</v>
      </c>
      <c r="FN126" t="e">
        <v>#VALUE!</v>
      </c>
      <c r="FO126" t="e">
        <v>#VALUE!</v>
      </c>
      <c r="FP126" t="e">
        <v>#VALUE!</v>
      </c>
      <c r="FQ126" t="e">
        <v>#VALUE!</v>
      </c>
      <c r="FR126" t="e">
        <v>#VALUE!</v>
      </c>
      <c r="FS126">
        <v>0</v>
      </c>
      <c r="FT126" t="e">
        <v>#VALUE!</v>
      </c>
      <c r="FU126" t="e">
        <v>#VALUE!</v>
      </c>
      <c r="FV126" t="e">
        <v>#VALUE!</v>
      </c>
      <c r="FW126" t="e">
        <v>#VALUE!</v>
      </c>
      <c r="FX126" t="e">
        <v>#VALUE!</v>
      </c>
      <c r="FY126" t="e">
        <v>#VALUE!</v>
      </c>
      <c r="FZ126" t="e">
        <v>#VALUE!</v>
      </c>
      <c r="GA126" t="e">
        <v>#VALUE!</v>
      </c>
      <c r="GB126" t="e">
        <v>#VALUE!</v>
      </c>
      <c r="GC126" t="e">
        <v>#VALUE!</v>
      </c>
      <c r="GD126" t="e">
        <v>#VALUE!</v>
      </c>
      <c r="GE126" t="e">
        <v>#VALUE!</v>
      </c>
      <c r="GF126" t="e">
        <v>#VALUE!</v>
      </c>
      <c r="GG126" t="e">
        <v>#VALUE!</v>
      </c>
      <c r="GH126" t="e">
        <v>#VALUE!</v>
      </c>
      <c r="GI126" t="e">
        <v>#VALUE!</v>
      </c>
      <c r="GJ126" t="e">
        <v>#VALUE!</v>
      </c>
      <c r="GK126" t="e">
        <v>#VALUE!</v>
      </c>
      <c r="GL126">
        <v>0</v>
      </c>
      <c r="GM126" t="e">
        <v>#VALUE!</v>
      </c>
      <c r="GN126" t="e">
        <v>#VALUE!</v>
      </c>
      <c r="GO126" t="e">
        <v>#VALUE!</v>
      </c>
      <c r="GP126" t="e">
        <v>#VALUE!</v>
      </c>
      <c r="GQ126" t="e">
        <v>#VALUE!</v>
      </c>
      <c r="GR126" t="e">
        <v>#VALUE!</v>
      </c>
      <c r="GS126" t="e">
        <v>#VALUE!</v>
      </c>
      <c r="GT126" t="e">
        <v>#VALUE!</v>
      </c>
      <c r="GU126" t="e">
        <v>#VALUE!</v>
      </c>
      <c r="GV126" t="e">
        <v>#VALUE!</v>
      </c>
      <c r="GW126" t="e">
        <v>#VALUE!</v>
      </c>
      <c r="GX126" t="e">
        <v>#VALUE!</v>
      </c>
      <c r="GY126" t="e">
        <v>#VALUE!</v>
      </c>
      <c r="GZ126" t="e">
        <v>#VALUE!</v>
      </c>
      <c r="HA126" t="e">
        <v>#VALUE!</v>
      </c>
      <c r="HB126" t="e">
        <v>#VALUE!</v>
      </c>
      <c r="HC126" t="e">
        <v>#VALUE!</v>
      </c>
      <c r="HD126" t="e">
        <v>#VALUE!</v>
      </c>
      <c r="HE126">
        <v>0</v>
      </c>
      <c r="HF126" t="e">
        <v>#VALUE!</v>
      </c>
      <c r="HG126" t="e">
        <v>#VALUE!</v>
      </c>
      <c r="HH126" t="e">
        <v>#VALUE!</v>
      </c>
      <c r="HI126" t="e">
        <v>#VALUE!</v>
      </c>
      <c r="HJ126" t="e">
        <v>#VALUE!</v>
      </c>
      <c r="HK126" t="e">
        <v>#VALUE!</v>
      </c>
      <c r="HL126" t="e">
        <v>#VALUE!</v>
      </c>
      <c r="HM126" t="e">
        <v>#VALUE!</v>
      </c>
      <c r="HN126" t="e">
        <v>#VALUE!</v>
      </c>
      <c r="HO126" t="e">
        <v>#VALUE!</v>
      </c>
      <c r="HP126" t="e">
        <v>#VALUE!</v>
      </c>
      <c r="HQ126" t="e">
        <v>#VALUE!</v>
      </c>
      <c r="HR126" t="e">
        <v>#VALUE!</v>
      </c>
      <c r="HS126" t="e">
        <v>#VALUE!</v>
      </c>
      <c r="HT126" t="e">
        <v>#VALUE!</v>
      </c>
      <c r="HU126" t="e">
        <v>#VALUE!</v>
      </c>
      <c r="HV126" t="e">
        <v>#VALUE!</v>
      </c>
      <c r="HW126" t="e">
        <v>#VALUE!</v>
      </c>
      <c r="HX126">
        <v>0</v>
      </c>
      <c r="HY126" t="e">
        <v>#VALUE!</v>
      </c>
      <c r="HZ126" t="e">
        <v>#VALUE!</v>
      </c>
      <c r="IA126" t="e">
        <v>#VALUE!</v>
      </c>
      <c r="IB126" t="e">
        <v>#VALUE!</v>
      </c>
      <c r="IC126" t="e">
        <v>#VALUE!</v>
      </c>
      <c r="ID126" t="e">
        <v>#VALUE!</v>
      </c>
      <c r="IE126" t="e">
        <v>#VALUE!</v>
      </c>
      <c r="IF126" t="e">
        <v>#VALUE!</v>
      </c>
      <c r="IG126" t="e">
        <v>#VALUE!</v>
      </c>
      <c r="IH126" t="e">
        <v>#VALUE!</v>
      </c>
      <c r="II126" t="e">
        <v>#VALUE!</v>
      </c>
      <c r="IJ126" t="e">
        <v>#VALUE!</v>
      </c>
      <c r="IK126" t="e">
        <v>#VALUE!</v>
      </c>
      <c r="IL126" t="e">
        <v>#VALUE!</v>
      </c>
      <c r="IM126" t="e">
        <v>#VALUE!</v>
      </c>
      <c r="IN126" t="e">
        <v>#VALUE!</v>
      </c>
      <c r="IO126" t="e">
        <v>#VALUE!</v>
      </c>
      <c r="IP126" t="e">
        <v>#VALUE!</v>
      </c>
      <c r="IQ126">
        <v>0</v>
      </c>
      <c r="IR126" t="e">
        <v>#VALUE!</v>
      </c>
      <c r="IS126" t="e">
        <v>#VALUE!</v>
      </c>
      <c r="IT126" t="e">
        <v>#VALUE!</v>
      </c>
      <c r="IU126" t="e">
        <v>#VALUE!</v>
      </c>
      <c r="IV126" t="e">
        <v>#VALUE!</v>
      </c>
    </row>
    <row r="127" spans="1:256" x14ac:dyDescent="0.25">
      <c r="A127" t="e">
        <v>#VALUE!</v>
      </c>
      <c r="B127" t="e">
        <v>#VALUE!</v>
      </c>
      <c r="C127" t="e">
        <v>#VALUE!</v>
      </c>
      <c r="D127" t="e">
        <v>#VALUE!</v>
      </c>
      <c r="E127" t="e">
        <v>#VALUE!</v>
      </c>
      <c r="F127" t="e">
        <v>#VALUE!</v>
      </c>
      <c r="G127" t="e">
        <v>#VALUE!</v>
      </c>
      <c r="H127" t="e">
        <v>#VALUE!</v>
      </c>
      <c r="I127" t="e">
        <v>#VALUE!</v>
      </c>
      <c r="J127" t="e">
        <v>#VALUE!</v>
      </c>
      <c r="K127" t="e">
        <v>#VALUE!</v>
      </c>
      <c r="L127" t="e">
        <v>#VALUE!</v>
      </c>
      <c r="M127" t="e">
        <v>#VALUE!</v>
      </c>
      <c r="N127">
        <v>0</v>
      </c>
      <c r="O127" t="e">
        <v>#VALUE!</v>
      </c>
      <c r="P127" t="e">
        <v>#VALUE!</v>
      </c>
      <c r="Q127" t="e">
        <v>#VALUE!</v>
      </c>
      <c r="R127" t="e">
        <v>#VALUE!</v>
      </c>
      <c r="S127" t="e">
        <v>#VALUE!</v>
      </c>
      <c r="T127" t="e">
        <v>#VALUE!</v>
      </c>
      <c r="U127" t="e">
        <v>#VALUE!</v>
      </c>
      <c r="V127" t="e">
        <v>#VALUE!</v>
      </c>
      <c r="W127" t="e">
        <v>#VALUE!</v>
      </c>
      <c r="X127" t="e">
        <v>#VALUE!</v>
      </c>
      <c r="Y127" t="e">
        <v>#VALUE!</v>
      </c>
      <c r="Z127" t="e">
        <v>#VALUE!</v>
      </c>
      <c r="AA127" t="e">
        <v>#VALUE!</v>
      </c>
      <c r="AB127" t="e">
        <v>#VALUE!</v>
      </c>
      <c r="AC127" t="e">
        <v>#VALUE!</v>
      </c>
      <c r="AD127" t="e">
        <v>#VALUE!</v>
      </c>
      <c r="AE127" t="e">
        <v>#VALUE!</v>
      </c>
      <c r="AF127" t="e">
        <v>#VALUE!</v>
      </c>
      <c r="AG127">
        <v>0</v>
      </c>
      <c r="AH127" t="e">
        <v>#VALUE!</v>
      </c>
      <c r="AI127" t="e">
        <v>#VALUE!</v>
      </c>
      <c r="AJ127" t="e">
        <v>#VALUE!</v>
      </c>
      <c r="AK127" t="e">
        <v>#VALUE!</v>
      </c>
      <c r="AL127" t="e">
        <v>#VALUE!</v>
      </c>
      <c r="AM127" t="e">
        <v>#VALUE!</v>
      </c>
      <c r="AN127" t="e">
        <v>#VALUE!</v>
      </c>
      <c r="AO127" t="e">
        <v>#VALUE!</v>
      </c>
      <c r="AP127" t="e">
        <v>#VALUE!</v>
      </c>
      <c r="AQ127" t="e">
        <v>#VALUE!</v>
      </c>
      <c r="AR127" t="e">
        <v>#VALUE!</v>
      </c>
      <c r="AS127" t="e">
        <v>#VALUE!</v>
      </c>
      <c r="AT127" t="e">
        <v>#VALUE!</v>
      </c>
      <c r="AU127" t="e">
        <v>#VALUE!</v>
      </c>
      <c r="AV127" t="e">
        <v>#VALUE!</v>
      </c>
      <c r="AW127" t="e">
        <v>#VALUE!</v>
      </c>
      <c r="AX127" t="e">
        <v>#VALUE!</v>
      </c>
      <c r="AY127" t="e">
        <v>#VALUE!</v>
      </c>
      <c r="AZ127">
        <v>0</v>
      </c>
      <c r="BA127" t="e">
        <v>#VALUE!</v>
      </c>
      <c r="BB127" t="e">
        <v>#VALUE!</v>
      </c>
      <c r="BC127" t="e">
        <v>#VALUE!</v>
      </c>
      <c r="BD127" t="e">
        <v>#VALUE!</v>
      </c>
      <c r="BE127" t="e">
        <v>#VALUE!</v>
      </c>
      <c r="BF127" t="e">
        <v>#VALUE!</v>
      </c>
      <c r="BG127" t="e">
        <v>#VALUE!</v>
      </c>
      <c r="BH127" t="e">
        <v>#VALUE!</v>
      </c>
      <c r="BI127" t="e">
        <v>#VALUE!</v>
      </c>
      <c r="BJ127" t="e">
        <v>#VALUE!</v>
      </c>
      <c r="BK127" t="e">
        <v>#VALUE!</v>
      </c>
      <c r="BL127" t="e">
        <v>#VALUE!</v>
      </c>
      <c r="BM127" t="e">
        <v>#VALUE!</v>
      </c>
      <c r="BN127" t="e">
        <v>#VALUE!</v>
      </c>
      <c r="BO127" t="e">
        <v>#VALUE!</v>
      </c>
      <c r="BP127" t="e">
        <v>#VALUE!</v>
      </c>
      <c r="BQ127" t="e">
        <v>#VALUE!</v>
      </c>
      <c r="BR127" t="e">
        <v>#VALUE!</v>
      </c>
      <c r="BS127">
        <v>0</v>
      </c>
      <c r="BT127" t="e">
        <v>#VALUE!</v>
      </c>
      <c r="BU127" t="e">
        <v>#VALUE!</v>
      </c>
      <c r="BV127" t="e">
        <v>#VALUE!</v>
      </c>
      <c r="BW127" t="e">
        <v>#VALUE!</v>
      </c>
      <c r="BX127" t="e">
        <v>#VALUE!</v>
      </c>
      <c r="BY127" t="e">
        <v>#VALUE!</v>
      </c>
      <c r="BZ127" t="e">
        <v>#VALUE!</v>
      </c>
      <c r="CA127" t="e">
        <v>#VALUE!</v>
      </c>
      <c r="CB127" t="e">
        <v>#VALUE!</v>
      </c>
      <c r="CC127" t="e">
        <v>#VALUE!</v>
      </c>
      <c r="CD127" t="e">
        <v>#VALUE!</v>
      </c>
      <c r="CE127" t="e">
        <v>#VALUE!</v>
      </c>
      <c r="CF127" t="e">
        <v>#VALUE!</v>
      </c>
      <c r="CG127" t="e">
        <v>#VALUE!</v>
      </c>
      <c r="CH127" t="e">
        <v>#VALUE!</v>
      </c>
      <c r="CI127" t="e">
        <v>#VALUE!</v>
      </c>
      <c r="CJ127" t="e">
        <v>#VALUE!</v>
      </c>
      <c r="CK127" t="e">
        <v>#VALUE!</v>
      </c>
      <c r="CL127">
        <v>0</v>
      </c>
      <c r="CM127" t="e">
        <v>#VALUE!</v>
      </c>
      <c r="CN127" t="e">
        <v>#VALUE!</v>
      </c>
      <c r="CO127" t="e">
        <v>#VALUE!</v>
      </c>
      <c r="CP127" t="e">
        <v>#VALUE!</v>
      </c>
      <c r="CQ127" t="e">
        <v>#VALUE!</v>
      </c>
      <c r="CR127" t="e">
        <v>#VALUE!</v>
      </c>
      <c r="CS127" t="e">
        <v>#VALUE!</v>
      </c>
      <c r="CT127" t="e">
        <v>#VALUE!</v>
      </c>
      <c r="CU127" t="e">
        <v>#VALUE!</v>
      </c>
      <c r="CV127" t="e">
        <v>#VALUE!</v>
      </c>
      <c r="CW127" t="e">
        <v>#VALUE!</v>
      </c>
      <c r="CX127" t="e">
        <v>#VALUE!</v>
      </c>
      <c r="CY127" t="e">
        <v>#VALUE!</v>
      </c>
      <c r="CZ127" t="e">
        <v>#VALUE!</v>
      </c>
      <c r="DA127" t="e">
        <v>#VALUE!</v>
      </c>
      <c r="DB127" t="e">
        <v>#VALUE!</v>
      </c>
      <c r="DC127" t="e">
        <v>#VALUE!</v>
      </c>
      <c r="DD127" t="e">
        <v>#VALUE!</v>
      </c>
      <c r="DE127">
        <v>0</v>
      </c>
      <c r="DF127" t="e">
        <v>#VALUE!</v>
      </c>
      <c r="DG127" t="e">
        <v>#VALUE!</v>
      </c>
      <c r="DH127" t="e">
        <v>#VALUE!</v>
      </c>
      <c r="DI127" t="e">
        <v>#VALUE!</v>
      </c>
      <c r="DJ127" t="e">
        <v>#VALUE!</v>
      </c>
      <c r="DK127" t="e">
        <v>#VALUE!</v>
      </c>
      <c r="DL127" t="e">
        <v>#VALUE!</v>
      </c>
      <c r="DM127" t="e">
        <v>#VALUE!</v>
      </c>
      <c r="DN127" t="e">
        <v>#VALUE!</v>
      </c>
      <c r="DO127" t="e">
        <v>#VALUE!</v>
      </c>
      <c r="DP127" t="e">
        <v>#VALUE!</v>
      </c>
      <c r="DQ127" t="e">
        <v>#VALUE!</v>
      </c>
      <c r="DR127" t="e">
        <v>#VALUE!</v>
      </c>
      <c r="DS127" t="e">
        <v>#VALUE!</v>
      </c>
      <c r="DT127" t="e">
        <v>#VALUE!</v>
      </c>
      <c r="DU127" t="e">
        <v>#VALUE!</v>
      </c>
      <c r="DV127" t="e">
        <v>#VALUE!</v>
      </c>
      <c r="DW127" t="e">
        <v>#VALUE!</v>
      </c>
      <c r="DX127">
        <v>0</v>
      </c>
      <c r="DY127" t="e">
        <v>#VALUE!</v>
      </c>
      <c r="DZ127" t="e">
        <v>#VALUE!</v>
      </c>
      <c r="EA127" t="e">
        <v>#VALUE!</v>
      </c>
      <c r="EB127" t="e">
        <v>#VALUE!</v>
      </c>
      <c r="EC127" t="e">
        <v>#VALUE!</v>
      </c>
      <c r="ED127" t="e">
        <v>#VALUE!</v>
      </c>
      <c r="EE127" t="e">
        <v>#VALUE!</v>
      </c>
      <c r="EF127" t="e">
        <v>#VALUE!</v>
      </c>
      <c r="EG127" t="e">
        <v>#VALUE!</v>
      </c>
      <c r="EH127" t="e">
        <v>#VALUE!</v>
      </c>
      <c r="EI127" t="e">
        <v>#VALUE!</v>
      </c>
      <c r="EJ127" t="e">
        <v>#VALUE!</v>
      </c>
      <c r="EK127" t="e">
        <v>#VALUE!</v>
      </c>
      <c r="EL127" t="e">
        <v>#VALUE!</v>
      </c>
      <c r="EM127" t="e">
        <v>#VALUE!</v>
      </c>
      <c r="EN127" t="e">
        <v>#VALUE!</v>
      </c>
      <c r="EO127" t="e">
        <v>#VALUE!</v>
      </c>
      <c r="EP127" t="e">
        <v>#VALUE!</v>
      </c>
      <c r="EQ127">
        <v>0</v>
      </c>
      <c r="ER127" t="e">
        <v>#VALUE!</v>
      </c>
      <c r="ES127" t="e">
        <v>#VALUE!</v>
      </c>
      <c r="ET127" t="e">
        <v>#VALUE!</v>
      </c>
      <c r="EU127" t="e">
        <v>#VALUE!</v>
      </c>
      <c r="EV127" t="e">
        <v>#VALUE!</v>
      </c>
      <c r="EW127" t="e">
        <v>#VALUE!</v>
      </c>
      <c r="EX127" t="e">
        <v>#VALUE!</v>
      </c>
      <c r="EY127" t="e">
        <v>#VALUE!</v>
      </c>
      <c r="EZ127" t="e">
        <v>#VALUE!</v>
      </c>
      <c r="FA127" t="e">
        <v>#VALUE!</v>
      </c>
      <c r="FB127" t="e">
        <v>#VALUE!</v>
      </c>
      <c r="FC127" t="e">
        <v>#VALUE!</v>
      </c>
      <c r="FD127" t="e">
        <v>#VALUE!</v>
      </c>
      <c r="FE127" t="e">
        <v>#VALUE!</v>
      </c>
      <c r="FF127" t="e">
        <v>#VALUE!</v>
      </c>
      <c r="FG127" t="e">
        <v>#VALUE!</v>
      </c>
      <c r="FH127" t="e">
        <v>#VALUE!</v>
      </c>
      <c r="FI127" t="e">
        <v>#VALUE!</v>
      </c>
      <c r="FJ127">
        <v>0</v>
      </c>
      <c r="FK127" t="e">
        <v>#VALUE!</v>
      </c>
      <c r="FL127" t="e">
        <v>#VALUE!</v>
      </c>
      <c r="FM127" t="e">
        <v>#VALUE!</v>
      </c>
      <c r="FN127" t="e">
        <v>#VALUE!</v>
      </c>
      <c r="FO127" t="e">
        <v>#VALUE!</v>
      </c>
      <c r="FP127" t="e">
        <v>#VALUE!</v>
      </c>
      <c r="FQ127" t="e">
        <v>#VALUE!</v>
      </c>
      <c r="FR127" t="e">
        <v>#VALUE!</v>
      </c>
      <c r="FS127" t="e">
        <v>#VALUE!</v>
      </c>
      <c r="FT127" t="e">
        <v>#VALUE!</v>
      </c>
      <c r="FU127" t="e">
        <v>#VALUE!</v>
      </c>
      <c r="FV127" t="e">
        <v>#VALUE!</v>
      </c>
      <c r="FW127" t="e">
        <v>#VALUE!</v>
      </c>
      <c r="FX127" t="e">
        <v>#VALUE!</v>
      </c>
      <c r="FY127" t="e">
        <v>#VALUE!</v>
      </c>
      <c r="FZ127" t="e">
        <v>#VALUE!</v>
      </c>
      <c r="GA127" t="e">
        <v>#VALUE!</v>
      </c>
      <c r="GB127" t="e">
        <v>#VALUE!</v>
      </c>
      <c r="GC127">
        <v>0</v>
      </c>
      <c r="GD127" t="e">
        <v>#VALUE!</v>
      </c>
      <c r="GE127" t="e">
        <v>#VALUE!</v>
      </c>
      <c r="GF127" t="e">
        <v>#VALUE!</v>
      </c>
      <c r="GG127" t="e">
        <v>#VALUE!</v>
      </c>
      <c r="GH127" t="e">
        <v>#VALUE!</v>
      </c>
      <c r="GI127" t="e">
        <v>#VALUE!</v>
      </c>
      <c r="GJ127" t="e">
        <v>#VALUE!</v>
      </c>
      <c r="GK127" t="e">
        <v>#VALUE!</v>
      </c>
      <c r="GL127" t="e">
        <v>#VALUE!</v>
      </c>
      <c r="GM127" t="e">
        <v>#VALUE!</v>
      </c>
      <c r="GN127" t="e">
        <v>#VALUE!</v>
      </c>
      <c r="GO127" t="e">
        <v>#VALUE!</v>
      </c>
      <c r="GP127" t="e">
        <v>#VALUE!</v>
      </c>
      <c r="GQ127" t="e">
        <v>#VALUE!</v>
      </c>
      <c r="GR127" t="e">
        <v>#VALUE!</v>
      </c>
      <c r="GS127" t="e">
        <v>#VALUE!</v>
      </c>
      <c r="GT127" t="e">
        <v>#VALUE!</v>
      </c>
      <c r="GU127" t="e">
        <v>#VALUE!</v>
      </c>
      <c r="GV127">
        <v>0</v>
      </c>
      <c r="GW127" t="e">
        <v>#VALUE!</v>
      </c>
      <c r="GX127" t="e">
        <v>#VALUE!</v>
      </c>
      <c r="GY127" t="e">
        <v>#VALUE!</v>
      </c>
      <c r="GZ127" t="e">
        <v>#VALUE!</v>
      </c>
      <c r="HA127" t="e">
        <v>#VALUE!</v>
      </c>
      <c r="HB127" t="e">
        <v>#VALUE!</v>
      </c>
      <c r="HC127" t="e">
        <v>#VALUE!</v>
      </c>
      <c r="HD127" t="e">
        <v>#VALUE!</v>
      </c>
      <c r="HE127" t="e">
        <v>#VALUE!</v>
      </c>
      <c r="HF127" t="e">
        <v>#VALUE!</v>
      </c>
      <c r="HG127" t="e">
        <v>#VALUE!</v>
      </c>
      <c r="HH127" t="e">
        <v>#VALUE!</v>
      </c>
      <c r="HI127" t="e">
        <v>#VALUE!</v>
      </c>
      <c r="HJ127" t="e">
        <v>#VALUE!</v>
      </c>
      <c r="HK127" t="e">
        <v>#VALUE!</v>
      </c>
      <c r="HL127" t="e">
        <v>#VALUE!</v>
      </c>
      <c r="HM127" t="e">
        <v>#VALUE!</v>
      </c>
      <c r="HN127" t="e">
        <v>#VALUE!</v>
      </c>
      <c r="HO127">
        <v>0</v>
      </c>
      <c r="HP127" t="e">
        <v>#VALUE!</v>
      </c>
      <c r="HQ127" t="e">
        <v>#VALUE!</v>
      </c>
      <c r="HR127" t="e">
        <v>#VALUE!</v>
      </c>
      <c r="HS127" t="e">
        <v>#VALUE!</v>
      </c>
      <c r="HT127" t="e">
        <v>#VALUE!</v>
      </c>
      <c r="HU127" t="e">
        <v>#VALUE!</v>
      </c>
      <c r="HV127" t="e">
        <v>#VALUE!</v>
      </c>
      <c r="HW127" t="e">
        <v>#VALUE!</v>
      </c>
      <c r="HX127" t="e">
        <v>#VALUE!</v>
      </c>
      <c r="HY127" t="e">
        <v>#VALUE!</v>
      </c>
      <c r="HZ127" t="e">
        <v>#VALUE!</v>
      </c>
      <c r="IA127" t="e">
        <v>#VALUE!</v>
      </c>
      <c r="IB127" t="e">
        <v>#VALUE!</v>
      </c>
      <c r="IC127" t="e">
        <v>#VALUE!</v>
      </c>
      <c r="ID127" t="e">
        <v>#VALUE!</v>
      </c>
      <c r="IE127" t="e">
        <v>#VALUE!</v>
      </c>
      <c r="IF127" t="e">
        <v>#VALUE!</v>
      </c>
      <c r="IG127" t="e">
        <v>#VALUE!</v>
      </c>
      <c r="IH127">
        <v>0</v>
      </c>
      <c r="II127" t="e">
        <v>#VALUE!</v>
      </c>
      <c r="IJ127" t="e">
        <v>#VALUE!</v>
      </c>
      <c r="IK127" t="e">
        <v>#VALUE!</v>
      </c>
      <c r="IL127" t="e">
        <v>#VALUE!</v>
      </c>
      <c r="IM127" t="e">
        <v>#VALUE!</v>
      </c>
      <c r="IN127" t="e">
        <v>#VALUE!</v>
      </c>
      <c r="IO127" t="e">
        <v>#VALUE!</v>
      </c>
      <c r="IP127" t="e">
        <v>#VALUE!</v>
      </c>
      <c r="IQ127" t="e">
        <v>#VALUE!</v>
      </c>
      <c r="IR127" t="e">
        <v>#VALUE!</v>
      </c>
      <c r="IS127" t="e">
        <v>#VALUE!</v>
      </c>
      <c r="IT127" t="e">
        <v>#VALUE!</v>
      </c>
      <c r="IU127" t="e">
        <v>#VALUE!</v>
      </c>
      <c r="IV127" t="e">
        <v>#VALUE!</v>
      </c>
    </row>
    <row r="128" spans="1:256" x14ac:dyDescent="0.25">
      <c r="A128" t="e">
        <v>#VALUE!</v>
      </c>
      <c r="B128" t="e">
        <v>#VALUE!</v>
      </c>
      <c r="C128" t="e">
        <v>#VALUE!</v>
      </c>
      <c r="D128" t="e">
        <v>#VALUE!</v>
      </c>
      <c r="E128">
        <v>0</v>
      </c>
      <c r="F128" t="e">
        <v>#VALUE!</v>
      </c>
      <c r="G128" t="e">
        <v>#VALUE!</v>
      </c>
      <c r="H128" t="e">
        <v>#VALUE!</v>
      </c>
      <c r="I128" t="e">
        <v>#VALUE!</v>
      </c>
      <c r="J128" t="e">
        <v>#VALUE!</v>
      </c>
      <c r="K128" t="e">
        <v>#VALUE!</v>
      </c>
      <c r="L128" t="e">
        <v>#VALUE!</v>
      </c>
      <c r="M128" t="e">
        <v>#VALUE!</v>
      </c>
      <c r="N128" t="e">
        <v>#VALUE!</v>
      </c>
      <c r="O128" t="e">
        <v>#VALUE!</v>
      </c>
      <c r="P128" t="e">
        <v>#VALUE!</v>
      </c>
      <c r="Q128" t="e">
        <v>#VALUE!</v>
      </c>
      <c r="R128" t="e">
        <v>#VALUE!</v>
      </c>
      <c r="S128" t="e">
        <v>#VALUE!</v>
      </c>
      <c r="T128" t="e">
        <v>#VALUE!</v>
      </c>
      <c r="U128" t="e">
        <v>#VALUE!</v>
      </c>
      <c r="V128" t="e">
        <v>#VALUE!</v>
      </c>
      <c r="W128" t="e">
        <v>#VALUE!</v>
      </c>
      <c r="X128">
        <v>0</v>
      </c>
      <c r="Y128" t="e">
        <v>#VALUE!</v>
      </c>
      <c r="Z128" t="e">
        <v>#VALUE!</v>
      </c>
      <c r="AA128" t="e">
        <v>#VALUE!</v>
      </c>
      <c r="AB128" t="e">
        <v>#VALUE!</v>
      </c>
      <c r="AC128" t="e">
        <v>#VALUE!</v>
      </c>
      <c r="AD128" t="e">
        <v>#VALUE!</v>
      </c>
      <c r="AE128" t="e">
        <v>#VALUE!</v>
      </c>
      <c r="AF128" t="e">
        <v>#VALUE!</v>
      </c>
      <c r="AG128" t="e">
        <v>#VALUE!</v>
      </c>
      <c r="AH128" t="e">
        <v>#VALUE!</v>
      </c>
      <c r="AI128" t="e">
        <v>#VALUE!</v>
      </c>
      <c r="AJ128" t="e">
        <v>#VALUE!</v>
      </c>
      <c r="AK128" t="e">
        <v>#VALUE!</v>
      </c>
      <c r="AL128" t="e">
        <v>#VALUE!</v>
      </c>
      <c r="AM128" t="e">
        <v>#VALUE!</v>
      </c>
      <c r="AN128" t="e">
        <v>#VALUE!</v>
      </c>
      <c r="AO128" t="e">
        <v>#VALUE!</v>
      </c>
      <c r="AP128" t="e">
        <v>#VALUE!</v>
      </c>
      <c r="AQ128">
        <v>0</v>
      </c>
      <c r="AR128" t="e">
        <v>#VALUE!</v>
      </c>
      <c r="AS128" t="e">
        <v>#VALUE!</v>
      </c>
      <c r="AT128" t="e">
        <v>#VALUE!</v>
      </c>
      <c r="AU128" t="e">
        <v>#VALUE!</v>
      </c>
      <c r="AV128" t="e">
        <v>#VALUE!</v>
      </c>
      <c r="AW128" t="e">
        <v>#VALUE!</v>
      </c>
      <c r="AX128" t="e">
        <v>#VALUE!</v>
      </c>
      <c r="AY128" t="e">
        <v>#VALUE!</v>
      </c>
      <c r="AZ128" t="e">
        <v>#VALUE!</v>
      </c>
      <c r="BA128" t="e">
        <v>#VALUE!</v>
      </c>
      <c r="BB128" t="e">
        <v>#VALUE!</v>
      </c>
      <c r="BC128" t="e">
        <v>#VALUE!</v>
      </c>
      <c r="BD128" t="e">
        <v>#VALUE!</v>
      </c>
      <c r="BE128" t="e">
        <v>#VALUE!</v>
      </c>
      <c r="BF128" t="e">
        <v>#VALUE!</v>
      </c>
      <c r="BG128" t="e">
        <v>#VALUE!</v>
      </c>
      <c r="BH128" t="e">
        <v>#VALUE!</v>
      </c>
      <c r="BI128" t="e">
        <v>#VALUE!</v>
      </c>
      <c r="BJ128">
        <v>0</v>
      </c>
      <c r="BK128" t="e">
        <v>#VALUE!</v>
      </c>
      <c r="BL128" t="e">
        <v>#VALUE!</v>
      </c>
      <c r="BM128" t="e">
        <v>#VALUE!</v>
      </c>
      <c r="BN128" t="e">
        <v>#VALUE!</v>
      </c>
      <c r="BO128" t="e">
        <v>#VALUE!</v>
      </c>
      <c r="BP128" t="e">
        <v>#VALUE!</v>
      </c>
      <c r="BQ128" t="e">
        <v>#VALUE!</v>
      </c>
      <c r="BR128" t="e">
        <v>#VALUE!</v>
      </c>
      <c r="BS128" t="e">
        <v>#VALUE!</v>
      </c>
      <c r="BT128" t="e">
        <v>#VALUE!</v>
      </c>
      <c r="BU128" t="e">
        <v>#VALUE!</v>
      </c>
      <c r="BV128" t="e">
        <v>#VALUE!</v>
      </c>
      <c r="BW128" t="e">
        <v>#VALUE!</v>
      </c>
      <c r="BX128" t="e">
        <v>#VALUE!</v>
      </c>
      <c r="BY128" t="e">
        <v>#VALUE!</v>
      </c>
      <c r="BZ128" t="e">
        <v>#VALUE!</v>
      </c>
      <c r="CA128" t="e">
        <v>#VALUE!</v>
      </c>
      <c r="CB128" t="e">
        <v>#VALUE!</v>
      </c>
      <c r="CC128">
        <v>0</v>
      </c>
      <c r="CD128" t="e">
        <v>#VALUE!</v>
      </c>
      <c r="CE128" t="e">
        <v>#VALUE!</v>
      </c>
      <c r="CF128" t="e">
        <v>#VALUE!</v>
      </c>
      <c r="CG128" t="e">
        <v>#VALUE!</v>
      </c>
      <c r="CH128" t="e">
        <v>#VALUE!</v>
      </c>
      <c r="CI128" t="e">
        <v>#VALUE!</v>
      </c>
      <c r="CJ128" t="e">
        <v>#VALUE!</v>
      </c>
      <c r="CK128" t="e">
        <v>#VALUE!</v>
      </c>
      <c r="CL128" t="e">
        <v>#VALUE!</v>
      </c>
      <c r="CM128" t="e">
        <v>#VALUE!</v>
      </c>
      <c r="CN128" t="e">
        <v>#VALUE!</v>
      </c>
      <c r="CO128" t="e">
        <v>#VALUE!</v>
      </c>
      <c r="CP128" t="e">
        <v>#VALUE!</v>
      </c>
      <c r="CQ128" t="e">
        <v>#VALUE!</v>
      </c>
      <c r="CR128" t="e">
        <v>#VALUE!</v>
      </c>
      <c r="CS128" t="e">
        <v>#VALUE!</v>
      </c>
      <c r="CT128" t="e">
        <v>#VALUE!</v>
      </c>
      <c r="CU128" t="e">
        <v>#VALUE!</v>
      </c>
      <c r="CV128">
        <v>0</v>
      </c>
      <c r="CW128" t="e">
        <v>#VALUE!</v>
      </c>
      <c r="CX128" t="e">
        <v>#VALUE!</v>
      </c>
      <c r="CY128" t="e">
        <v>#VALUE!</v>
      </c>
      <c r="CZ128" t="e">
        <v>#VALUE!</v>
      </c>
      <c r="DA128" t="e">
        <v>#VALUE!</v>
      </c>
      <c r="DB128" t="e">
        <v>#VALUE!</v>
      </c>
      <c r="DC128" t="e">
        <v>#VALUE!</v>
      </c>
      <c r="DD128" t="e">
        <v>#VALUE!</v>
      </c>
      <c r="DE128" t="e">
        <v>#VALUE!</v>
      </c>
      <c r="DF128" t="e">
        <v>#VALUE!</v>
      </c>
      <c r="DG128" t="e">
        <v>#VALUE!</v>
      </c>
      <c r="DH128" t="e">
        <v>#VALUE!</v>
      </c>
      <c r="DI128" t="e">
        <v>#VALUE!</v>
      </c>
      <c r="DJ128" t="e">
        <v>#VALUE!</v>
      </c>
      <c r="DK128" t="e">
        <v>#VALUE!</v>
      </c>
      <c r="DL128" t="e">
        <v>#VALUE!</v>
      </c>
      <c r="DM128" t="e">
        <v>#VALUE!</v>
      </c>
      <c r="DN128" t="e">
        <v>#VALUE!</v>
      </c>
      <c r="DO128">
        <v>0</v>
      </c>
      <c r="DP128" t="e">
        <v>#VALUE!</v>
      </c>
      <c r="DQ128" t="e">
        <v>#VALUE!</v>
      </c>
      <c r="DR128" t="e">
        <v>#VALUE!</v>
      </c>
      <c r="DS128" t="e">
        <v>#VALUE!</v>
      </c>
      <c r="DT128" t="e">
        <v>#VALUE!</v>
      </c>
      <c r="DU128" t="e">
        <v>#VALUE!</v>
      </c>
      <c r="DV128" t="e">
        <v>#VALUE!</v>
      </c>
      <c r="DW128" t="e">
        <v>#VALUE!</v>
      </c>
      <c r="DX128" t="e">
        <v>#VALUE!</v>
      </c>
      <c r="DY128" t="e">
        <v>#VALUE!</v>
      </c>
      <c r="DZ128" t="e">
        <v>#VALUE!</v>
      </c>
      <c r="EA128" t="e">
        <v>#VALUE!</v>
      </c>
      <c r="EB128" t="e">
        <v>#VALUE!</v>
      </c>
      <c r="EC128" t="e">
        <v>#VALUE!</v>
      </c>
      <c r="ED128" t="e">
        <v>#VALUE!</v>
      </c>
      <c r="EE128" t="e">
        <v>#VALUE!</v>
      </c>
      <c r="EF128" t="e">
        <v>#VALUE!</v>
      </c>
      <c r="EG128" t="e">
        <v>#VALUE!</v>
      </c>
      <c r="EH128">
        <v>0</v>
      </c>
      <c r="EI128" t="e">
        <v>#VALUE!</v>
      </c>
      <c r="EJ128" t="e">
        <v>#VALUE!</v>
      </c>
      <c r="EK128" t="e">
        <v>#VALUE!</v>
      </c>
      <c r="EL128" t="e">
        <v>#VALUE!</v>
      </c>
      <c r="EM128" t="e">
        <v>#VALUE!</v>
      </c>
      <c r="EN128" t="e">
        <v>#VALUE!</v>
      </c>
      <c r="EO128" t="e">
        <v>#VALUE!</v>
      </c>
      <c r="EP128" t="e">
        <v>#VALUE!</v>
      </c>
      <c r="EQ128" t="e">
        <v>#VALUE!</v>
      </c>
      <c r="ER128" t="e">
        <v>#VALUE!</v>
      </c>
      <c r="ES128" t="e">
        <v>#VALUE!</v>
      </c>
      <c r="ET128" t="e">
        <v>#VALUE!</v>
      </c>
      <c r="EU128" t="e">
        <v>#VALUE!</v>
      </c>
      <c r="EV128" t="e">
        <v>#VALUE!</v>
      </c>
      <c r="EW128" t="e">
        <v>#VALUE!</v>
      </c>
      <c r="EX128" t="e">
        <v>#VALUE!</v>
      </c>
      <c r="EY128" t="e">
        <v>#VALUE!</v>
      </c>
      <c r="EZ128" t="e">
        <v>#VALUE!</v>
      </c>
      <c r="FA128">
        <v>0</v>
      </c>
      <c r="FB128" t="e">
        <v>#VALUE!</v>
      </c>
      <c r="FC128" t="e">
        <v>#VALUE!</v>
      </c>
      <c r="FD128" t="e">
        <v>#VALUE!</v>
      </c>
      <c r="FE128" t="e">
        <v>#VALUE!</v>
      </c>
      <c r="FF128" t="e">
        <v>#VALUE!</v>
      </c>
      <c r="FG128" t="e">
        <v>#VALUE!</v>
      </c>
      <c r="FH128" t="e">
        <v>#VALUE!</v>
      </c>
      <c r="FI128" t="e">
        <v>#VALUE!</v>
      </c>
      <c r="FJ128" t="e">
        <v>#VALUE!</v>
      </c>
      <c r="FK128" t="e">
        <v>#VALUE!</v>
      </c>
      <c r="FL128" t="e">
        <v>#VALUE!</v>
      </c>
      <c r="FM128" t="e">
        <v>#VALUE!</v>
      </c>
      <c r="FN128" t="e">
        <v>#VALUE!</v>
      </c>
      <c r="FO128" t="e">
        <v>#VALUE!</v>
      </c>
      <c r="FP128" t="e">
        <v>#VALUE!</v>
      </c>
      <c r="FQ128" t="e">
        <v>#VALUE!</v>
      </c>
      <c r="FR128" t="e">
        <v>#VALUE!</v>
      </c>
      <c r="FS128" t="e">
        <v>#VALUE!</v>
      </c>
      <c r="FT128">
        <v>0</v>
      </c>
      <c r="FU128">
        <v>0</v>
      </c>
      <c r="FV128">
        <v>0</v>
      </c>
      <c r="FW128">
        <v>0</v>
      </c>
      <c r="FX128">
        <v>0</v>
      </c>
      <c r="FY128">
        <v>0</v>
      </c>
      <c r="FZ128">
        <v>0</v>
      </c>
      <c r="GA128">
        <v>0</v>
      </c>
      <c r="GB128">
        <v>0</v>
      </c>
      <c r="GC128">
        <v>0</v>
      </c>
      <c r="GD128">
        <v>0</v>
      </c>
      <c r="GE128">
        <v>0</v>
      </c>
      <c r="GF128">
        <v>0</v>
      </c>
      <c r="GG128">
        <v>0</v>
      </c>
      <c r="GH128">
        <v>0</v>
      </c>
      <c r="GI128">
        <v>0</v>
      </c>
      <c r="GJ128">
        <v>0</v>
      </c>
      <c r="GK128">
        <v>0</v>
      </c>
      <c r="GL128" t="e">
        <f>IF(#REF!,"AAAAAD/cf8E=",0)</f>
        <v>#REF!</v>
      </c>
      <c r="GM128" t="e">
        <f>AND(#REF!,"AAAAAD/cf8I=")</f>
        <v>#REF!</v>
      </c>
      <c r="GN128" t="e">
        <f>AND(#REF!,"AAAAAD/cf8M=")</f>
        <v>#REF!</v>
      </c>
      <c r="GO128" t="e">
        <f>AND(#REF!,"AAAAAD/cf8Q=")</f>
        <v>#REF!</v>
      </c>
      <c r="GP128" t="e">
        <f>AND(#REF!,"AAAAAD/cf8U=")</f>
        <v>#REF!</v>
      </c>
      <c r="GQ128" t="e">
        <f>AND(#REF!,"AAAAAD/cf8Y=")</f>
        <v>#REF!</v>
      </c>
      <c r="GR128" t="e">
        <f>AND(#REF!,"AAAAAD/cf8c=")</f>
        <v>#REF!</v>
      </c>
      <c r="GS128" t="e">
        <f>AND(#REF!,"AAAAAD/cf8g=")</f>
        <v>#REF!</v>
      </c>
      <c r="GT128" t="e">
        <f>AND(#REF!,"AAAAAD/cf8k=")</f>
        <v>#REF!</v>
      </c>
      <c r="GU128" t="e">
        <f>AND(#REF!,"AAAAAD/cf8o=")</f>
        <v>#REF!</v>
      </c>
      <c r="GV128" t="e">
        <f>AND(#REF!,"AAAAAD/cf8s=")</f>
        <v>#REF!</v>
      </c>
      <c r="GW128" t="e">
        <f>AND(#REF!,"AAAAAD/cf8w=")</f>
        <v>#REF!</v>
      </c>
      <c r="GX128" t="e">
        <f>AND(#REF!,"AAAAAD/cf80=")</f>
        <v>#REF!</v>
      </c>
      <c r="GY128" t="e">
        <f>IF(#REF!,"AAAAAD/cf84=",0)</f>
        <v>#REF!</v>
      </c>
      <c r="GZ128" t="e">
        <f>AND(#REF!,"AAAAAD/cf88=")</f>
        <v>#REF!</v>
      </c>
      <c r="HA128" t="e">
        <f>AND(#REF!,"AAAAAD/cf9A=")</f>
        <v>#REF!</v>
      </c>
      <c r="HB128" t="e">
        <f>AND(#REF!,"AAAAAD/cf9E=")</f>
        <v>#REF!</v>
      </c>
      <c r="HC128" t="e">
        <f>AND(#REF!,"AAAAAD/cf9I=")</f>
        <v>#REF!</v>
      </c>
      <c r="HD128" t="e">
        <f>AND(#REF!,"AAAAAD/cf9M=")</f>
        <v>#REF!</v>
      </c>
      <c r="HE128" t="e">
        <f>AND(#REF!,"AAAAAD/cf9Q=")</f>
        <v>#REF!</v>
      </c>
      <c r="HF128" t="e">
        <f>AND(#REF!,"AAAAAD/cf9U=")</f>
        <v>#REF!</v>
      </c>
      <c r="HG128" t="e">
        <f>AND(#REF!,"AAAAAD/cf9Y=")</f>
        <v>#REF!</v>
      </c>
      <c r="HH128" t="e">
        <f>AND(#REF!,"AAAAAD/cf9c=")</f>
        <v>#REF!</v>
      </c>
      <c r="HI128" t="e">
        <f>AND(#REF!,"AAAAAD/cf9g=")</f>
        <v>#REF!</v>
      </c>
      <c r="HJ128" t="e">
        <f>AND(#REF!,"AAAAAD/cf9k=")</f>
        <v>#REF!</v>
      </c>
      <c r="HK128" t="e">
        <f>AND(#REF!,"AAAAAD/cf9o=")</f>
        <v>#REF!</v>
      </c>
      <c r="HL128" t="e">
        <f>IF(#REF!,"AAAAAD/cf9s=",0)</f>
        <v>#REF!</v>
      </c>
      <c r="HM128" t="e">
        <f>AND(#REF!,"AAAAAD/cf9w=")</f>
        <v>#REF!</v>
      </c>
      <c r="HN128" t="e">
        <f>AND(#REF!,"AAAAAD/cf90=")</f>
        <v>#REF!</v>
      </c>
      <c r="HO128" t="e">
        <f>AND(#REF!,"AAAAAD/cf94=")</f>
        <v>#REF!</v>
      </c>
      <c r="HP128" t="e">
        <f>AND(#REF!,"AAAAAD/cf98=")</f>
        <v>#REF!</v>
      </c>
      <c r="HQ128" t="e">
        <f>AND(#REF!,"AAAAAD/cf+A=")</f>
        <v>#REF!</v>
      </c>
      <c r="HR128" t="e">
        <f>AND(#REF!,"AAAAAD/cf+E=")</f>
        <v>#REF!</v>
      </c>
      <c r="HS128" t="e">
        <f>AND(#REF!,"AAAAAD/cf+I=")</f>
        <v>#REF!</v>
      </c>
      <c r="HT128" t="e">
        <f>AND(#REF!,"AAAAAD/cf+M=")</f>
        <v>#REF!</v>
      </c>
      <c r="HU128" t="e">
        <f>AND(#REF!,"AAAAAD/cf+Q=")</f>
        <v>#REF!</v>
      </c>
      <c r="HV128" t="e">
        <f>AND(#REF!,"AAAAAD/cf+U=")</f>
        <v>#REF!</v>
      </c>
      <c r="HW128" t="e">
        <f>AND(#REF!,"AAAAAD/cf+Y=")</f>
        <v>#REF!</v>
      </c>
      <c r="HX128" t="e">
        <f>AND(#REF!,"AAAAAD/cf+c=")</f>
        <v>#REF!</v>
      </c>
      <c r="HY128" t="e">
        <f>IF(#REF!,"AAAAAD/cf+g=",0)</f>
        <v>#REF!</v>
      </c>
      <c r="HZ128" t="e">
        <f>AND(#REF!,"AAAAAD/cf+k=")</f>
        <v>#REF!</v>
      </c>
      <c r="IA128" t="e">
        <f>AND(#REF!,"AAAAAD/cf+o=")</f>
        <v>#REF!</v>
      </c>
      <c r="IB128" t="e">
        <f>AND(#REF!,"AAAAAD/cf+s=")</f>
        <v>#REF!</v>
      </c>
      <c r="IC128" t="e">
        <f>AND(#REF!,"AAAAAD/cf+w=")</f>
        <v>#REF!</v>
      </c>
      <c r="ID128" t="e">
        <f>AND(#REF!,"AAAAAD/cf+0=")</f>
        <v>#REF!</v>
      </c>
      <c r="IE128" t="e">
        <f>AND(#REF!,"AAAAAD/cf+4=")</f>
        <v>#REF!</v>
      </c>
      <c r="IF128" t="e">
        <f>AND(#REF!,"AAAAAD/cf+8=")</f>
        <v>#REF!</v>
      </c>
      <c r="IG128" t="e">
        <f>AND(#REF!,"AAAAAD/cf/A=")</f>
        <v>#REF!</v>
      </c>
      <c r="IH128" t="e">
        <f>AND(#REF!,"AAAAAD/cf/E=")</f>
        <v>#REF!</v>
      </c>
      <c r="II128" t="e">
        <f>AND(#REF!,"AAAAAD/cf/I=")</f>
        <v>#REF!</v>
      </c>
      <c r="IJ128" t="e">
        <f>AND(#REF!,"AAAAAD/cf/M=")</f>
        <v>#REF!</v>
      </c>
      <c r="IK128" t="e">
        <f>AND(#REF!,"AAAAAD/cf/Q=")</f>
        <v>#REF!</v>
      </c>
      <c r="IL128" t="e">
        <f>IF(#REF!,"AAAAAD/cf/U=",0)</f>
        <v>#REF!</v>
      </c>
      <c r="IM128" t="e">
        <f>AND(#REF!,"AAAAAD/cf/Y=")</f>
        <v>#REF!</v>
      </c>
      <c r="IN128" t="e">
        <f>AND(#REF!,"AAAAAD/cf/c=")</f>
        <v>#REF!</v>
      </c>
      <c r="IO128" t="e">
        <f>AND(#REF!,"AAAAAD/cf/g=")</f>
        <v>#REF!</v>
      </c>
      <c r="IP128" t="e">
        <f>AND(#REF!,"AAAAAD/cf/k=")</f>
        <v>#REF!</v>
      </c>
      <c r="IQ128" t="e">
        <f>AND(#REF!,"AAAAAD/cf/o=")</f>
        <v>#REF!</v>
      </c>
      <c r="IR128" t="e">
        <f>AND(#REF!,"AAAAAD/cf/s=")</f>
        <v>#REF!</v>
      </c>
      <c r="IS128" t="e">
        <f>AND(#REF!,"AAAAAD/cf/w=")</f>
        <v>#REF!</v>
      </c>
      <c r="IT128" t="e">
        <f>AND(#REF!,"AAAAAD/cf/0=")</f>
        <v>#REF!</v>
      </c>
      <c r="IU128" t="e">
        <f>AND(#REF!,"AAAAAD/cf/4=")</f>
        <v>#REF!</v>
      </c>
      <c r="IV128" t="e">
        <f>AND(#REF!,"AAAAAD/cf/8=")</f>
        <v>#REF!</v>
      </c>
    </row>
    <row r="129" spans="1:256" x14ac:dyDescent="0.25">
      <c r="A129" t="e">
        <f>AND(#REF!,"AAAAAHo93wA=")</f>
        <v>#REF!</v>
      </c>
      <c r="B129" t="e">
        <f>AND(#REF!,"AAAAAHo93wE=")</f>
        <v>#REF!</v>
      </c>
      <c r="C129" t="e">
        <f>IF(#REF!,"AAAAAHo93wI=",0)</f>
        <v>#REF!</v>
      </c>
      <c r="D129" t="e">
        <f>AND(#REF!,"AAAAAHo93wM=")</f>
        <v>#REF!</v>
      </c>
      <c r="E129" t="e">
        <f>AND(#REF!,"AAAAAHo93wQ=")</f>
        <v>#REF!</v>
      </c>
      <c r="F129" t="e">
        <f>AND(#REF!,"AAAAAHo93wU=")</f>
        <v>#REF!</v>
      </c>
      <c r="G129" t="e">
        <f>AND(#REF!,"AAAAAHo93wY=")</f>
        <v>#REF!</v>
      </c>
      <c r="H129" t="e">
        <f>AND(#REF!,"AAAAAHo93wc=")</f>
        <v>#REF!</v>
      </c>
      <c r="I129" t="e">
        <f>AND(#REF!,"AAAAAHo93wg=")</f>
        <v>#REF!</v>
      </c>
      <c r="J129" t="e">
        <f>AND(#REF!,"AAAAAHo93wk=")</f>
        <v>#REF!</v>
      </c>
      <c r="K129" t="e">
        <f>AND(#REF!,"AAAAAHo93wo=")</f>
        <v>#REF!</v>
      </c>
      <c r="L129" t="e">
        <f>AND(#REF!,"AAAAAHo93ws=")</f>
        <v>#REF!</v>
      </c>
      <c r="M129" t="e">
        <f>AND(#REF!,"AAAAAHo93ww=")</f>
        <v>#REF!</v>
      </c>
      <c r="N129" t="e">
        <f>AND(#REF!,"AAAAAHo93w0=")</f>
        <v>#REF!</v>
      </c>
      <c r="O129" t="e">
        <f>AND(#REF!,"AAAAAHo93w4=")</f>
        <v>#REF!</v>
      </c>
      <c r="P129" t="e">
        <f>IF(#REF!,"AAAAAHo93w8=",0)</f>
        <v>#REF!</v>
      </c>
      <c r="Q129" t="e">
        <f>AND(#REF!,"AAAAAHo93xA=")</f>
        <v>#REF!</v>
      </c>
      <c r="R129" t="e">
        <f>AND(#REF!,"AAAAAHo93xE=")</f>
        <v>#REF!</v>
      </c>
      <c r="S129" t="e">
        <f>AND(#REF!,"AAAAAHo93xI=")</f>
        <v>#REF!</v>
      </c>
      <c r="T129" t="e">
        <f>AND(#REF!,"AAAAAHo93xM=")</f>
        <v>#REF!</v>
      </c>
      <c r="U129" t="e">
        <f>AND(#REF!,"AAAAAHo93xQ=")</f>
        <v>#REF!</v>
      </c>
      <c r="V129" t="e">
        <f>AND(#REF!,"AAAAAHo93xU=")</f>
        <v>#REF!</v>
      </c>
      <c r="W129" t="e">
        <f>AND(#REF!,"AAAAAHo93xY=")</f>
        <v>#REF!</v>
      </c>
      <c r="X129" t="e">
        <f>AND(#REF!,"AAAAAHo93xc=")</f>
        <v>#REF!</v>
      </c>
      <c r="Y129" t="e">
        <f>AND(#REF!,"AAAAAHo93xg=")</f>
        <v>#REF!</v>
      </c>
      <c r="Z129" t="e">
        <f>AND(#REF!,"AAAAAHo93xk=")</f>
        <v>#REF!</v>
      </c>
      <c r="AA129" t="e">
        <f>AND(#REF!,"AAAAAHo93xo=")</f>
        <v>#REF!</v>
      </c>
      <c r="AB129" t="e">
        <f>AND(#REF!,"AAAAAHo93xs=")</f>
        <v>#REF!</v>
      </c>
      <c r="AC129" t="e">
        <f>IF(#REF!,"AAAAAHo93xw=",0)</f>
        <v>#REF!</v>
      </c>
      <c r="AD129" t="e">
        <f>AND(#REF!,"AAAAAHo93x0=")</f>
        <v>#REF!</v>
      </c>
      <c r="AE129" t="e">
        <f>AND(#REF!,"AAAAAHo93x4=")</f>
        <v>#REF!</v>
      </c>
      <c r="AF129" t="e">
        <f>AND(#REF!,"AAAAAHo93x8=")</f>
        <v>#REF!</v>
      </c>
      <c r="AG129" t="e">
        <f>AND(#REF!,"AAAAAHo93yA=")</f>
        <v>#REF!</v>
      </c>
      <c r="AH129" t="e">
        <f>AND(#REF!,"AAAAAHo93yE=")</f>
        <v>#REF!</v>
      </c>
      <c r="AI129" t="e">
        <f>AND(#REF!,"AAAAAHo93yI=")</f>
        <v>#REF!</v>
      </c>
      <c r="AJ129" t="e">
        <f>AND(#REF!,"AAAAAHo93yM=")</f>
        <v>#REF!</v>
      </c>
      <c r="AK129" t="e">
        <f>AND(#REF!,"AAAAAHo93yQ=")</f>
        <v>#REF!</v>
      </c>
      <c r="AL129" t="e">
        <f>AND(#REF!,"AAAAAHo93yU=")</f>
        <v>#REF!</v>
      </c>
      <c r="AM129" t="e">
        <f>AND(#REF!,"AAAAAHo93yY=")</f>
        <v>#REF!</v>
      </c>
      <c r="AN129" t="e">
        <f>AND(#REF!,"AAAAAHo93yc=")</f>
        <v>#REF!</v>
      </c>
      <c r="AO129" t="e">
        <f>AND(#REF!,"AAAAAHo93yg=")</f>
        <v>#REF!</v>
      </c>
      <c r="AP129" t="e">
        <f>IF(#REF!,"AAAAAHo93yk=",0)</f>
        <v>#REF!</v>
      </c>
      <c r="AQ129" t="e">
        <f>AND(#REF!,"AAAAAHo93yo=")</f>
        <v>#REF!</v>
      </c>
      <c r="AR129" t="e">
        <f>AND(#REF!,"AAAAAHo93ys=")</f>
        <v>#REF!</v>
      </c>
      <c r="AS129" t="e">
        <f>AND(#REF!,"AAAAAHo93yw=")</f>
        <v>#REF!</v>
      </c>
      <c r="AT129" t="e">
        <f>AND(#REF!,"AAAAAHo93y0=")</f>
        <v>#REF!</v>
      </c>
      <c r="AU129" t="e">
        <f>AND(#REF!,"AAAAAHo93y4=")</f>
        <v>#REF!</v>
      </c>
      <c r="AV129" t="e">
        <f>AND(#REF!,"AAAAAHo93y8=")</f>
        <v>#REF!</v>
      </c>
      <c r="AW129" t="e">
        <f>AND(#REF!,"AAAAAHo93zA=")</f>
        <v>#REF!</v>
      </c>
      <c r="AX129" t="e">
        <f>AND(#REF!,"AAAAAHo93zE=")</f>
        <v>#REF!</v>
      </c>
      <c r="AY129" t="e">
        <f>AND(#REF!,"AAAAAHo93zI=")</f>
        <v>#REF!</v>
      </c>
      <c r="AZ129" t="e">
        <f>AND(#REF!,"AAAAAHo93zM=")</f>
        <v>#REF!</v>
      </c>
      <c r="BA129" t="e">
        <f>AND(#REF!,"AAAAAHo93zQ=")</f>
        <v>#REF!</v>
      </c>
      <c r="BB129" t="e">
        <f>AND(#REF!,"AAAAAHo93zU=")</f>
        <v>#REF!</v>
      </c>
      <c r="BC129" t="e">
        <f>IF(#REF!,"AAAAAHo93zY=",0)</f>
        <v>#REF!</v>
      </c>
      <c r="BD129" t="e">
        <f>AND(#REF!,"AAAAAHo93zc=")</f>
        <v>#REF!</v>
      </c>
      <c r="BE129" t="e">
        <f>AND(#REF!,"AAAAAHo93zg=")</f>
        <v>#REF!</v>
      </c>
      <c r="BF129" t="e">
        <f>AND(#REF!,"AAAAAHo93zk=")</f>
        <v>#REF!</v>
      </c>
      <c r="BG129" t="e">
        <f>AND(#REF!,"AAAAAHo93zo=")</f>
        <v>#REF!</v>
      </c>
      <c r="BH129" t="e">
        <f>AND(#REF!,"AAAAAHo93zs=")</f>
        <v>#REF!</v>
      </c>
      <c r="BI129" t="e">
        <f>AND(#REF!,"AAAAAHo93zw=")</f>
        <v>#REF!</v>
      </c>
      <c r="BJ129" t="e">
        <f>AND(#REF!,"AAAAAHo93z0=")</f>
        <v>#REF!</v>
      </c>
      <c r="BK129" t="e">
        <f>AND(#REF!,"AAAAAHo93z4=")</f>
        <v>#REF!</v>
      </c>
      <c r="BL129" t="e">
        <f>AND(#REF!,"AAAAAHo93z8=")</f>
        <v>#REF!</v>
      </c>
      <c r="BM129" t="e">
        <f>AND(#REF!,"AAAAAHo930A=")</f>
        <v>#REF!</v>
      </c>
      <c r="BN129" t="e">
        <f>AND(#REF!,"AAAAAHo930E=")</f>
        <v>#REF!</v>
      </c>
      <c r="BO129" t="e">
        <f>AND(#REF!,"AAAAAHo930I=")</f>
        <v>#REF!</v>
      </c>
      <c r="BP129" t="e">
        <f>IF(#REF!,"AAAAAHo930M=",0)</f>
        <v>#REF!</v>
      </c>
      <c r="BQ129" t="e">
        <f>AND(#REF!,"AAAAAHo930Q=")</f>
        <v>#REF!</v>
      </c>
      <c r="BR129" t="e">
        <f>AND(#REF!,"AAAAAHo930U=")</f>
        <v>#REF!</v>
      </c>
      <c r="BS129" t="e">
        <f>AND(#REF!,"AAAAAHo930Y=")</f>
        <v>#REF!</v>
      </c>
      <c r="BT129" t="e">
        <f>AND(#REF!,"AAAAAHo930c=")</f>
        <v>#REF!</v>
      </c>
      <c r="BU129" t="e">
        <f>AND(#REF!,"AAAAAHo930g=")</f>
        <v>#REF!</v>
      </c>
      <c r="BV129" t="e">
        <f>AND(#REF!,"AAAAAHo930k=")</f>
        <v>#REF!</v>
      </c>
      <c r="BW129" t="e">
        <f>AND(#REF!,"AAAAAHo930o=")</f>
        <v>#REF!</v>
      </c>
      <c r="BX129" t="e">
        <f>AND(#REF!,"AAAAAHo930s=")</f>
        <v>#REF!</v>
      </c>
      <c r="BY129" t="e">
        <f>AND(#REF!,"AAAAAHo930w=")</f>
        <v>#REF!</v>
      </c>
      <c r="BZ129" t="e">
        <f>AND(#REF!,"AAAAAHo9300=")</f>
        <v>#REF!</v>
      </c>
      <c r="CA129" t="e">
        <f>AND(#REF!,"AAAAAHo9304=")</f>
        <v>#REF!</v>
      </c>
      <c r="CB129" t="e">
        <f>AND(#REF!,"AAAAAHo9308=")</f>
        <v>#REF!</v>
      </c>
      <c r="CC129" t="e">
        <f>IF(#REF!,"AAAAAHo931A=",0)</f>
        <v>#REF!</v>
      </c>
      <c r="CD129" t="e">
        <f>AND(#REF!,"AAAAAHo931E=")</f>
        <v>#REF!</v>
      </c>
      <c r="CE129" t="e">
        <f>AND(#REF!,"AAAAAHo931I=")</f>
        <v>#REF!</v>
      </c>
      <c r="CF129" t="e">
        <f>AND(#REF!,"AAAAAHo931M=")</f>
        <v>#REF!</v>
      </c>
      <c r="CG129" t="e">
        <f>AND(#REF!,"AAAAAHo931Q=")</f>
        <v>#REF!</v>
      </c>
      <c r="CH129" t="e">
        <f>AND(#REF!,"AAAAAHo931U=")</f>
        <v>#REF!</v>
      </c>
      <c r="CI129" t="e">
        <f>AND(#REF!,"AAAAAHo931Y=")</f>
        <v>#REF!</v>
      </c>
      <c r="CJ129" t="e">
        <f>AND(#REF!,"AAAAAHo931c=")</f>
        <v>#REF!</v>
      </c>
      <c r="CK129" t="e">
        <f>AND(#REF!,"AAAAAHo931g=")</f>
        <v>#REF!</v>
      </c>
      <c r="CL129" t="e">
        <f>AND(#REF!,"AAAAAHo931k=")</f>
        <v>#REF!</v>
      </c>
      <c r="CM129" t="e">
        <f>AND(#REF!,"AAAAAHo931o=")</f>
        <v>#REF!</v>
      </c>
      <c r="CN129" t="e">
        <f>AND(#REF!,"AAAAAHo931s=")</f>
        <v>#REF!</v>
      </c>
      <c r="CO129" t="e">
        <f>AND(#REF!,"AAAAAHo931w=")</f>
        <v>#REF!</v>
      </c>
      <c r="CP129" t="e">
        <f>IF(#REF!,"AAAAAHo9310=",0)</f>
        <v>#REF!</v>
      </c>
      <c r="CQ129" t="e">
        <f>AND(#REF!,"AAAAAHo9314=")</f>
        <v>#REF!</v>
      </c>
      <c r="CR129" t="e">
        <f>AND(#REF!,"AAAAAHo9318=")</f>
        <v>#REF!</v>
      </c>
      <c r="CS129" t="e">
        <f>AND(#REF!,"AAAAAHo932A=")</f>
        <v>#REF!</v>
      </c>
      <c r="CT129" t="e">
        <f>AND(#REF!,"AAAAAHo932E=")</f>
        <v>#REF!</v>
      </c>
      <c r="CU129" t="e">
        <f>AND(#REF!,"AAAAAHo932I=")</f>
        <v>#REF!</v>
      </c>
      <c r="CV129" t="e">
        <f>AND(#REF!,"AAAAAHo932M=")</f>
        <v>#REF!</v>
      </c>
      <c r="CW129" t="e">
        <f>AND(#REF!,"AAAAAHo932Q=")</f>
        <v>#REF!</v>
      </c>
      <c r="CX129" t="e">
        <f>AND(#REF!,"AAAAAHo932U=")</f>
        <v>#REF!</v>
      </c>
      <c r="CY129" t="e">
        <f>AND(#REF!,"AAAAAHo932Y=")</f>
        <v>#REF!</v>
      </c>
      <c r="CZ129" t="e">
        <f>AND(#REF!,"AAAAAHo932c=")</f>
        <v>#REF!</v>
      </c>
      <c r="DA129" t="e">
        <f>AND(#REF!,"AAAAAHo932g=")</f>
        <v>#REF!</v>
      </c>
      <c r="DB129" t="e">
        <f>AND(#REF!,"AAAAAHo932k=")</f>
        <v>#REF!</v>
      </c>
      <c r="DC129" t="e">
        <f>IF(#REF!,"AAAAAHo932o=",0)</f>
        <v>#REF!</v>
      </c>
      <c r="DD129" t="e">
        <f>AND(#REF!,"AAAAAHo932s=")</f>
        <v>#REF!</v>
      </c>
      <c r="DE129" t="e">
        <f>AND(#REF!,"AAAAAHo932w=")</f>
        <v>#REF!</v>
      </c>
      <c r="DF129" t="e">
        <f>AND(#REF!,"AAAAAHo9320=")</f>
        <v>#REF!</v>
      </c>
      <c r="DG129" t="e">
        <f>AND(#REF!,"AAAAAHo9324=")</f>
        <v>#REF!</v>
      </c>
      <c r="DH129" t="e">
        <f>AND(#REF!,"AAAAAHo9328=")</f>
        <v>#REF!</v>
      </c>
      <c r="DI129" t="e">
        <f>AND(#REF!,"AAAAAHo933A=")</f>
        <v>#REF!</v>
      </c>
      <c r="DJ129" t="e">
        <f>AND(#REF!,"AAAAAHo933E=")</f>
        <v>#REF!</v>
      </c>
      <c r="DK129" t="e">
        <f>AND(#REF!,"AAAAAHo933I=")</f>
        <v>#REF!</v>
      </c>
      <c r="DL129" t="e">
        <f>AND(#REF!,"AAAAAHo933M=")</f>
        <v>#REF!</v>
      </c>
      <c r="DM129" t="e">
        <f>AND(#REF!,"AAAAAHo933Q=")</f>
        <v>#REF!</v>
      </c>
      <c r="DN129" t="e">
        <f>AND(#REF!,"AAAAAHo933U=")</f>
        <v>#REF!</v>
      </c>
      <c r="DO129" t="e">
        <f>AND(#REF!,"AAAAAHo933Y=")</f>
        <v>#REF!</v>
      </c>
      <c r="DP129" t="e">
        <f>IF(#REF!,"AAAAAHo933c=",0)</f>
        <v>#REF!</v>
      </c>
      <c r="DQ129" t="e">
        <f>AND(#REF!,"AAAAAHo933g=")</f>
        <v>#REF!</v>
      </c>
      <c r="DR129" t="e">
        <f>AND(#REF!,"AAAAAHo933k=")</f>
        <v>#REF!</v>
      </c>
      <c r="DS129" t="e">
        <f>AND(#REF!,"AAAAAHo933o=")</f>
        <v>#REF!</v>
      </c>
      <c r="DT129" t="e">
        <f>AND(#REF!,"AAAAAHo933s=")</f>
        <v>#REF!</v>
      </c>
      <c r="DU129" t="e">
        <f>AND(#REF!,"AAAAAHo933w=")</f>
        <v>#REF!</v>
      </c>
      <c r="DV129" t="e">
        <f>AND(#REF!,"AAAAAHo9330=")</f>
        <v>#REF!</v>
      </c>
      <c r="DW129" t="e">
        <f>AND(#REF!,"AAAAAHo9334=")</f>
        <v>#REF!</v>
      </c>
      <c r="DX129" t="e">
        <f>AND(#REF!,"AAAAAHo9338=")</f>
        <v>#REF!</v>
      </c>
      <c r="DY129" t="e">
        <f>AND(#REF!,"AAAAAHo934A=")</f>
        <v>#REF!</v>
      </c>
      <c r="DZ129" t="e">
        <f>AND(#REF!,"AAAAAHo934E=")</f>
        <v>#REF!</v>
      </c>
      <c r="EA129" t="e">
        <f>AND(#REF!,"AAAAAHo934I=")</f>
        <v>#REF!</v>
      </c>
      <c r="EB129" t="e">
        <f>AND(#REF!,"AAAAAHo934M=")</f>
        <v>#REF!</v>
      </c>
      <c r="EC129" t="e">
        <f>IF(#REF!,"AAAAAHo934Q=",0)</f>
        <v>#REF!</v>
      </c>
      <c r="ED129" t="e">
        <f>AND(#REF!,"AAAAAHo934U=")</f>
        <v>#REF!</v>
      </c>
      <c r="EE129" t="e">
        <f>AND(#REF!,"AAAAAHo934Y=")</f>
        <v>#REF!</v>
      </c>
      <c r="EF129" t="e">
        <f>AND(#REF!,"AAAAAHo934c=")</f>
        <v>#REF!</v>
      </c>
      <c r="EG129" t="e">
        <f>AND(#REF!,"AAAAAHo934g=")</f>
        <v>#REF!</v>
      </c>
      <c r="EH129" t="e">
        <f>AND(#REF!,"AAAAAHo934k=")</f>
        <v>#REF!</v>
      </c>
      <c r="EI129" t="e">
        <f>AND(#REF!,"AAAAAHo934o=")</f>
        <v>#REF!</v>
      </c>
      <c r="EJ129" t="e">
        <f>AND(#REF!,"AAAAAHo934s=")</f>
        <v>#REF!</v>
      </c>
      <c r="EK129" t="e">
        <f>AND(#REF!,"AAAAAHo934w=")</f>
        <v>#REF!</v>
      </c>
      <c r="EL129" t="e">
        <f>AND(#REF!,"AAAAAHo9340=")</f>
        <v>#REF!</v>
      </c>
      <c r="EM129" t="e">
        <f>AND(#REF!,"AAAAAHo9344=")</f>
        <v>#REF!</v>
      </c>
      <c r="EN129" t="e">
        <f>AND(#REF!,"AAAAAHo9348=")</f>
        <v>#REF!</v>
      </c>
      <c r="EO129" t="e">
        <f>AND(#REF!,"AAAAAHo935A=")</f>
        <v>#REF!</v>
      </c>
      <c r="EP129" t="e">
        <f>IF(#REF!,"AAAAAHo935E=",0)</f>
        <v>#REF!</v>
      </c>
      <c r="EQ129" t="e">
        <f>AND(#REF!,"AAAAAHo935I=")</f>
        <v>#REF!</v>
      </c>
      <c r="ER129" t="e">
        <f>AND(#REF!,"AAAAAHo935M=")</f>
        <v>#REF!</v>
      </c>
      <c r="ES129" t="e">
        <f>AND(#REF!,"AAAAAHo935Q=")</f>
        <v>#REF!</v>
      </c>
      <c r="ET129" t="e">
        <f>AND(#REF!,"AAAAAHo935U=")</f>
        <v>#REF!</v>
      </c>
      <c r="EU129" t="e">
        <f>AND(#REF!,"AAAAAHo935Y=")</f>
        <v>#REF!</v>
      </c>
      <c r="EV129" t="e">
        <f>AND(#REF!,"AAAAAHo935c=")</f>
        <v>#REF!</v>
      </c>
      <c r="EW129" t="e">
        <f>AND(#REF!,"AAAAAHo935g=")</f>
        <v>#REF!</v>
      </c>
      <c r="EX129" t="e">
        <f>AND(#REF!,"AAAAAHo935k=")</f>
        <v>#REF!</v>
      </c>
      <c r="EY129" t="e">
        <f>AND(#REF!,"AAAAAHo935o=")</f>
        <v>#REF!</v>
      </c>
      <c r="EZ129" t="e">
        <f>AND(#REF!,"AAAAAHo935s=")</f>
        <v>#REF!</v>
      </c>
      <c r="FA129" t="e">
        <f>AND(#REF!,"AAAAAHo935w=")</f>
        <v>#REF!</v>
      </c>
      <c r="FB129" t="e">
        <f>AND(#REF!,"AAAAAHo9350=")</f>
        <v>#REF!</v>
      </c>
      <c r="FC129" t="e">
        <f>IF(#REF!,"AAAAAHo9354=",0)</f>
        <v>#REF!</v>
      </c>
      <c r="FD129" t="e">
        <f>AND(#REF!,"AAAAAHo9358=")</f>
        <v>#REF!</v>
      </c>
      <c r="FE129" t="e">
        <f>AND(#REF!,"AAAAAHo936A=")</f>
        <v>#REF!</v>
      </c>
      <c r="FF129" t="e">
        <f>AND(#REF!,"AAAAAHo936E=")</f>
        <v>#REF!</v>
      </c>
      <c r="FG129" t="e">
        <f>AND(#REF!,"AAAAAHo936I=")</f>
        <v>#REF!</v>
      </c>
      <c r="FH129" t="e">
        <f>AND(#REF!,"AAAAAHo936M=")</f>
        <v>#REF!</v>
      </c>
      <c r="FI129" t="e">
        <f>AND(#REF!,"AAAAAHo936Q=")</f>
        <v>#REF!</v>
      </c>
      <c r="FJ129" t="e">
        <f>AND(#REF!,"AAAAAHo936U=")</f>
        <v>#REF!</v>
      </c>
      <c r="FK129" t="e">
        <f>AND(#REF!,"AAAAAHo936Y=")</f>
        <v>#REF!</v>
      </c>
      <c r="FL129" t="e">
        <f>AND(#REF!,"AAAAAHo936c=")</f>
        <v>#REF!</v>
      </c>
      <c r="FM129" t="e">
        <f>AND(#REF!,"AAAAAHo936g=")</f>
        <v>#REF!</v>
      </c>
      <c r="FN129" t="e">
        <f>AND(#REF!,"AAAAAHo936k=")</f>
        <v>#REF!</v>
      </c>
      <c r="FO129" t="e">
        <f>AND(#REF!,"AAAAAHo936o=")</f>
        <v>#REF!</v>
      </c>
      <c r="FP129" t="e">
        <f>IF(#REF!,"AAAAAHo936s=",0)</f>
        <v>#REF!</v>
      </c>
      <c r="FQ129" t="e">
        <f>AND(#REF!,"AAAAAHo936w=")</f>
        <v>#REF!</v>
      </c>
      <c r="FR129" t="e">
        <f>AND(#REF!,"AAAAAHo9360=")</f>
        <v>#REF!</v>
      </c>
      <c r="FS129" t="e">
        <f>AND(#REF!,"AAAAAHo9364=")</f>
        <v>#REF!</v>
      </c>
      <c r="FT129" t="e">
        <f>AND(#REF!,"AAAAAHo9368=")</f>
        <v>#REF!</v>
      </c>
      <c r="FU129" t="e">
        <f>AND(#REF!,"AAAAAHo937A=")</f>
        <v>#REF!</v>
      </c>
      <c r="FV129" t="e">
        <f>IF(#REF!,"AAAAAHo937E=",0)</f>
        <v>#REF!</v>
      </c>
      <c r="FW129" t="e">
        <f>AND(#REF!,"AAAAAHo937I=")</f>
        <v>#REF!</v>
      </c>
      <c r="FX129" t="e">
        <f>AND(#REF!,"AAAAAHo937M=")</f>
        <v>#REF!</v>
      </c>
      <c r="FY129" t="e">
        <f>AND(#REF!,"AAAAAHo937Q=")</f>
        <v>#REF!</v>
      </c>
      <c r="FZ129" t="e">
        <f>AND(#REF!,"AAAAAHo937U=")</f>
        <v>#REF!</v>
      </c>
      <c r="GA129" t="e">
        <f>AND(#REF!,"AAAAAHo937Y=")</f>
        <v>#REF!</v>
      </c>
      <c r="GB129" t="e">
        <f>IF(#REF!,"AAAAAHo937c=",0)</f>
        <v>#REF!</v>
      </c>
      <c r="GC129" t="e">
        <f>IF(#REF!,"AAAAAHo937g=",0)</f>
        <v>#REF!</v>
      </c>
      <c r="GD129" t="e">
        <f>IF(#REF!,"AAAAAHo937k=",0)</f>
        <v>#REF!</v>
      </c>
      <c r="GE129" t="e">
        <f>IF(#REF!,"AAAAAHo937o=",0)</f>
        <v>#REF!</v>
      </c>
      <c r="GF129" t="e">
        <f>IF(#REF!,"AAAAAHo937s=",0)</f>
        <v>#REF!</v>
      </c>
      <c r="GG129" t="e">
        <f>IF(#REF!,"AAAAAHo937w=",0)</f>
        <v>#REF!</v>
      </c>
      <c r="GH129" t="e">
        <f>IF(#REF!,"AAAAAHo9370=",0)</f>
        <v>#REF!</v>
      </c>
      <c r="GI129" t="e">
        <f>IF(#REF!,"AAAAAHo9374=",0)</f>
        <v>#REF!</v>
      </c>
      <c r="GJ129" t="e">
        <f>IF(#REF!,"AAAAAHo9378=",0)</f>
        <v>#REF!</v>
      </c>
      <c r="GK129" t="e">
        <f>IF(#REF!,"AAAAAHo938A=",0)</f>
        <v>#REF!</v>
      </c>
      <c r="GL129" t="e">
        <f>IF(#REF!,"AAAAAHo938E=",0)</f>
        <v>#REF!</v>
      </c>
      <c r="GM129" t="e">
        <f>IF(#REF!,"AAAAAHo938I=",0)</f>
        <v>#REF!</v>
      </c>
      <c r="GN129" t="e">
        <f>IF(#REF!,"AAAAAHo938M=",0)</f>
        <v>#REF!</v>
      </c>
      <c r="GO129" t="e">
        <f>AND(#REF!,"AAAAAHo938Q=")</f>
        <v>#REF!</v>
      </c>
      <c r="GP129" t="e">
        <f>AND(#REF!,"AAAAAHo938U=")</f>
        <v>#REF!</v>
      </c>
      <c r="GQ129" t="e">
        <f>AND(#REF!,"AAAAAHo938Y=")</f>
        <v>#REF!</v>
      </c>
      <c r="GR129" t="e">
        <f>AND(#REF!,"AAAAAHo938c=")</f>
        <v>#REF!</v>
      </c>
      <c r="GS129" t="e">
        <f>AND(#REF!,"AAAAAHo938g=")</f>
        <v>#REF!</v>
      </c>
      <c r="GT129" t="e">
        <f>AND(#REF!,"AAAAAHo938k=")</f>
        <v>#REF!</v>
      </c>
      <c r="GU129" t="e">
        <f>AND(#REF!,"AAAAAHo938o=")</f>
        <v>#REF!</v>
      </c>
      <c r="GV129" t="e">
        <f>AND(#REF!,"AAAAAHo938s=")</f>
        <v>#REF!</v>
      </c>
      <c r="GW129" t="e">
        <f>AND(#REF!,"AAAAAHo938w=")</f>
        <v>#REF!</v>
      </c>
      <c r="GX129" t="e">
        <f>AND(#REF!,"AAAAAHo9380=")</f>
        <v>#REF!</v>
      </c>
      <c r="GY129" t="e">
        <f>AND(#REF!,"AAAAAHo9384=")</f>
        <v>#REF!</v>
      </c>
      <c r="GZ129" t="e">
        <f>AND(#REF!,"AAAAAHo9388=")</f>
        <v>#REF!</v>
      </c>
      <c r="HA129" t="e">
        <f>AND(#REF!,"AAAAAHo939A=")</f>
        <v>#REF!</v>
      </c>
      <c r="HB129" t="e">
        <f>AND(#REF!,"AAAAAHo939E=")</f>
        <v>#REF!</v>
      </c>
      <c r="HC129" t="e">
        <f>AND(#REF!,"AAAAAHo939I=")</f>
        <v>#REF!</v>
      </c>
      <c r="HD129" t="e">
        <f>AND(#REF!,"AAAAAHo939M=")</f>
        <v>#REF!</v>
      </c>
      <c r="HE129" t="e">
        <f>AND(#REF!,"AAAAAHo939Q=")</f>
        <v>#REF!</v>
      </c>
      <c r="HF129" t="e">
        <f>AND(#REF!,"AAAAAHo939U=")</f>
        <v>#REF!</v>
      </c>
      <c r="HG129" t="e">
        <f>AND(#REF!,"AAAAAHo939Y=")</f>
        <v>#REF!</v>
      </c>
      <c r="HH129" t="e">
        <f>AND(#REF!,"AAAAAHo939c=")</f>
        <v>#REF!</v>
      </c>
      <c r="HI129" t="e">
        <f>AND(#REF!,"AAAAAHo939g=")</f>
        <v>#REF!</v>
      </c>
      <c r="HJ129" t="e">
        <f>AND(#REF!,"AAAAAHo939k=")</f>
        <v>#REF!</v>
      </c>
      <c r="HK129" t="e">
        <f>AND(#REF!,"AAAAAHo939o=")</f>
        <v>#REF!</v>
      </c>
      <c r="HL129" t="e">
        <f>AND(#REF!,"AAAAAHo939s=")</f>
        <v>#REF!</v>
      </c>
      <c r="HM129" t="e">
        <f>IF(#REF!,"AAAAAHo939w=",0)</f>
        <v>#REF!</v>
      </c>
      <c r="HN129" t="e">
        <f>AND(#REF!,"AAAAAHo9390=")</f>
        <v>#REF!</v>
      </c>
      <c r="HO129" t="e">
        <f>AND(#REF!,"AAAAAHo9394=")</f>
        <v>#REF!</v>
      </c>
      <c r="HP129" t="e">
        <f>AND(#REF!,"AAAAAHo9398=")</f>
        <v>#REF!</v>
      </c>
      <c r="HQ129" t="e">
        <f>AND(#REF!,"AAAAAHo93+A=")</f>
        <v>#REF!</v>
      </c>
      <c r="HR129" t="e">
        <f>AND(#REF!,"AAAAAHo93+E=")</f>
        <v>#REF!</v>
      </c>
      <c r="HS129" t="e">
        <f>AND(#REF!,"AAAAAHo93+I=")</f>
        <v>#REF!</v>
      </c>
      <c r="HT129" t="e">
        <f>AND(#REF!,"AAAAAHo93+M=")</f>
        <v>#REF!</v>
      </c>
      <c r="HU129" t="e">
        <f>AND(#REF!,"AAAAAHo93+Q=")</f>
        <v>#REF!</v>
      </c>
      <c r="HV129" t="e">
        <f>AND(#REF!,"AAAAAHo93+U=")</f>
        <v>#REF!</v>
      </c>
      <c r="HW129" t="e">
        <f>AND(#REF!,"AAAAAHo93+Y=")</f>
        <v>#REF!</v>
      </c>
      <c r="HX129" t="e">
        <f>AND(#REF!,"AAAAAHo93+c=")</f>
        <v>#REF!</v>
      </c>
      <c r="HY129" t="e">
        <f>AND(#REF!,"AAAAAHo93+g=")</f>
        <v>#REF!</v>
      </c>
      <c r="HZ129" t="e">
        <f>AND(#REF!,"AAAAAHo93+k=")</f>
        <v>#REF!</v>
      </c>
      <c r="IA129" t="e">
        <f>AND(#REF!,"AAAAAHo93+o=")</f>
        <v>#REF!</v>
      </c>
      <c r="IB129" t="e">
        <f>AND(#REF!,"AAAAAHo93+s=")</f>
        <v>#REF!</v>
      </c>
      <c r="IC129" t="e">
        <f>AND(#REF!,"AAAAAHo93+w=")</f>
        <v>#REF!</v>
      </c>
      <c r="ID129" t="e">
        <f>AND(#REF!,"AAAAAHo93+0=")</f>
        <v>#REF!</v>
      </c>
      <c r="IE129" t="e">
        <f>AND(#REF!,"AAAAAHo93+4=")</f>
        <v>#REF!</v>
      </c>
      <c r="IF129" t="e">
        <f>AND(#REF!,"AAAAAHo93+8=")</f>
        <v>#REF!</v>
      </c>
      <c r="IG129" t="e">
        <f>AND(#REF!,"AAAAAHo93/A=")</f>
        <v>#REF!</v>
      </c>
      <c r="IH129" t="e">
        <f>AND(#REF!,"AAAAAHo93/E=")</f>
        <v>#REF!</v>
      </c>
      <c r="II129" t="e">
        <f>AND(#REF!,"AAAAAHo93/I=")</f>
        <v>#REF!</v>
      </c>
      <c r="IJ129" t="e">
        <f>AND(#REF!,"AAAAAHo93/M=")</f>
        <v>#REF!</v>
      </c>
      <c r="IK129" t="e">
        <f>AND(#REF!,"AAAAAHo93/Q=")</f>
        <v>#REF!</v>
      </c>
      <c r="IL129" t="e">
        <f>IF(#REF!,"AAAAAHo93/U=",0)</f>
        <v>#REF!</v>
      </c>
      <c r="IM129" t="e">
        <f>AND(#REF!,"AAAAAHo93/Y=")</f>
        <v>#REF!</v>
      </c>
      <c r="IN129" t="e">
        <f>AND(#REF!,"AAAAAHo93/c=")</f>
        <v>#REF!</v>
      </c>
      <c r="IO129" t="e">
        <f>AND(#REF!,"AAAAAHo93/g=")</f>
        <v>#REF!</v>
      </c>
      <c r="IP129" t="e">
        <f>AND(#REF!,"AAAAAHo93/k=")</f>
        <v>#REF!</v>
      </c>
      <c r="IQ129" t="e">
        <f>AND(#REF!,"AAAAAHo93/o=")</f>
        <v>#REF!</v>
      </c>
      <c r="IR129" t="e">
        <f>AND(#REF!,"AAAAAHo93/s=")</f>
        <v>#REF!</v>
      </c>
      <c r="IS129" t="e">
        <f>AND(#REF!,"AAAAAHo93/w=")</f>
        <v>#REF!</v>
      </c>
      <c r="IT129" t="e">
        <f>AND(#REF!,"AAAAAHo93/0=")</f>
        <v>#REF!</v>
      </c>
      <c r="IU129" t="e">
        <f>AND(#REF!,"AAAAAHo93/4=")</f>
        <v>#REF!</v>
      </c>
      <c r="IV129" t="e">
        <f>AND(#REF!,"AAAAAHo93/8=")</f>
        <v>#REF!</v>
      </c>
    </row>
    <row r="130" spans="1:256" x14ac:dyDescent="0.25">
      <c r="A130" t="e">
        <f>AND(#REF!,"AAAAAH1rcQA=")</f>
        <v>#REF!</v>
      </c>
      <c r="B130" t="e">
        <f>AND(#REF!,"AAAAAH1rcQE=")</f>
        <v>#REF!</v>
      </c>
      <c r="C130" t="e">
        <f>AND(#REF!,"AAAAAH1rcQI=")</f>
        <v>#REF!</v>
      </c>
      <c r="D130" t="e">
        <f>AND(#REF!,"AAAAAH1rcQM=")</f>
        <v>#REF!</v>
      </c>
      <c r="E130" t="e">
        <f>AND(#REF!,"AAAAAH1rcQQ=")</f>
        <v>#REF!</v>
      </c>
      <c r="F130" t="e">
        <f>AND(#REF!,"AAAAAH1rcQU=")</f>
        <v>#REF!</v>
      </c>
      <c r="G130" t="e">
        <f>AND(#REF!,"AAAAAH1rcQY=")</f>
        <v>#REF!</v>
      </c>
      <c r="H130" t="e">
        <f>AND(#REF!,"AAAAAH1rcQc=")</f>
        <v>#REF!</v>
      </c>
      <c r="I130" t="e">
        <f>AND(#REF!,"AAAAAH1rcQg=")</f>
        <v>#REF!</v>
      </c>
      <c r="J130" t="e">
        <f>AND(#REF!,"AAAAAH1rcQk=")</f>
        <v>#REF!</v>
      </c>
      <c r="K130" t="e">
        <f>AND(#REF!,"AAAAAH1rcQo=")</f>
        <v>#REF!</v>
      </c>
      <c r="L130" t="e">
        <f>AND(#REF!,"AAAAAH1rcQs=")</f>
        <v>#REF!</v>
      </c>
      <c r="M130" t="e">
        <f>AND(#REF!,"AAAAAH1rcQw=")</f>
        <v>#REF!</v>
      </c>
      <c r="N130" t="e">
        <f>AND(#REF!,"AAAAAH1rcQ0=")</f>
        <v>#REF!</v>
      </c>
      <c r="O130" t="e">
        <f>IF(#REF!,"AAAAAH1rcQ4=",0)</f>
        <v>#REF!</v>
      </c>
      <c r="P130" t="e">
        <f>AND(#REF!,"AAAAAH1rcQ8=")</f>
        <v>#REF!</v>
      </c>
      <c r="Q130" t="e">
        <f>AND(#REF!,"AAAAAH1rcRA=")</f>
        <v>#REF!</v>
      </c>
      <c r="R130" t="e">
        <f>AND(#REF!,"AAAAAH1rcRE=")</f>
        <v>#REF!</v>
      </c>
      <c r="S130" t="e">
        <f>AND(#REF!,"AAAAAH1rcRI=")</f>
        <v>#REF!</v>
      </c>
      <c r="T130" t="e">
        <f>AND(#REF!,"AAAAAH1rcRM=")</f>
        <v>#REF!</v>
      </c>
      <c r="U130" t="e">
        <f>AND(#REF!,"AAAAAH1rcRQ=")</f>
        <v>#REF!</v>
      </c>
      <c r="V130" t="e">
        <f>AND(#REF!,"AAAAAH1rcRU=")</f>
        <v>#REF!</v>
      </c>
      <c r="W130" t="e">
        <f>AND(#REF!,"AAAAAH1rcRY=")</f>
        <v>#REF!</v>
      </c>
      <c r="X130" t="e">
        <f>AND(#REF!,"AAAAAH1rcRc=")</f>
        <v>#REF!</v>
      </c>
      <c r="Y130" t="e">
        <f>AND(#REF!,"AAAAAH1rcRg=")</f>
        <v>#REF!</v>
      </c>
      <c r="Z130" t="e">
        <f>AND(#REF!,"AAAAAH1rcRk=")</f>
        <v>#REF!</v>
      </c>
      <c r="AA130" t="e">
        <f>AND(#REF!,"AAAAAH1rcRo=")</f>
        <v>#REF!</v>
      </c>
      <c r="AB130" t="e">
        <f>AND(#REF!,"AAAAAH1rcRs=")</f>
        <v>#REF!</v>
      </c>
      <c r="AC130" t="e">
        <f>AND(#REF!,"AAAAAH1rcRw=")</f>
        <v>#REF!</v>
      </c>
      <c r="AD130" t="e">
        <f>AND(#REF!,"AAAAAH1rcR0=")</f>
        <v>#REF!</v>
      </c>
      <c r="AE130" t="e">
        <f>AND(#REF!,"AAAAAH1rcR4=")</f>
        <v>#REF!</v>
      </c>
      <c r="AF130" t="e">
        <f>AND(#REF!,"AAAAAH1rcR8=")</f>
        <v>#REF!</v>
      </c>
      <c r="AG130" t="e">
        <f>AND(#REF!,"AAAAAH1rcSA=")</f>
        <v>#REF!</v>
      </c>
      <c r="AH130" t="e">
        <f>AND(#REF!,"AAAAAH1rcSE=")</f>
        <v>#REF!</v>
      </c>
      <c r="AI130" t="e">
        <f>AND(#REF!,"AAAAAH1rcSI=")</f>
        <v>#REF!</v>
      </c>
      <c r="AJ130" t="e">
        <f>AND(#REF!,"AAAAAH1rcSM=")</f>
        <v>#REF!</v>
      </c>
      <c r="AK130" t="e">
        <f>AND(#REF!,"AAAAAH1rcSQ=")</f>
        <v>#REF!</v>
      </c>
      <c r="AL130" t="e">
        <f>AND(#REF!,"AAAAAH1rcSU=")</f>
        <v>#REF!</v>
      </c>
      <c r="AM130" t="e">
        <f>AND(#REF!,"AAAAAH1rcSY=")</f>
        <v>#REF!</v>
      </c>
      <c r="AN130" t="e">
        <f>IF(#REF!,"AAAAAH1rcSc=",0)</f>
        <v>#REF!</v>
      </c>
      <c r="AO130" t="e">
        <f>AND(#REF!,"AAAAAH1rcSg=")</f>
        <v>#REF!</v>
      </c>
      <c r="AP130" t="e">
        <f>AND(#REF!,"AAAAAH1rcSk=")</f>
        <v>#REF!</v>
      </c>
      <c r="AQ130" t="e">
        <f>AND(#REF!,"AAAAAH1rcSo=")</f>
        <v>#REF!</v>
      </c>
      <c r="AR130" t="e">
        <f>AND(#REF!,"AAAAAH1rcSs=")</f>
        <v>#REF!</v>
      </c>
      <c r="AS130" t="e">
        <f>AND(#REF!,"AAAAAH1rcSw=")</f>
        <v>#REF!</v>
      </c>
      <c r="AT130" t="e">
        <f>AND(#REF!,"AAAAAH1rcS0=")</f>
        <v>#REF!</v>
      </c>
      <c r="AU130" t="e">
        <f>AND(#REF!,"AAAAAH1rcS4=")</f>
        <v>#REF!</v>
      </c>
      <c r="AV130" t="e">
        <f>AND(#REF!,"AAAAAH1rcS8=")</f>
        <v>#REF!</v>
      </c>
      <c r="AW130" t="e">
        <f>AND(#REF!,"AAAAAH1rcTA=")</f>
        <v>#REF!</v>
      </c>
      <c r="AX130" t="e">
        <f>AND(#REF!,"AAAAAH1rcTE=")</f>
        <v>#REF!</v>
      </c>
      <c r="AY130" t="e">
        <f>AND(#REF!,"AAAAAH1rcTI=")</f>
        <v>#REF!</v>
      </c>
      <c r="AZ130" t="e">
        <f>AND(#REF!,"AAAAAH1rcTM=")</f>
        <v>#REF!</v>
      </c>
      <c r="BA130" t="e">
        <f>AND(#REF!,"AAAAAH1rcTQ=")</f>
        <v>#REF!</v>
      </c>
      <c r="BB130" t="e">
        <f>AND(#REF!,"AAAAAH1rcTU=")</f>
        <v>#REF!</v>
      </c>
      <c r="BC130" t="e">
        <f>AND(#REF!,"AAAAAH1rcTY=")</f>
        <v>#REF!</v>
      </c>
      <c r="BD130" t="e">
        <f>AND(#REF!,"AAAAAH1rcTc=")</f>
        <v>#REF!</v>
      </c>
      <c r="BE130" t="e">
        <f>AND(#REF!,"AAAAAH1rcTg=")</f>
        <v>#REF!</v>
      </c>
      <c r="BF130" t="e">
        <f>AND(#REF!,"AAAAAH1rcTk=")</f>
        <v>#REF!</v>
      </c>
      <c r="BG130" t="e">
        <f>AND(#REF!,"AAAAAH1rcTo=")</f>
        <v>#REF!</v>
      </c>
      <c r="BH130" t="e">
        <f>AND(#REF!,"AAAAAH1rcTs=")</f>
        <v>#REF!</v>
      </c>
      <c r="BI130" t="e">
        <f>AND(#REF!,"AAAAAH1rcTw=")</f>
        <v>#REF!</v>
      </c>
      <c r="BJ130" t="e">
        <f>AND(#REF!,"AAAAAH1rcT0=")</f>
        <v>#REF!</v>
      </c>
      <c r="BK130" t="e">
        <f>AND(#REF!,"AAAAAH1rcT4=")</f>
        <v>#REF!</v>
      </c>
      <c r="BL130" t="e">
        <f>AND(#REF!,"AAAAAH1rcT8=")</f>
        <v>#REF!</v>
      </c>
      <c r="BM130" t="e">
        <f>IF(#REF!,"AAAAAH1rcUA=",0)</f>
        <v>#REF!</v>
      </c>
      <c r="BN130" t="e">
        <f>AND(#REF!,"AAAAAH1rcUE=")</f>
        <v>#REF!</v>
      </c>
      <c r="BO130" t="e">
        <f>AND(#REF!,"AAAAAH1rcUI=")</f>
        <v>#REF!</v>
      </c>
      <c r="BP130" t="e">
        <f>AND(#REF!,"AAAAAH1rcUM=")</f>
        <v>#REF!</v>
      </c>
      <c r="BQ130" t="e">
        <f>AND(#REF!,"AAAAAH1rcUQ=")</f>
        <v>#REF!</v>
      </c>
      <c r="BR130" t="e">
        <f>AND(#REF!,"AAAAAH1rcUU=")</f>
        <v>#REF!</v>
      </c>
      <c r="BS130" t="e">
        <f>AND(#REF!,"AAAAAH1rcUY=")</f>
        <v>#REF!</v>
      </c>
      <c r="BT130" t="e">
        <f>AND(#REF!,"AAAAAH1rcUc=")</f>
        <v>#REF!</v>
      </c>
      <c r="BU130" t="e">
        <f>AND(#REF!,"AAAAAH1rcUg=")</f>
        <v>#REF!</v>
      </c>
      <c r="BV130" t="e">
        <f>AND(#REF!,"AAAAAH1rcUk=")</f>
        <v>#REF!</v>
      </c>
      <c r="BW130" t="e">
        <f>AND(#REF!,"AAAAAH1rcUo=")</f>
        <v>#REF!</v>
      </c>
      <c r="BX130" t="e">
        <f>AND(#REF!,"AAAAAH1rcUs=")</f>
        <v>#REF!</v>
      </c>
      <c r="BY130" t="e">
        <f>AND(#REF!,"AAAAAH1rcUw=")</f>
        <v>#REF!</v>
      </c>
      <c r="BZ130" t="e">
        <f>AND(#REF!,"AAAAAH1rcU0=")</f>
        <v>#REF!</v>
      </c>
      <c r="CA130" t="e">
        <f>AND(#REF!,"AAAAAH1rcU4=")</f>
        <v>#REF!</v>
      </c>
      <c r="CB130" t="e">
        <f>AND(#REF!,"AAAAAH1rcU8=")</f>
        <v>#REF!</v>
      </c>
      <c r="CC130" t="e">
        <f>AND(#REF!,"AAAAAH1rcVA=")</f>
        <v>#REF!</v>
      </c>
      <c r="CD130" t="e">
        <f>AND(#REF!,"AAAAAH1rcVE=")</f>
        <v>#REF!</v>
      </c>
      <c r="CE130" t="e">
        <f>AND(#REF!,"AAAAAH1rcVI=")</f>
        <v>#REF!</v>
      </c>
      <c r="CF130" t="e">
        <f>AND(#REF!,"AAAAAH1rcVM=")</f>
        <v>#REF!</v>
      </c>
      <c r="CG130" t="e">
        <f>AND(#REF!,"AAAAAH1rcVQ=")</f>
        <v>#REF!</v>
      </c>
      <c r="CH130" t="e">
        <f>AND(#REF!,"AAAAAH1rcVU=")</f>
        <v>#REF!</v>
      </c>
      <c r="CI130" t="e">
        <f>AND(#REF!,"AAAAAH1rcVY=")</f>
        <v>#REF!</v>
      </c>
      <c r="CJ130" t="e">
        <f>AND(#REF!,"AAAAAH1rcVc=")</f>
        <v>#REF!</v>
      </c>
      <c r="CK130" t="e">
        <f>AND(#REF!,"AAAAAH1rcVg=")</f>
        <v>#REF!</v>
      </c>
      <c r="CL130" t="e">
        <f>IF(#REF!,"AAAAAH1rcVk=",0)</f>
        <v>#REF!</v>
      </c>
      <c r="CM130" t="e">
        <f>AND(#REF!,"AAAAAH1rcVo=")</f>
        <v>#REF!</v>
      </c>
      <c r="CN130" t="e">
        <f>AND(#REF!,"AAAAAH1rcVs=")</f>
        <v>#REF!</v>
      </c>
      <c r="CO130" t="e">
        <f>AND(#REF!,"AAAAAH1rcVw=")</f>
        <v>#REF!</v>
      </c>
      <c r="CP130" t="e">
        <f>AND(#REF!,"AAAAAH1rcV0=")</f>
        <v>#REF!</v>
      </c>
      <c r="CQ130" t="e">
        <f>AND(#REF!,"AAAAAH1rcV4=")</f>
        <v>#REF!</v>
      </c>
      <c r="CR130" t="e">
        <f>AND(#REF!,"AAAAAH1rcV8=")</f>
        <v>#REF!</v>
      </c>
      <c r="CS130" t="e">
        <f>AND(#REF!,"AAAAAH1rcWA=")</f>
        <v>#REF!</v>
      </c>
      <c r="CT130" t="e">
        <f>AND(#REF!,"AAAAAH1rcWE=")</f>
        <v>#REF!</v>
      </c>
      <c r="CU130" t="e">
        <f>AND(#REF!,"AAAAAH1rcWI=")</f>
        <v>#REF!</v>
      </c>
      <c r="CV130" t="e">
        <f>AND(#REF!,"AAAAAH1rcWM=")</f>
        <v>#REF!</v>
      </c>
      <c r="CW130" t="e">
        <f>AND(#REF!,"AAAAAH1rcWQ=")</f>
        <v>#REF!</v>
      </c>
      <c r="CX130" t="e">
        <f>AND(#REF!,"AAAAAH1rcWU=")</f>
        <v>#REF!</v>
      </c>
      <c r="CY130" t="e">
        <f>AND(#REF!,"AAAAAH1rcWY=")</f>
        <v>#REF!</v>
      </c>
      <c r="CZ130" t="e">
        <f>AND(#REF!,"AAAAAH1rcWc=")</f>
        <v>#REF!</v>
      </c>
      <c r="DA130" t="e">
        <f>AND(#REF!,"AAAAAH1rcWg=")</f>
        <v>#REF!</v>
      </c>
      <c r="DB130" t="e">
        <f>AND(#REF!,"AAAAAH1rcWk=")</f>
        <v>#REF!</v>
      </c>
      <c r="DC130" t="e">
        <f>AND(#REF!,"AAAAAH1rcWo=")</f>
        <v>#REF!</v>
      </c>
      <c r="DD130" t="e">
        <f>AND(#REF!,"AAAAAH1rcWs=")</f>
        <v>#REF!</v>
      </c>
      <c r="DE130" t="e">
        <f>AND(#REF!,"AAAAAH1rcWw=")</f>
        <v>#REF!</v>
      </c>
      <c r="DF130" t="e">
        <f>AND(#REF!,"AAAAAH1rcW0=")</f>
        <v>#REF!</v>
      </c>
      <c r="DG130" t="e">
        <f>AND(#REF!,"AAAAAH1rcW4=")</f>
        <v>#REF!</v>
      </c>
      <c r="DH130" t="e">
        <f>AND(#REF!,"AAAAAH1rcW8=")</f>
        <v>#REF!</v>
      </c>
      <c r="DI130" t="e">
        <f>AND(#REF!,"AAAAAH1rcXA=")</f>
        <v>#REF!</v>
      </c>
      <c r="DJ130" t="e">
        <f>AND(#REF!,"AAAAAH1rcXE=")</f>
        <v>#REF!</v>
      </c>
      <c r="DK130" t="e">
        <f>IF(#REF!,"AAAAAH1rcXI=",0)</f>
        <v>#REF!</v>
      </c>
      <c r="DL130" t="e">
        <f>AND(#REF!,"AAAAAH1rcXM=")</f>
        <v>#REF!</v>
      </c>
      <c r="DM130" t="e">
        <f>AND(#REF!,"AAAAAH1rcXQ=")</f>
        <v>#REF!</v>
      </c>
      <c r="DN130" t="e">
        <f>AND(#REF!,"AAAAAH1rcXU=")</f>
        <v>#REF!</v>
      </c>
      <c r="DO130" t="e">
        <f>AND(#REF!,"AAAAAH1rcXY=")</f>
        <v>#REF!</v>
      </c>
      <c r="DP130" t="e">
        <f>AND(#REF!,"AAAAAH1rcXc=")</f>
        <v>#REF!</v>
      </c>
      <c r="DQ130" t="e">
        <f>AND(#REF!,"AAAAAH1rcXg=")</f>
        <v>#REF!</v>
      </c>
      <c r="DR130" t="e">
        <f>AND(#REF!,"AAAAAH1rcXk=")</f>
        <v>#REF!</v>
      </c>
      <c r="DS130" t="e">
        <f>AND(#REF!,"AAAAAH1rcXo=")</f>
        <v>#REF!</v>
      </c>
      <c r="DT130" t="e">
        <f>AND(#REF!,"AAAAAH1rcXs=")</f>
        <v>#REF!</v>
      </c>
      <c r="DU130" t="e">
        <f>AND(#REF!,"AAAAAH1rcXw=")</f>
        <v>#REF!</v>
      </c>
      <c r="DV130" t="e">
        <f>AND(#REF!,"AAAAAH1rcX0=")</f>
        <v>#REF!</v>
      </c>
      <c r="DW130" t="e">
        <f>AND(#REF!,"AAAAAH1rcX4=")</f>
        <v>#REF!</v>
      </c>
      <c r="DX130" t="e">
        <f>AND(#REF!,"AAAAAH1rcX8=")</f>
        <v>#REF!</v>
      </c>
      <c r="DY130" t="e">
        <f>AND(#REF!,"AAAAAH1rcYA=")</f>
        <v>#REF!</v>
      </c>
      <c r="DZ130" t="e">
        <f>AND(#REF!,"AAAAAH1rcYE=")</f>
        <v>#REF!</v>
      </c>
      <c r="EA130" t="e">
        <f>AND(#REF!,"AAAAAH1rcYI=")</f>
        <v>#REF!</v>
      </c>
      <c r="EB130" t="e">
        <f>AND(#REF!,"AAAAAH1rcYM=")</f>
        <v>#REF!</v>
      </c>
      <c r="EC130" t="e">
        <f>AND(#REF!,"AAAAAH1rcYQ=")</f>
        <v>#REF!</v>
      </c>
      <c r="ED130" t="e">
        <f>AND(#REF!,"AAAAAH1rcYU=")</f>
        <v>#REF!</v>
      </c>
      <c r="EE130" t="e">
        <f>AND(#REF!,"AAAAAH1rcYY=")</f>
        <v>#REF!</v>
      </c>
      <c r="EF130" t="e">
        <f>AND(#REF!,"AAAAAH1rcYc=")</f>
        <v>#REF!</v>
      </c>
      <c r="EG130" t="e">
        <f>AND(#REF!,"AAAAAH1rcYg=")</f>
        <v>#REF!</v>
      </c>
      <c r="EH130" t="e">
        <f>AND(#REF!,"AAAAAH1rcYk=")</f>
        <v>#REF!</v>
      </c>
      <c r="EI130" t="e">
        <f>AND(#REF!,"AAAAAH1rcYo=")</f>
        <v>#REF!</v>
      </c>
      <c r="EJ130" t="e">
        <f>IF(#REF!,"AAAAAH1rcYs=",0)</f>
        <v>#REF!</v>
      </c>
      <c r="EK130" t="e">
        <f>AND(#REF!,"AAAAAH1rcYw=")</f>
        <v>#REF!</v>
      </c>
      <c r="EL130" t="e">
        <f>AND(#REF!,"AAAAAH1rcY0=")</f>
        <v>#REF!</v>
      </c>
      <c r="EM130" t="e">
        <f>AND(#REF!,"AAAAAH1rcY4=")</f>
        <v>#REF!</v>
      </c>
      <c r="EN130" t="e">
        <f>AND(#REF!,"AAAAAH1rcY8=")</f>
        <v>#REF!</v>
      </c>
      <c r="EO130" t="e">
        <f>AND(#REF!,"AAAAAH1rcZA=")</f>
        <v>#REF!</v>
      </c>
      <c r="EP130" t="e">
        <f>AND(#REF!,"AAAAAH1rcZE=")</f>
        <v>#REF!</v>
      </c>
      <c r="EQ130" t="e">
        <f>AND(#REF!,"AAAAAH1rcZI=")</f>
        <v>#REF!</v>
      </c>
      <c r="ER130" t="e">
        <f>AND(#REF!,"AAAAAH1rcZM=")</f>
        <v>#REF!</v>
      </c>
      <c r="ES130" t="e">
        <f>AND(#REF!,"AAAAAH1rcZQ=")</f>
        <v>#REF!</v>
      </c>
      <c r="ET130" t="e">
        <f>AND(#REF!,"AAAAAH1rcZU=")</f>
        <v>#REF!</v>
      </c>
      <c r="EU130" t="e">
        <f>AND(#REF!,"AAAAAH1rcZY=")</f>
        <v>#REF!</v>
      </c>
      <c r="EV130" t="e">
        <f>AND(#REF!,"AAAAAH1rcZc=")</f>
        <v>#REF!</v>
      </c>
      <c r="EW130" t="e">
        <f>AND(#REF!,"AAAAAH1rcZg=")</f>
        <v>#REF!</v>
      </c>
      <c r="EX130" t="e">
        <f>AND(#REF!,"AAAAAH1rcZk=")</f>
        <v>#REF!</v>
      </c>
      <c r="EY130" t="e">
        <f>AND(#REF!,"AAAAAH1rcZo=")</f>
        <v>#REF!</v>
      </c>
      <c r="EZ130" t="e">
        <f>AND(#REF!,"AAAAAH1rcZs=")</f>
        <v>#REF!</v>
      </c>
      <c r="FA130" t="e">
        <f>AND(#REF!,"AAAAAH1rcZw=")</f>
        <v>#REF!</v>
      </c>
      <c r="FB130" t="e">
        <f>AND(#REF!,"AAAAAH1rcZ0=")</f>
        <v>#REF!</v>
      </c>
      <c r="FC130" t="e">
        <f>AND(#REF!,"AAAAAH1rcZ4=")</f>
        <v>#REF!</v>
      </c>
      <c r="FD130" t="e">
        <f>AND(#REF!,"AAAAAH1rcZ8=")</f>
        <v>#REF!</v>
      </c>
      <c r="FE130" t="e">
        <f>AND(#REF!,"AAAAAH1rcaA=")</f>
        <v>#REF!</v>
      </c>
      <c r="FF130" t="e">
        <f>AND(#REF!,"AAAAAH1rcaE=")</f>
        <v>#REF!</v>
      </c>
      <c r="FG130" t="e">
        <f>AND(#REF!,"AAAAAH1rcaI=")</f>
        <v>#REF!</v>
      </c>
      <c r="FH130" t="e">
        <f>AND(#REF!,"AAAAAH1rcaM=")</f>
        <v>#REF!</v>
      </c>
      <c r="FI130" t="e">
        <f>IF(#REF!,"AAAAAH1rcaQ=",0)</f>
        <v>#REF!</v>
      </c>
      <c r="FJ130" t="e">
        <f>IF(#REF!,"AAAAAH1rcaU=",0)</f>
        <v>#REF!</v>
      </c>
      <c r="FK130" t="e">
        <f>IF(#REF!,"AAAAAH1rcaY=",0)</f>
        <v>#REF!</v>
      </c>
      <c r="FL130" t="e">
        <f>IF(#REF!,"AAAAAH1rcac=",0)</f>
        <v>#REF!</v>
      </c>
      <c r="FM130" t="e">
        <f>IF(#REF!,"AAAAAH1rcag=",0)</f>
        <v>#REF!</v>
      </c>
      <c r="FN130" t="e">
        <f>IF(#REF!,"AAAAAH1rcak=",0)</f>
        <v>#REF!</v>
      </c>
      <c r="FO130" t="e">
        <f>IF(#REF!,"AAAAAH1rcao=",0)</f>
        <v>#REF!</v>
      </c>
      <c r="FP130" t="e">
        <f>IF(#REF!,"AAAAAH1rcas=",0)</f>
        <v>#REF!</v>
      </c>
      <c r="FQ130" t="e">
        <f>IF(#REF!,"AAAAAH1rcaw=",0)</f>
        <v>#REF!</v>
      </c>
      <c r="FR130" t="e">
        <f>IF(#REF!,"AAAAAH1rca0=",0)</f>
        <v>#REF!</v>
      </c>
      <c r="FS130" t="e">
        <f>IF(#REF!,"AAAAAH1rca4=",0)</f>
        <v>#REF!</v>
      </c>
      <c r="FT130" t="e">
        <f>IF(#REF!,"AAAAAH1rca8=",0)</f>
        <v>#REF!</v>
      </c>
      <c r="FU130" t="e">
        <f>IF(#REF!,"AAAAAH1rcbA=",0)</f>
        <v>#REF!</v>
      </c>
      <c r="FV130" t="e">
        <f>IF(#REF!,"AAAAAH1rcbE=",0)</f>
        <v>#REF!</v>
      </c>
      <c r="FW130" t="e">
        <f>IF(#REF!,"AAAAAH1rcbI=",0)</f>
        <v>#REF!</v>
      </c>
      <c r="FX130" t="e">
        <f>IF(#REF!,"AAAAAH1rcbM=",0)</f>
        <v>#REF!</v>
      </c>
      <c r="FY130" t="e">
        <f>IF(#REF!,"AAAAAH1rcbQ=",0)</f>
        <v>#REF!</v>
      </c>
      <c r="FZ130" t="e">
        <f>IF(#REF!,"AAAAAH1rcbU=",0)</f>
        <v>#REF!</v>
      </c>
      <c r="GA130" t="e">
        <f>IF(#REF!,"AAAAAH1rcbY=",0)</f>
        <v>#REF!</v>
      </c>
      <c r="GB130" t="e">
        <f>IF(#REF!,"AAAAAH1rcbc=",0)</f>
        <v>#REF!</v>
      </c>
      <c r="GC130" t="e">
        <f>IF(#REF!,"AAAAAH1rcbg=",0)</f>
        <v>#REF!</v>
      </c>
      <c r="GD130" t="e">
        <f>IF(#REF!,"AAAAAH1rcbk=",0)</f>
        <v>#REF!</v>
      </c>
      <c r="GE130" t="e">
        <f>IF(#REF!,"AAAAAH1rcbo=",0)</f>
        <v>#REF!</v>
      </c>
      <c r="GF130" t="e">
        <f>IF(#REF!,"AAAAAH1rcbs=",0)</f>
        <v>#REF!</v>
      </c>
      <c r="GG130" t="e">
        <f>IF(#REF!,"AAAAAH1rcbw=",0)</f>
        <v>#REF!</v>
      </c>
      <c r="GH130" t="e">
        <f>IF(#REF!,"AAAAAH1rcb0=",0)</f>
        <v>#REF!</v>
      </c>
      <c r="GI130" t="e">
        <f>IF(#REF!,"AAAAAH1rcb4=",0)</f>
        <v>#REF!</v>
      </c>
      <c r="GJ130" t="e">
        <f>IF(#REF!,"AAAAAH1rcb8=",0)</f>
        <v>#REF!</v>
      </c>
      <c r="GK130" t="e">
        <f>IF(#REF!,"AAAAAH1rccA=",0)</f>
        <v>#REF!</v>
      </c>
      <c r="GL130" t="e">
        <f>IF(#REF!,"AAAAAH1rccE=",0)</f>
        <v>#REF!</v>
      </c>
      <c r="GM130" t="e">
        <f>IF(#REF!,"AAAAAH1rccI=",0)</f>
        <v>#REF!</v>
      </c>
      <c r="GN130" t="e">
        <f>IF(#REF!,"AAAAAH1rccM=",0)</f>
        <v>#REF!</v>
      </c>
      <c r="GO130" t="e">
        <f>IF(#REF!,"AAAAAH1rccQ=",0)</f>
        <v>#REF!</v>
      </c>
      <c r="GP130" t="e">
        <f>IF(#REF!,"AAAAAH1rccU=",0)</f>
        <v>#REF!</v>
      </c>
      <c r="GQ130" t="e">
        <f>IF(#REF!,"AAAAAH1rccY=",0)</f>
        <v>#REF!</v>
      </c>
      <c r="GR130" t="e">
        <f>IF(#REF!,"AAAAAH1rccc=",0)</f>
        <v>#REF!</v>
      </c>
      <c r="GS130" t="e">
        <f>IF(#REF!,"AAAAAH1rccg=",0)</f>
        <v>#REF!</v>
      </c>
      <c r="GT130" t="e">
        <f>IF(#REF!,"AAAAAH1rcck=",0)</f>
        <v>#REF!</v>
      </c>
      <c r="GU130" t="e">
        <f>IF(#REF!,"AAAAAH1rcco=",0)</f>
        <v>#REF!</v>
      </c>
      <c r="GV130" t="e">
        <f>IF(#REF!,"AAAAAH1rccs=",0)</f>
        <v>#REF!</v>
      </c>
      <c r="GW130" t="e">
        <f>IF(#REF!,"AAAAAH1rccw=",0)</f>
        <v>#REF!</v>
      </c>
      <c r="GX130" t="e">
        <f>IF(#REF!,"AAAAAH1rcc0=",0)</f>
        <v>#REF!</v>
      </c>
      <c r="GY130" t="e">
        <f>IF(#REF!,"AAAAAH1rcc4=",0)</f>
        <v>#REF!</v>
      </c>
      <c r="GZ130" t="e">
        <f>IF(#REF!,"AAAAAH1rcc8=",0)</f>
        <v>#REF!</v>
      </c>
      <c r="HA130" t="e">
        <f>IF(#REF!,"AAAAAH1rcdA=",0)</f>
        <v>#REF!</v>
      </c>
      <c r="HB130" t="e">
        <f>IF(#REF!,"AAAAAH1rcdE=",0)</f>
        <v>#REF!</v>
      </c>
      <c r="HC130" t="e">
        <f>IF(#REF!,"AAAAAH1rcdI=",0)</f>
        <v>#REF!</v>
      </c>
      <c r="HD130" t="e">
        <f>IF(#REF!,"AAAAAH1rcdM=",0)</f>
        <v>#REF!</v>
      </c>
      <c r="HE130" t="e">
        <f>IF(#REF!,"AAAAAH1rcdQ=",0)</f>
        <v>#REF!</v>
      </c>
      <c r="HF130" t="e">
        <f>AND(#REF!,"AAAAAH1rcdU=")</f>
        <v>#REF!</v>
      </c>
      <c r="HG130" t="e">
        <f>AND(#REF!,"AAAAAH1rcdY=")</f>
        <v>#REF!</v>
      </c>
      <c r="HH130" t="e">
        <f>AND(#REF!,"AAAAAH1rcdc=")</f>
        <v>#REF!</v>
      </c>
      <c r="HI130" t="e">
        <f>AND(#REF!,"AAAAAH1rcdg=")</f>
        <v>#REF!</v>
      </c>
      <c r="HJ130" t="e">
        <f>AND(#REF!,"AAAAAH1rcdk=")</f>
        <v>#REF!</v>
      </c>
      <c r="HK130" t="e">
        <f>AND(#REF!,"AAAAAH1rcdo=")</f>
        <v>#REF!</v>
      </c>
      <c r="HL130" t="e">
        <f>AND(#REF!,"AAAAAH1rcds=")</f>
        <v>#REF!</v>
      </c>
      <c r="HM130" t="e">
        <f>AND(#REF!,"AAAAAH1rcdw=")</f>
        <v>#REF!</v>
      </c>
      <c r="HN130" t="e">
        <f>AND(#REF!,"AAAAAH1rcd0=")</f>
        <v>#REF!</v>
      </c>
      <c r="HO130" t="e">
        <f>AND(#REF!,"AAAAAH1rcd4=")</f>
        <v>#REF!</v>
      </c>
      <c r="HP130" t="e">
        <f>AND(#REF!,"AAAAAH1rcd8=")</f>
        <v>#REF!</v>
      </c>
      <c r="HQ130" t="e">
        <f>AND(#REF!,"AAAAAH1rceA=")</f>
        <v>#REF!</v>
      </c>
      <c r="HR130" t="e">
        <f>AND(#REF!,"AAAAAH1rceE=")</f>
        <v>#REF!</v>
      </c>
      <c r="HS130" t="e">
        <f>AND(#REF!,"AAAAAH1rceI=")</f>
        <v>#REF!</v>
      </c>
      <c r="HT130" t="e">
        <f>AND(#REF!,"AAAAAH1rceM=")</f>
        <v>#REF!</v>
      </c>
      <c r="HU130" t="e">
        <f>AND(#REF!,"AAAAAH1rceQ=")</f>
        <v>#REF!</v>
      </c>
      <c r="HV130" t="e">
        <f>AND(#REF!,"AAAAAH1rceU=")</f>
        <v>#REF!</v>
      </c>
      <c r="HW130" t="e">
        <f>AND(#REF!,"AAAAAH1rceY=")</f>
        <v>#REF!</v>
      </c>
      <c r="HX130" t="e">
        <f>AND(#REF!,"AAAAAH1rcec=")</f>
        <v>#REF!</v>
      </c>
      <c r="HY130" t="e">
        <f>AND(#REF!,"AAAAAH1rceg=")</f>
        <v>#REF!</v>
      </c>
      <c r="HZ130" t="e">
        <f>AND(#REF!,"AAAAAH1rcek=")</f>
        <v>#REF!</v>
      </c>
      <c r="IA130" t="e">
        <f>AND(#REF!,"AAAAAH1rceo=")</f>
        <v>#REF!</v>
      </c>
      <c r="IB130" t="e">
        <f>AND(#REF!,"AAAAAH1rces=")</f>
        <v>#REF!</v>
      </c>
      <c r="IC130" t="e">
        <f>AND(#REF!,"AAAAAH1rcew=")</f>
        <v>#REF!</v>
      </c>
      <c r="ID130" t="e">
        <f>IF(#REF!,"AAAAAH1rce0=",0)</f>
        <v>#REF!</v>
      </c>
      <c r="IE130" t="e">
        <f>AND(#REF!,"AAAAAH1rce4=")</f>
        <v>#REF!</v>
      </c>
      <c r="IF130" t="e">
        <f>AND(#REF!,"AAAAAH1rce8=")</f>
        <v>#REF!</v>
      </c>
      <c r="IG130" t="e">
        <f>AND(#REF!,"AAAAAH1rcfA=")</f>
        <v>#REF!</v>
      </c>
      <c r="IH130" t="e">
        <f>AND(#REF!,"AAAAAH1rcfE=")</f>
        <v>#REF!</v>
      </c>
      <c r="II130" t="e">
        <f>AND(#REF!,"AAAAAH1rcfI=")</f>
        <v>#REF!</v>
      </c>
      <c r="IJ130" t="e">
        <f>AND(#REF!,"AAAAAH1rcfM=")</f>
        <v>#REF!</v>
      </c>
      <c r="IK130" t="e">
        <f>AND(#REF!,"AAAAAH1rcfQ=")</f>
        <v>#REF!</v>
      </c>
      <c r="IL130" t="e">
        <f>AND(#REF!,"AAAAAH1rcfU=")</f>
        <v>#REF!</v>
      </c>
      <c r="IM130" t="e">
        <f>AND(#REF!,"AAAAAH1rcfY=")</f>
        <v>#REF!</v>
      </c>
      <c r="IN130" t="e">
        <f>AND(#REF!,"AAAAAH1rcfc=")</f>
        <v>#REF!</v>
      </c>
      <c r="IO130" t="e">
        <f>AND(#REF!,"AAAAAH1rcfg=")</f>
        <v>#REF!</v>
      </c>
      <c r="IP130" t="e">
        <f>AND(#REF!,"AAAAAH1rcfk=")</f>
        <v>#REF!</v>
      </c>
      <c r="IQ130" t="e">
        <f>AND(#REF!,"AAAAAH1rcfo=")</f>
        <v>#REF!</v>
      </c>
      <c r="IR130" t="e">
        <f>AND(#REF!,"AAAAAH1rcfs=")</f>
        <v>#REF!</v>
      </c>
      <c r="IS130" t="e">
        <f>AND(#REF!,"AAAAAH1rcfw=")</f>
        <v>#REF!</v>
      </c>
      <c r="IT130" t="e">
        <f>AND(#REF!,"AAAAAH1rcf0=")</f>
        <v>#REF!</v>
      </c>
      <c r="IU130" t="e">
        <f>AND(#REF!,"AAAAAH1rcf4=")</f>
        <v>#REF!</v>
      </c>
      <c r="IV130" t="e">
        <f>AND(#REF!,"AAAAAH1rcf8=")</f>
        <v>#REF!</v>
      </c>
    </row>
    <row r="131" spans="1:256" x14ac:dyDescent="0.25">
      <c r="A131" t="e">
        <f>AND(#REF!,"AAAAAH/f/gA=")</f>
        <v>#REF!</v>
      </c>
      <c r="B131" t="e">
        <f>AND(#REF!,"AAAAAH/f/gE=")</f>
        <v>#REF!</v>
      </c>
      <c r="C131" t="e">
        <f>AND(#REF!,"AAAAAH/f/gI=")</f>
        <v>#REF!</v>
      </c>
      <c r="D131" t="e">
        <f>AND(#REF!,"AAAAAH/f/gM=")</f>
        <v>#REF!</v>
      </c>
      <c r="E131" t="e">
        <f>AND(#REF!,"AAAAAH/f/gQ=")</f>
        <v>#REF!</v>
      </c>
      <c r="F131" t="e">
        <f>AND(#REF!,"AAAAAH/f/gU=")</f>
        <v>#REF!</v>
      </c>
      <c r="G131" t="e">
        <f>IF(#REF!,"AAAAAH/f/gY=",0)</f>
        <v>#REF!</v>
      </c>
      <c r="H131" t="e">
        <f>AND(#REF!,"AAAAAH/f/gc=")</f>
        <v>#REF!</v>
      </c>
      <c r="I131" t="e">
        <f>AND(#REF!,"AAAAAH/f/gg=")</f>
        <v>#REF!</v>
      </c>
      <c r="J131" t="e">
        <f>AND(#REF!,"AAAAAH/f/gk=")</f>
        <v>#REF!</v>
      </c>
      <c r="K131" t="e">
        <f>AND(#REF!,"AAAAAH/f/go=")</f>
        <v>#REF!</v>
      </c>
      <c r="L131" t="e">
        <f>AND(#REF!,"AAAAAH/f/gs=")</f>
        <v>#REF!</v>
      </c>
      <c r="M131" t="e">
        <f>AND(#REF!,"AAAAAH/f/gw=")</f>
        <v>#REF!</v>
      </c>
      <c r="N131" t="e">
        <f>AND(#REF!,"AAAAAH/f/g0=")</f>
        <v>#REF!</v>
      </c>
      <c r="O131" t="e">
        <f>AND(#REF!,"AAAAAH/f/g4=")</f>
        <v>#REF!</v>
      </c>
      <c r="P131" t="e">
        <f>AND(#REF!,"AAAAAH/f/g8=")</f>
        <v>#REF!</v>
      </c>
      <c r="Q131" t="e">
        <f>AND(#REF!,"AAAAAH/f/hA=")</f>
        <v>#REF!</v>
      </c>
      <c r="R131" t="e">
        <f>AND(#REF!,"AAAAAH/f/hE=")</f>
        <v>#REF!</v>
      </c>
      <c r="S131" t="e">
        <f>AND(#REF!,"AAAAAH/f/hI=")</f>
        <v>#REF!</v>
      </c>
      <c r="T131" t="e">
        <f>AND(#REF!,"AAAAAH/f/hM=")</f>
        <v>#REF!</v>
      </c>
      <c r="U131" t="e">
        <f>AND(#REF!,"AAAAAH/f/hQ=")</f>
        <v>#REF!</v>
      </c>
      <c r="V131" t="e">
        <f>AND(#REF!,"AAAAAH/f/hU=")</f>
        <v>#REF!</v>
      </c>
      <c r="W131" t="e">
        <f>AND(#REF!,"AAAAAH/f/hY=")</f>
        <v>#REF!</v>
      </c>
      <c r="X131" t="e">
        <f>AND(#REF!,"AAAAAH/f/hc=")</f>
        <v>#REF!</v>
      </c>
      <c r="Y131" t="e">
        <f>AND(#REF!,"AAAAAH/f/hg=")</f>
        <v>#REF!</v>
      </c>
      <c r="Z131" t="e">
        <f>AND(#REF!,"AAAAAH/f/hk=")</f>
        <v>#REF!</v>
      </c>
      <c r="AA131" t="e">
        <f>AND(#REF!,"AAAAAH/f/ho=")</f>
        <v>#REF!</v>
      </c>
      <c r="AB131" t="e">
        <f>AND(#REF!,"AAAAAH/f/hs=")</f>
        <v>#REF!</v>
      </c>
      <c r="AC131" t="e">
        <f>AND(#REF!,"AAAAAH/f/hw=")</f>
        <v>#REF!</v>
      </c>
      <c r="AD131" t="e">
        <f>AND(#REF!,"AAAAAH/f/h0=")</f>
        <v>#REF!</v>
      </c>
      <c r="AE131" t="e">
        <f>AND(#REF!,"AAAAAH/f/h4=")</f>
        <v>#REF!</v>
      </c>
      <c r="AF131" t="e">
        <f>IF(#REF!,"AAAAAH/f/h8=",0)</f>
        <v>#REF!</v>
      </c>
      <c r="AG131" t="e">
        <f>AND(#REF!,"AAAAAH/f/iA=")</f>
        <v>#REF!</v>
      </c>
      <c r="AH131" t="e">
        <f>AND(#REF!,"AAAAAH/f/iE=")</f>
        <v>#REF!</v>
      </c>
      <c r="AI131" t="e">
        <f>AND(#REF!,"AAAAAH/f/iI=")</f>
        <v>#REF!</v>
      </c>
      <c r="AJ131" t="e">
        <f>AND(#REF!,"AAAAAH/f/iM=")</f>
        <v>#REF!</v>
      </c>
      <c r="AK131" t="e">
        <f>AND(#REF!,"AAAAAH/f/iQ=")</f>
        <v>#REF!</v>
      </c>
      <c r="AL131" t="e">
        <f>AND(#REF!,"AAAAAH/f/iU=")</f>
        <v>#REF!</v>
      </c>
      <c r="AM131" t="e">
        <f>AND(#REF!,"AAAAAH/f/iY=")</f>
        <v>#REF!</v>
      </c>
      <c r="AN131" t="e">
        <f>AND(#REF!,"AAAAAH/f/ic=")</f>
        <v>#REF!</v>
      </c>
      <c r="AO131" t="e">
        <f>AND(#REF!,"AAAAAH/f/ig=")</f>
        <v>#REF!</v>
      </c>
      <c r="AP131" t="e">
        <f>AND(#REF!,"AAAAAH/f/ik=")</f>
        <v>#REF!</v>
      </c>
      <c r="AQ131" t="e">
        <f>AND(#REF!,"AAAAAH/f/io=")</f>
        <v>#REF!</v>
      </c>
      <c r="AR131" t="e">
        <f>AND(#REF!,"AAAAAH/f/is=")</f>
        <v>#REF!</v>
      </c>
      <c r="AS131" t="e">
        <f>AND(#REF!,"AAAAAH/f/iw=")</f>
        <v>#REF!</v>
      </c>
      <c r="AT131" t="e">
        <f>AND(#REF!,"AAAAAH/f/i0=")</f>
        <v>#REF!</v>
      </c>
      <c r="AU131" t="e">
        <f>AND(#REF!,"AAAAAH/f/i4=")</f>
        <v>#REF!</v>
      </c>
      <c r="AV131" t="e">
        <f>AND(#REF!,"AAAAAH/f/i8=")</f>
        <v>#REF!</v>
      </c>
      <c r="AW131" t="e">
        <f>AND(#REF!,"AAAAAH/f/jA=")</f>
        <v>#REF!</v>
      </c>
      <c r="AX131" t="e">
        <f>AND(#REF!,"AAAAAH/f/jE=")</f>
        <v>#REF!</v>
      </c>
      <c r="AY131" t="e">
        <f>AND(#REF!,"AAAAAH/f/jI=")</f>
        <v>#REF!</v>
      </c>
      <c r="AZ131" t="e">
        <f>AND(#REF!,"AAAAAH/f/jM=")</f>
        <v>#REF!</v>
      </c>
      <c r="BA131" t="e">
        <f>AND(#REF!,"AAAAAH/f/jQ=")</f>
        <v>#REF!</v>
      </c>
      <c r="BB131" t="e">
        <f>AND(#REF!,"AAAAAH/f/jU=")</f>
        <v>#REF!</v>
      </c>
      <c r="BC131" t="e">
        <f>AND(#REF!,"AAAAAH/f/jY=")</f>
        <v>#REF!</v>
      </c>
      <c r="BD131" t="e">
        <f>AND(#REF!,"AAAAAH/f/jc=")</f>
        <v>#REF!</v>
      </c>
      <c r="BE131" t="e">
        <f>IF(#REF!,"AAAAAH/f/jg=",0)</f>
        <v>#REF!</v>
      </c>
      <c r="BF131" t="e">
        <f>AND(#REF!,"AAAAAH/f/jk=")</f>
        <v>#REF!</v>
      </c>
      <c r="BG131" t="e">
        <f>AND(#REF!,"AAAAAH/f/jo=")</f>
        <v>#REF!</v>
      </c>
      <c r="BH131" t="e">
        <f>AND(#REF!,"AAAAAH/f/js=")</f>
        <v>#REF!</v>
      </c>
      <c r="BI131" t="e">
        <f>AND(#REF!,"AAAAAH/f/jw=")</f>
        <v>#REF!</v>
      </c>
      <c r="BJ131" t="e">
        <f>AND(#REF!,"AAAAAH/f/j0=")</f>
        <v>#REF!</v>
      </c>
      <c r="BK131" t="e">
        <f>AND(#REF!,"AAAAAH/f/j4=")</f>
        <v>#REF!</v>
      </c>
      <c r="BL131" t="e">
        <f>AND(#REF!,"AAAAAH/f/j8=")</f>
        <v>#REF!</v>
      </c>
      <c r="BM131" t="e">
        <f>AND(#REF!,"AAAAAH/f/kA=")</f>
        <v>#REF!</v>
      </c>
      <c r="BN131" t="e">
        <f>AND(#REF!,"AAAAAH/f/kE=")</f>
        <v>#REF!</v>
      </c>
      <c r="BO131" t="e">
        <f>AND(#REF!,"AAAAAH/f/kI=")</f>
        <v>#REF!</v>
      </c>
      <c r="BP131" t="e">
        <f>AND(#REF!,"AAAAAH/f/kM=")</f>
        <v>#REF!</v>
      </c>
      <c r="BQ131" t="e">
        <f>AND(#REF!,"AAAAAH/f/kQ=")</f>
        <v>#REF!</v>
      </c>
      <c r="BR131" t="e">
        <f>AND(#REF!,"AAAAAH/f/kU=")</f>
        <v>#REF!</v>
      </c>
      <c r="BS131" t="e">
        <f>AND(#REF!,"AAAAAH/f/kY=")</f>
        <v>#REF!</v>
      </c>
      <c r="BT131" t="e">
        <f>AND(#REF!,"AAAAAH/f/kc=")</f>
        <v>#REF!</v>
      </c>
      <c r="BU131" t="e">
        <f>AND(#REF!,"AAAAAH/f/kg=")</f>
        <v>#REF!</v>
      </c>
      <c r="BV131" t="e">
        <f>AND(#REF!,"AAAAAH/f/kk=")</f>
        <v>#REF!</v>
      </c>
      <c r="BW131" t="e">
        <f>AND(#REF!,"AAAAAH/f/ko=")</f>
        <v>#REF!</v>
      </c>
      <c r="BX131" t="e">
        <f>AND(#REF!,"AAAAAH/f/ks=")</f>
        <v>#REF!</v>
      </c>
      <c r="BY131" t="e">
        <f>AND(#REF!,"AAAAAH/f/kw=")</f>
        <v>#REF!</v>
      </c>
      <c r="BZ131" t="e">
        <f>AND(#REF!,"AAAAAH/f/k0=")</f>
        <v>#REF!</v>
      </c>
      <c r="CA131" t="e">
        <f>AND(#REF!,"AAAAAH/f/k4=")</f>
        <v>#REF!</v>
      </c>
      <c r="CB131" t="e">
        <f>AND(#REF!,"AAAAAH/f/k8=")</f>
        <v>#REF!</v>
      </c>
      <c r="CC131" t="e">
        <f>AND(#REF!,"AAAAAH/f/lA=")</f>
        <v>#REF!</v>
      </c>
      <c r="CD131" t="e">
        <f>IF(#REF!,"AAAAAH/f/lE=",0)</f>
        <v>#REF!</v>
      </c>
      <c r="CE131" t="e">
        <f>AND(#REF!,"AAAAAH/f/lI=")</f>
        <v>#REF!</v>
      </c>
      <c r="CF131" t="e">
        <f>AND(#REF!,"AAAAAH/f/lM=")</f>
        <v>#REF!</v>
      </c>
      <c r="CG131" t="e">
        <f>AND(#REF!,"AAAAAH/f/lQ=")</f>
        <v>#REF!</v>
      </c>
      <c r="CH131" t="e">
        <f>AND(#REF!,"AAAAAH/f/lU=")</f>
        <v>#REF!</v>
      </c>
      <c r="CI131" t="e">
        <f>AND(#REF!,"AAAAAH/f/lY=")</f>
        <v>#REF!</v>
      </c>
      <c r="CJ131" t="e">
        <f>AND(#REF!,"AAAAAH/f/lc=")</f>
        <v>#REF!</v>
      </c>
      <c r="CK131" t="e">
        <f>AND(#REF!,"AAAAAH/f/lg=")</f>
        <v>#REF!</v>
      </c>
      <c r="CL131" t="e">
        <f>AND(#REF!,"AAAAAH/f/lk=")</f>
        <v>#REF!</v>
      </c>
      <c r="CM131" t="e">
        <f>AND(#REF!,"AAAAAH/f/lo=")</f>
        <v>#REF!</v>
      </c>
      <c r="CN131" t="e">
        <f>AND(#REF!,"AAAAAH/f/ls=")</f>
        <v>#REF!</v>
      </c>
      <c r="CO131" t="e">
        <f>AND(#REF!,"AAAAAH/f/lw=")</f>
        <v>#REF!</v>
      </c>
      <c r="CP131" t="e">
        <f>AND(#REF!,"AAAAAH/f/l0=")</f>
        <v>#REF!</v>
      </c>
      <c r="CQ131" t="e">
        <f>AND(#REF!,"AAAAAH/f/l4=")</f>
        <v>#REF!</v>
      </c>
      <c r="CR131" t="e">
        <f>AND(#REF!,"AAAAAH/f/l8=")</f>
        <v>#REF!</v>
      </c>
      <c r="CS131" t="e">
        <f>AND(#REF!,"AAAAAH/f/mA=")</f>
        <v>#REF!</v>
      </c>
      <c r="CT131" t="e">
        <f>AND(#REF!,"AAAAAH/f/mE=")</f>
        <v>#REF!</v>
      </c>
      <c r="CU131" t="e">
        <f>AND(#REF!,"AAAAAH/f/mI=")</f>
        <v>#REF!</v>
      </c>
      <c r="CV131" t="e">
        <f>AND(#REF!,"AAAAAH/f/mM=")</f>
        <v>#REF!</v>
      </c>
      <c r="CW131" t="e">
        <f>AND(#REF!,"AAAAAH/f/mQ=")</f>
        <v>#REF!</v>
      </c>
      <c r="CX131" t="e">
        <f>AND(#REF!,"AAAAAH/f/mU=")</f>
        <v>#REF!</v>
      </c>
      <c r="CY131" t="e">
        <f>AND(#REF!,"AAAAAH/f/mY=")</f>
        <v>#REF!</v>
      </c>
      <c r="CZ131" t="e">
        <f>AND(#REF!,"AAAAAH/f/mc=")</f>
        <v>#REF!</v>
      </c>
      <c r="DA131" t="e">
        <f>AND(#REF!,"AAAAAH/f/mg=")</f>
        <v>#REF!</v>
      </c>
      <c r="DB131" t="e">
        <f>AND(#REF!,"AAAAAH/f/mk=")</f>
        <v>#REF!</v>
      </c>
      <c r="DC131" t="e">
        <f>IF(#REF!,"AAAAAH/f/mo=",0)</f>
        <v>#REF!</v>
      </c>
      <c r="DD131" t="e">
        <f>AND(#REF!,"AAAAAH/f/ms=")</f>
        <v>#REF!</v>
      </c>
      <c r="DE131" t="e">
        <f>AND(#REF!,"AAAAAH/f/mw=")</f>
        <v>#REF!</v>
      </c>
      <c r="DF131" t="e">
        <f>AND(#REF!,"AAAAAH/f/m0=")</f>
        <v>#REF!</v>
      </c>
      <c r="DG131" t="e">
        <f>AND(#REF!,"AAAAAH/f/m4=")</f>
        <v>#REF!</v>
      </c>
      <c r="DH131" t="e">
        <f>AND(#REF!,"AAAAAH/f/m8=")</f>
        <v>#REF!</v>
      </c>
      <c r="DI131" t="e">
        <f>AND(#REF!,"AAAAAH/f/nA=")</f>
        <v>#REF!</v>
      </c>
      <c r="DJ131" t="e">
        <f>AND(#REF!,"AAAAAH/f/nE=")</f>
        <v>#REF!</v>
      </c>
      <c r="DK131" t="e">
        <f>AND(#REF!,"AAAAAH/f/nI=")</f>
        <v>#REF!</v>
      </c>
      <c r="DL131" t="e">
        <f>AND(#REF!,"AAAAAH/f/nM=")</f>
        <v>#REF!</v>
      </c>
      <c r="DM131" t="e">
        <f>AND(#REF!,"AAAAAH/f/nQ=")</f>
        <v>#REF!</v>
      </c>
      <c r="DN131" t="e">
        <f>AND(#REF!,"AAAAAH/f/nU=")</f>
        <v>#REF!</v>
      </c>
      <c r="DO131" t="e">
        <f>AND(#REF!,"AAAAAH/f/nY=")</f>
        <v>#REF!</v>
      </c>
      <c r="DP131" t="e">
        <f>AND(#REF!,"AAAAAH/f/nc=")</f>
        <v>#REF!</v>
      </c>
      <c r="DQ131" t="e">
        <f>AND(#REF!,"AAAAAH/f/ng=")</f>
        <v>#REF!</v>
      </c>
      <c r="DR131" t="e">
        <f>AND(#REF!,"AAAAAH/f/nk=")</f>
        <v>#REF!</v>
      </c>
      <c r="DS131" t="e">
        <f>AND(#REF!,"AAAAAH/f/no=")</f>
        <v>#REF!</v>
      </c>
      <c r="DT131" t="e">
        <f>AND(#REF!,"AAAAAH/f/ns=")</f>
        <v>#REF!</v>
      </c>
      <c r="DU131" t="e">
        <f>AND(#REF!,"AAAAAH/f/nw=")</f>
        <v>#REF!</v>
      </c>
      <c r="DV131" t="e">
        <f>AND(#REF!,"AAAAAH/f/n0=")</f>
        <v>#REF!</v>
      </c>
      <c r="DW131" t="e">
        <f>AND(#REF!,"AAAAAH/f/n4=")</f>
        <v>#REF!</v>
      </c>
      <c r="DX131" t="e">
        <f>AND(#REF!,"AAAAAH/f/n8=")</f>
        <v>#REF!</v>
      </c>
      <c r="DY131" t="e">
        <f>AND(#REF!,"AAAAAH/f/oA=")</f>
        <v>#REF!</v>
      </c>
      <c r="DZ131" t="e">
        <f>AND(#REF!,"AAAAAH/f/oE=")</f>
        <v>#REF!</v>
      </c>
      <c r="EA131" t="e">
        <f>AND(#REF!,"AAAAAH/f/oI=")</f>
        <v>#REF!</v>
      </c>
      <c r="EB131" t="e">
        <f>IF(#REF!,"AAAAAH/f/oM=",0)</f>
        <v>#REF!</v>
      </c>
      <c r="EC131" t="e">
        <f>AND(#REF!,"AAAAAH/f/oQ=")</f>
        <v>#REF!</v>
      </c>
      <c r="ED131" t="e">
        <f>AND(#REF!,"AAAAAH/f/oU=")</f>
        <v>#REF!</v>
      </c>
      <c r="EE131" t="e">
        <f>AND(#REF!,"AAAAAH/f/oY=")</f>
        <v>#REF!</v>
      </c>
      <c r="EF131" t="e">
        <f>AND(#REF!,"AAAAAH/f/oc=")</f>
        <v>#REF!</v>
      </c>
      <c r="EG131" t="e">
        <f>AND(#REF!,"AAAAAH/f/og=")</f>
        <v>#REF!</v>
      </c>
      <c r="EH131" t="e">
        <f>AND(#REF!,"AAAAAH/f/ok=")</f>
        <v>#REF!</v>
      </c>
      <c r="EI131" t="e">
        <f>AND(#REF!,"AAAAAH/f/oo=")</f>
        <v>#REF!</v>
      </c>
      <c r="EJ131" t="e">
        <f>AND(#REF!,"AAAAAH/f/os=")</f>
        <v>#REF!</v>
      </c>
      <c r="EK131" t="e">
        <f>AND(#REF!,"AAAAAH/f/ow=")</f>
        <v>#REF!</v>
      </c>
      <c r="EL131" t="e">
        <f>AND(#REF!,"AAAAAH/f/o0=")</f>
        <v>#REF!</v>
      </c>
      <c r="EM131" t="e">
        <f>AND(#REF!,"AAAAAH/f/o4=")</f>
        <v>#REF!</v>
      </c>
      <c r="EN131" t="e">
        <f>AND(#REF!,"AAAAAH/f/o8=")</f>
        <v>#REF!</v>
      </c>
      <c r="EO131" t="e">
        <f>AND(#REF!,"AAAAAH/f/pA=")</f>
        <v>#REF!</v>
      </c>
      <c r="EP131" t="e">
        <f>AND(#REF!,"AAAAAH/f/pE=")</f>
        <v>#REF!</v>
      </c>
      <c r="EQ131" t="e">
        <f>AND(#REF!,"AAAAAH/f/pI=")</f>
        <v>#REF!</v>
      </c>
      <c r="ER131" t="e">
        <f>AND(#REF!,"AAAAAH/f/pM=")</f>
        <v>#REF!</v>
      </c>
      <c r="ES131" t="e">
        <f>AND(#REF!,"AAAAAH/f/pQ=")</f>
        <v>#REF!</v>
      </c>
      <c r="ET131" t="e">
        <f>AND(#REF!,"AAAAAH/f/pU=")</f>
        <v>#REF!</v>
      </c>
      <c r="EU131" t="e">
        <f>AND(#REF!,"AAAAAH/f/pY=")</f>
        <v>#REF!</v>
      </c>
      <c r="EV131" t="e">
        <f>AND(#REF!,"AAAAAH/f/pc=")</f>
        <v>#REF!</v>
      </c>
      <c r="EW131" t="e">
        <f>AND(#REF!,"AAAAAH/f/pg=")</f>
        <v>#REF!</v>
      </c>
      <c r="EX131" t="e">
        <f>AND(#REF!,"AAAAAH/f/pk=")</f>
        <v>#REF!</v>
      </c>
      <c r="EY131" t="e">
        <f>AND(#REF!,"AAAAAH/f/po=")</f>
        <v>#REF!</v>
      </c>
      <c r="EZ131" t="e">
        <f>AND(#REF!,"AAAAAH/f/ps=")</f>
        <v>#REF!</v>
      </c>
      <c r="FA131" t="e">
        <f>IF(#REF!,"AAAAAH/f/pw=",0)</f>
        <v>#REF!</v>
      </c>
      <c r="FB131" t="e">
        <f>AND(#REF!,"AAAAAH/f/p0=")</f>
        <v>#REF!</v>
      </c>
      <c r="FC131" t="e">
        <f>AND(#REF!,"AAAAAH/f/p4=")</f>
        <v>#REF!</v>
      </c>
      <c r="FD131" t="e">
        <f>AND(#REF!,"AAAAAH/f/p8=")</f>
        <v>#REF!</v>
      </c>
      <c r="FE131" t="e">
        <f>AND(#REF!,"AAAAAH/f/qA=")</f>
        <v>#REF!</v>
      </c>
      <c r="FF131" t="e">
        <f>AND(#REF!,"AAAAAH/f/qE=")</f>
        <v>#REF!</v>
      </c>
      <c r="FG131" t="e">
        <f>AND(#REF!,"AAAAAH/f/qI=")</f>
        <v>#REF!</v>
      </c>
      <c r="FH131" t="e">
        <f>AND(#REF!,"AAAAAH/f/qM=")</f>
        <v>#REF!</v>
      </c>
      <c r="FI131" t="e">
        <f>AND(#REF!,"AAAAAH/f/qQ=")</f>
        <v>#REF!</v>
      </c>
      <c r="FJ131" t="e">
        <f>AND(#REF!,"AAAAAH/f/qU=")</f>
        <v>#REF!</v>
      </c>
      <c r="FK131" t="e">
        <f>AND(#REF!,"AAAAAH/f/qY=")</f>
        <v>#REF!</v>
      </c>
      <c r="FL131" t="e">
        <f>AND(#REF!,"AAAAAH/f/qc=")</f>
        <v>#REF!</v>
      </c>
      <c r="FM131" t="e">
        <f>AND(#REF!,"AAAAAH/f/qg=")</f>
        <v>#REF!</v>
      </c>
      <c r="FN131" t="e">
        <f>AND(#REF!,"AAAAAH/f/qk=")</f>
        <v>#REF!</v>
      </c>
      <c r="FO131" t="e">
        <f>AND(#REF!,"AAAAAH/f/qo=")</f>
        <v>#REF!</v>
      </c>
      <c r="FP131" t="e">
        <f>AND(#REF!,"AAAAAH/f/qs=")</f>
        <v>#REF!</v>
      </c>
      <c r="FQ131" t="e">
        <f>AND(#REF!,"AAAAAH/f/qw=")</f>
        <v>#REF!</v>
      </c>
      <c r="FR131" t="e">
        <f>AND(#REF!,"AAAAAH/f/q0=")</f>
        <v>#REF!</v>
      </c>
      <c r="FS131" t="e">
        <f>AND(#REF!,"AAAAAH/f/q4=")</f>
        <v>#REF!</v>
      </c>
      <c r="FT131" t="e">
        <f>AND(#REF!,"AAAAAH/f/q8=")</f>
        <v>#REF!</v>
      </c>
      <c r="FU131" t="e">
        <f>AND(#REF!,"AAAAAH/f/rA=")</f>
        <v>#REF!</v>
      </c>
      <c r="FV131" t="e">
        <f>AND(#REF!,"AAAAAH/f/rE=")</f>
        <v>#REF!</v>
      </c>
      <c r="FW131" t="e">
        <f>AND(#REF!,"AAAAAH/f/rI=")</f>
        <v>#REF!</v>
      </c>
      <c r="FX131" t="e">
        <f>AND(#REF!,"AAAAAH/f/rM=")</f>
        <v>#REF!</v>
      </c>
      <c r="FY131" t="e">
        <f>AND(#REF!,"AAAAAH/f/rQ=")</f>
        <v>#REF!</v>
      </c>
      <c r="FZ131" t="e">
        <f>IF(#REF!,"AAAAAH/f/rU=",0)</f>
        <v>#REF!</v>
      </c>
      <c r="GA131" t="e">
        <f>IF(#REF!,"AAAAAH/f/rY=",0)</f>
        <v>#REF!</v>
      </c>
      <c r="GB131" t="e">
        <f>IF(#REF!,"AAAAAH/f/rc=",0)</f>
        <v>#REF!</v>
      </c>
      <c r="GC131" t="e">
        <f>IF(#REF!,"AAAAAH/f/rg=",0)</f>
        <v>#REF!</v>
      </c>
      <c r="GD131" t="e">
        <f>IF(#REF!,"AAAAAH/f/rk=",0)</f>
        <v>#REF!</v>
      </c>
      <c r="GE131" t="e">
        <f>IF(#REF!,"AAAAAH/f/ro=",0)</f>
        <v>#REF!</v>
      </c>
      <c r="GF131" t="e">
        <f>IF(#REF!,"AAAAAH/f/rs=",0)</f>
        <v>#REF!</v>
      </c>
      <c r="GG131" t="e">
        <f>IF(#REF!,"AAAAAH/f/rw=",0)</f>
        <v>#REF!</v>
      </c>
      <c r="GH131" t="e">
        <f>IF(#REF!,"AAAAAH/f/r0=",0)</f>
        <v>#REF!</v>
      </c>
      <c r="GI131" t="e">
        <f>IF(#REF!,"AAAAAH/f/r4=",0)</f>
        <v>#REF!</v>
      </c>
      <c r="GJ131" t="e">
        <f>IF(#REF!,"AAAAAH/f/r8=",0)</f>
        <v>#REF!</v>
      </c>
      <c r="GK131" t="e">
        <f>IF(#REF!,"AAAAAH/f/sA=",0)</f>
        <v>#REF!</v>
      </c>
      <c r="GL131" t="e">
        <f>IF(#REF!,"AAAAAH/f/sE=",0)</f>
        <v>#REF!</v>
      </c>
      <c r="GM131" t="e">
        <f>IF(#REF!,"AAAAAH/f/sI=",0)</f>
        <v>#REF!</v>
      </c>
      <c r="GN131" t="e">
        <f>IF(#REF!,"AAAAAH/f/sM=",0)</f>
        <v>#REF!</v>
      </c>
      <c r="GO131" t="e">
        <f>IF(#REF!,"AAAAAH/f/sQ=",0)</f>
        <v>#REF!</v>
      </c>
      <c r="GP131" t="e">
        <f>IF(#REF!,"AAAAAH/f/sU=",0)</f>
        <v>#REF!</v>
      </c>
      <c r="GQ131" t="e">
        <f>IF(#REF!,"AAAAAH/f/sY=",0)</f>
        <v>#REF!</v>
      </c>
      <c r="GR131" t="e">
        <f>IF(#REF!,"AAAAAH/f/sc=",0)</f>
        <v>#REF!</v>
      </c>
      <c r="GS131" t="e">
        <f>IF(#REF!,"AAAAAH/f/sg=",0)</f>
        <v>#REF!</v>
      </c>
      <c r="GT131" t="e">
        <f>IF(#REF!,"AAAAAH/f/sk=",0)</f>
        <v>#REF!</v>
      </c>
      <c r="GU131" t="e">
        <f>IF(#REF!,"AAAAAH/f/so=",0)</f>
        <v>#REF!</v>
      </c>
      <c r="GV131" t="e">
        <f>IF(#REF!,"AAAAAH/f/ss=",0)</f>
        <v>#REF!</v>
      </c>
      <c r="GW131" t="e">
        <f>IF(#REF!,"AAAAAH/f/sw=",0)</f>
        <v>#REF!</v>
      </c>
      <c r="GX131" t="e">
        <f>IF(#REF!,"AAAAAH/f/s0=",0)</f>
        <v>#REF!</v>
      </c>
      <c r="GY131" t="e">
        <f>IF(#REF!,"AAAAAH/f/s4=",0)</f>
        <v>#REF!</v>
      </c>
      <c r="GZ131" t="e">
        <f>IF(#REF!,"AAAAAH/f/s8=",0)</f>
        <v>#REF!</v>
      </c>
      <c r="HA131" t="e">
        <f>IF(#REF!,"AAAAAH/f/tA=",0)</f>
        <v>#REF!</v>
      </c>
      <c r="HB131" t="e">
        <f>IF(#REF!,"AAAAAH/f/tE=",0)</f>
        <v>#REF!</v>
      </c>
      <c r="HC131" t="e">
        <f>IF(#REF!,"AAAAAH/f/tI=",0)</f>
        <v>#REF!</v>
      </c>
      <c r="HD131" t="e">
        <f>IF(#REF!,"AAAAAH/f/tM=",0)</f>
        <v>#REF!</v>
      </c>
      <c r="HE131" t="e">
        <f>IF(#REF!,"AAAAAH/f/tQ=",0)</f>
        <v>#REF!</v>
      </c>
      <c r="HF131" t="e">
        <f>IF(#REF!,"AAAAAH/f/tU=",0)</f>
        <v>#REF!</v>
      </c>
      <c r="HG131" t="e">
        <f>IF(#REF!,"AAAAAH/f/tY=",0)</f>
        <v>#REF!</v>
      </c>
      <c r="HH131" t="e">
        <f>IF(#REF!,"AAAAAH/f/tc=",0)</f>
        <v>#REF!</v>
      </c>
      <c r="HI131" t="e">
        <f>IF(#REF!,"AAAAAH/f/tg=",0)</f>
        <v>#REF!</v>
      </c>
      <c r="HJ131" t="e">
        <f>IF(#REF!,"AAAAAH/f/tk=",0)</f>
        <v>#REF!</v>
      </c>
      <c r="HK131" t="e">
        <f>IF(#REF!,"AAAAAH/f/to=",0)</f>
        <v>#REF!</v>
      </c>
      <c r="HL131" t="e">
        <f>IF(#REF!,"AAAAAH/f/ts=",0)</f>
        <v>#REF!</v>
      </c>
      <c r="HM131" t="e">
        <f>IF(#REF!,"AAAAAH/f/tw=",0)</f>
        <v>#REF!</v>
      </c>
      <c r="HN131" t="e">
        <f>IF(#REF!,"AAAAAH/f/t0=",0)</f>
        <v>#REF!</v>
      </c>
      <c r="HO131" t="e">
        <f>IF(#REF!,"AAAAAH/f/t4=",0)</f>
        <v>#REF!</v>
      </c>
      <c r="HP131" t="e">
        <f>IF(#REF!,"AAAAAH/f/t8=",0)</f>
        <v>#REF!</v>
      </c>
      <c r="HQ131" t="e">
        <f>IF(#REF!,"AAAAAH/f/uA=",0)</f>
        <v>#REF!</v>
      </c>
      <c r="HR131" t="e">
        <f>IF(#REF!,"AAAAAH/f/uE=",0)</f>
        <v>#REF!</v>
      </c>
      <c r="HS131" t="e">
        <f>IF(#REF!,"AAAAAH/f/uI=",0)</f>
        <v>#REF!</v>
      </c>
      <c r="HT131" t="e">
        <f>IF(#REF!,"AAAAAH/f/uM=",0)</f>
        <v>#REF!</v>
      </c>
      <c r="HU131" t="e">
        <f>IF(#REF!,"AAAAAH/f/uQ=",0)</f>
        <v>#REF!</v>
      </c>
      <c r="HV131" t="e">
        <f>IF(#REF!,"AAAAAH/f/uU=",0)</f>
        <v>#REF!</v>
      </c>
      <c r="HW131" t="e">
        <f>AND(#REF!,"AAAAAH/f/uY=")</f>
        <v>#REF!</v>
      </c>
      <c r="HX131" t="e">
        <f>AND(#REF!,"AAAAAH/f/uc=")</f>
        <v>#REF!</v>
      </c>
      <c r="HY131" t="e">
        <f>AND(#REF!,"AAAAAH/f/ug=")</f>
        <v>#REF!</v>
      </c>
      <c r="HZ131" t="e">
        <f>AND(#REF!,"AAAAAH/f/uk=")</f>
        <v>#REF!</v>
      </c>
      <c r="IA131" t="e">
        <f>AND(#REF!,"AAAAAH/f/uo=")</f>
        <v>#REF!</v>
      </c>
      <c r="IB131" t="e">
        <f>AND(#REF!,"AAAAAH/f/us=")</f>
        <v>#REF!</v>
      </c>
      <c r="IC131" t="e">
        <f>AND(#REF!,"AAAAAH/f/uw=")</f>
        <v>#REF!</v>
      </c>
      <c r="ID131" t="e">
        <f>AND(#REF!,"AAAAAH/f/u0=")</f>
        <v>#REF!</v>
      </c>
      <c r="IE131" t="e">
        <f>AND(#REF!,"AAAAAH/f/u4=")</f>
        <v>#REF!</v>
      </c>
      <c r="IF131" t="e">
        <f>AND(#REF!,"AAAAAH/f/u8=")</f>
        <v>#REF!</v>
      </c>
      <c r="IG131" t="e">
        <f>AND(#REF!,"AAAAAH/f/vA=")</f>
        <v>#REF!</v>
      </c>
      <c r="IH131" t="e">
        <f>AND(#REF!,"AAAAAH/f/vE=")</f>
        <v>#REF!</v>
      </c>
      <c r="II131" t="e">
        <f>AND(#REF!,"AAAAAH/f/vI=")</f>
        <v>#REF!</v>
      </c>
      <c r="IJ131" t="e">
        <f>AND(#REF!,"AAAAAH/f/vM=")</f>
        <v>#REF!</v>
      </c>
      <c r="IK131" t="e">
        <f>AND(#REF!,"AAAAAH/f/vQ=")</f>
        <v>#REF!</v>
      </c>
      <c r="IL131" t="e">
        <f>AND(#REF!,"AAAAAH/f/vU=")</f>
        <v>#REF!</v>
      </c>
      <c r="IM131" t="e">
        <f>AND(#REF!,"AAAAAH/f/vY=")</f>
        <v>#REF!</v>
      </c>
      <c r="IN131" t="e">
        <f>AND(#REF!,"AAAAAH/f/vc=")</f>
        <v>#REF!</v>
      </c>
      <c r="IO131" t="e">
        <f>AND(#REF!,"AAAAAH/f/vg=")</f>
        <v>#REF!</v>
      </c>
      <c r="IP131" t="e">
        <f>AND(#REF!,"AAAAAH/f/vk=")</f>
        <v>#REF!</v>
      </c>
      <c r="IQ131" t="e">
        <f>AND(#REF!,"AAAAAH/f/vo=")</f>
        <v>#REF!</v>
      </c>
      <c r="IR131" t="e">
        <f>AND(#REF!,"AAAAAH/f/vs=")</f>
        <v>#REF!</v>
      </c>
      <c r="IS131" t="e">
        <f>AND(#REF!,"AAAAAH/f/vw=")</f>
        <v>#REF!</v>
      </c>
      <c r="IT131" t="e">
        <f>AND(#REF!,"AAAAAH/f/v0=")</f>
        <v>#REF!</v>
      </c>
      <c r="IU131" t="e">
        <f>IF(#REF!,"AAAAAH/f/v4=",0)</f>
        <v>#REF!</v>
      </c>
      <c r="IV131" t="e">
        <f>AND(#REF!,"AAAAAH/f/v8=")</f>
        <v>#REF!</v>
      </c>
    </row>
    <row r="132" spans="1:256" x14ac:dyDescent="0.25">
      <c r="A132" t="e">
        <f>AND(#REF!,"AAAAAH3H+wA=")</f>
        <v>#REF!</v>
      </c>
      <c r="B132" t="e">
        <f>AND(#REF!,"AAAAAH3H+wE=")</f>
        <v>#REF!</v>
      </c>
      <c r="C132" t="e">
        <f>AND(#REF!,"AAAAAH3H+wI=")</f>
        <v>#REF!</v>
      </c>
      <c r="D132" t="e">
        <f>AND(#REF!,"AAAAAH3H+wM=")</f>
        <v>#REF!</v>
      </c>
      <c r="E132" t="e">
        <f>AND(#REF!,"AAAAAH3H+wQ=")</f>
        <v>#REF!</v>
      </c>
      <c r="F132" t="e">
        <f>AND(#REF!,"AAAAAH3H+wU=")</f>
        <v>#REF!</v>
      </c>
      <c r="G132" t="e">
        <f>AND(#REF!,"AAAAAH3H+wY=")</f>
        <v>#REF!</v>
      </c>
      <c r="H132" t="e">
        <f>AND(#REF!,"AAAAAH3H+wc=")</f>
        <v>#REF!</v>
      </c>
      <c r="I132" t="e">
        <f>AND(#REF!,"AAAAAH3H+wg=")</f>
        <v>#REF!</v>
      </c>
      <c r="J132" t="e">
        <f>AND(#REF!,"AAAAAH3H+wk=")</f>
        <v>#REF!</v>
      </c>
      <c r="K132" t="e">
        <f>AND(#REF!,"AAAAAH3H+wo=")</f>
        <v>#REF!</v>
      </c>
      <c r="L132" t="e">
        <f>AND(#REF!,"AAAAAH3H+ws=")</f>
        <v>#REF!</v>
      </c>
      <c r="M132" t="e">
        <f>AND(#REF!,"AAAAAH3H+ww=")</f>
        <v>#REF!</v>
      </c>
      <c r="N132" t="e">
        <f>AND(#REF!,"AAAAAH3H+w0=")</f>
        <v>#REF!</v>
      </c>
      <c r="O132" t="e">
        <f>AND(#REF!,"AAAAAH3H+w4=")</f>
        <v>#REF!</v>
      </c>
      <c r="P132" t="e">
        <f>AND(#REF!,"AAAAAH3H+w8=")</f>
        <v>#REF!</v>
      </c>
      <c r="Q132" t="e">
        <f>AND(#REF!,"AAAAAH3H+xA=")</f>
        <v>#REF!</v>
      </c>
      <c r="R132" t="e">
        <f>AND(#REF!,"AAAAAH3H+xE=")</f>
        <v>#REF!</v>
      </c>
      <c r="S132" t="e">
        <f>AND(#REF!,"AAAAAH3H+xI=")</f>
        <v>#REF!</v>
      </c>
      <c r="T132" t="e">
        <f>AND(#REF!,"AAAAAH3H+xM=")</f>
        <v>#REF!</v>
      </c>
      <c r="U132" t="e">
        <f>AND(#REF!,"AAAAAH3H+xQ=")</f>
        <v>#REF!</v>
      </c>
      <c r="V132" t="e">
        <f>AND(#REF!,"AAAAAH3H+xU=")</f>
        <v>#REF!</v>
      </c>
      <c r="W132" t="e">
        <f>AND(#REF!,"AAAAAH3H+xY=")</f>
        <v>#REF!</v>
      </c>
      <c r="X132" t="e">
        <f>IF(#REF!,"AAAAAH3H+xc=",0)</f>
        <v>#REF!</v>
      </c>
      <c r="Y132" t="e">
        <f>AND(#REF!,"AAAAAH3H+xg=")</f>
        <v>#REF!</v>
      </c>
      <c r="Z132" t="e">
        <f>AND(#REF!,"AAAAAH3H+xk=")</f>
        <v>#REF!</v>
      </c>
      <c r="AA132" t="e">
        <f>AND(#REF!,"AAAAAH3H+xo=")</f>
        <v>#REF!</v>
      </c>
      <c r="AB132" t="e">
        <f>AND(#REF!,"AAAAAH3H+xs=")</f>
        <v>#REF!</v>
      </c>
      <c r="AC132" t="e">
        <f>AND(#REF!,"AAAAAH3H+xw=")</f>
        <v>#REF!</v>
      </c>
      <c r="AD132" t="e">
        <f>AND(#REF!,"AAAAAH3H+x0=")</f>
        <v>#REF!</v>
      </c>
      <c r="AE132" t="e">
        <f>AND(#REF!,"AAAAAH3H+x4=")</f>
        <v>#REF!</v>
      </c>
      <c r="AF132" t="e">
        <f>AND(#REF!,"AAAAAH3H+x8=")</f>
        <v>#REF!</v>
      </c>
      <c r="AG132" t="e">
        <f>AND(#REF!,"AAAAAH3H+yA=")</f>
        <v>#REF!</v>
      </c>
      <c r="AH132" t="e">
        <f>AND(#REF!,"AAAAAH3H+yE=")</f>
        <v>#REF!</v>
      </c>
      <c r="AI132" t="e">
        <f>AND(#REF!,"AAAAAH3H+yI=")</f>
        <v>#REF!</v>
      </c>
      <c r="AJ132" t="e">
        <f>AND(#REF!,"AAAAAH3H+yM=")</f>
        <v>#REF!</v>
      </c>
      <c r="AK132" t="e">
        <f>AND(#REF!,"AAAAAH3H+yQ=")</f>
        <v>#REF!</v>
      </c>
      <c r="AL132" t="e">
        <f>AND(#REF!,"AAAAAH3H+yU=")</f>
        <v>#REF!</v>
      </c>
      <c r="AM132" t="e">
        <f>AND(#REF!,"AAAAAH3H+yY=")</f>
        <v>#REF!</v>
      </c>
      <c r="AN132" t="e">
        <f>AND(#REF!,"AAAAAH3H+yc=")</f>
        <v>#REF!</v>
      </c>
      <c r="AO132" t="e">
        <f>AND(#REF!,"AAAAAH3H+yg=")</f>
        <v>#REF!</v>
      </c>
      <c r="AP132" t="e">
        <f>AND(#REF!,"AAAAAH3H+yk=")</f>
        <v>#REF!</v>
      </c>
      <c r="AQ132" t="e">
        <f>AND(#REF!,"AAAAAH3H+yo=")</f>
        <v>#REF!</v>
      </c>
      <c r="AR132" t="e">
        <f>AND(#REF!,"AAAAAH3H+ys=")</f>
        <v>#REF!</v>
      </c>
      <c r="AS132" t="e">
        <f>AND(#REF!,"AAAAAH3H+yw=")</f>
        <v>#REF!</v>
      </c>
      <c r="AT132" t="e">
        <f>AND(#REF!,"AAAAAH3H+y0=")</f>
        <v>#REF!</v>
      </c>
      <c r="AU132" t="e">
        <f>AND(#REF!,"AAAAAH3H+y4=")</f>
        <v>#REF!</v>
      </c>
      <c r="AV132" t="e">
        <f>AND(#REF!,"AAAAAH3H+y8=")</f>
        <v>#REF!</v>
      </c>
      <c r="AW132" t="e">
        <f>IF(#REF!,"AAAAAH3H+zA=",0)</f>
        <v>#REF!</v>
      </c>
      <c r="AX132" t="e">
        <f>AND(#REF!,"AAAAAH3H+zE=")</f>
        <v>#REF!</v>
      </c>
      <c r="AY132" t="e">
        <f>AND(#REF!,"AAAAAH3H+zI=")</f>
        <v>#REF!</v>
      </c>
      <c r="AZ132" t="e">
        <f>AND(#REF!,"AAAAAH3H+zM=")</f>
        <v>#REF!</v>
      </c>
      <c r="BA132" t="e">
        <f>AND(#REF!,"AAAAAH3H+zQ=")</f>
        <v>#REF!</v>
      </c>
      <c r="BB132" t="e">
        <f>AND(#REF!,"AAAAAH3H+zU=")</f>
        <v>#REF!</v>
      </c>
      <c r="BC132" t="e">
        <f>AND(#REF!,"AAAAAH3H+zY=")</f>
        <v>#REF!</v>
      </c>
      <c r="BD132" t="e">
        <f>AND(#REF!,"AAAAAH3H+zc=")</f>
        <v>#REF!</v>
      </c>
      <c r="BE132" t="e">
        <f>AND(#REF!,"AAAAAH3H+zg=")</f>
        <v>#REF!</v>
      </c>
      <c r="BF132" t="e">
        <f>AND(#REF!,"AAAAAH3H+zk=")</f>
        <v>#REF!</v>
      </c>
      <c r="BG132" t="e">
        <f>AND(#REF!,"AAAAAH3H+zo=")</f>
        <v>#REF!</v>
      </c>
      <c r="BH132" t="e">
        <f>AND(#REF!,"AAAAAH3H+zs=")</f>
        <v>#REF!</v>
      </c>
      <c r="BI132" t="e">
        <f>AND(#REF!,"AAAAAH3H+zw=")</f>
        <v>#REF!</v>
      </c>
      <c r="BJ132" t="e">
        <f>AND(#REF!,"AAAAAH3H+z0=")</f>
        <v>#REF!</v>
      </c>
      <c r="BK132" t="e">
        <f>AND(#REF!,"AAAAAH3H+z4=")</f>
        <v>#REF!</v>
      </c>
      <c r="BL132" t="e">
        <f>AND(#REF!,"AAAAAH3H+z8=")</f>
        <v>#REF!</v>
      </c>
      <c r="BM132" t="e">
        <f>AND(#REF!,"AAAAAH3H+0A=")</f>
        <v>#REF!</v>
      </c>
      <c r="BN132" t="e">
        <f>AND(#REF!,"AAAAAH3H+0E=")</f>
        <v>#REF!</v>
      </c>
      <c r="BO132" t="e">
        <f>AND(#REF!,"AAAAAH3H+0I=")</f>
        <v>#REF!</v>
      </c>
      <c r="BP132" t="e">
        <f>AND(#REF!,"AAAAAH3H+0M=")</f>
        <v>#REF!</v>
      </c>
      <c r="BQ132" t="e">
        <f>AND(#REF!,"AAAAAH3H+0Q=")</f>
        <v>#REF!</v>
      </c>
      <c r="BR132" t="e">
        <f>AND(#REF!,"AAAAAH3H+0U=")</f>
        <v>#REF!</v>
      </c>
      <c r="BS132" t="e">
        <f>AND(#REF!,"AAAAAH3H+0Y=")</f>
        <v>#REF!</v>
      </c>
      <c r="BT132" t="e">
        <f>AND(#REF!,"AAAAAH3H+0c=")</f>
        <v>#REF!</v>
      </c>
      <c r="BU132" t="e">
        <f>AND(#REF!,"AAAAAH3H+0g=")</f>
        <v>#REF!</v>
      </c>
      <c r="BV132" t="e">
        <f>IF(#REF!,"AAAAAH3H+0k=",0)</f>
        <v>#REF!</v>
      </c>
      <c r="BW132" t="e">
        <f>AND(#REF!,"AAAAAH3H+0o=")</f>
        <v>#REF!</v>
      </c>
      <c r="BX132" t="e">
        <f>AND(#REF!,"AAAAAH3H+0s=")</f>
        <v>#REF!</v>
      </c>
      <c r="BY132" t="e">
        <f>AND(#REF!,"AAAAAH3H+0w=")</f>
        <v>#REF!</v>
      </c>
      <c r="BZ132" t="e">
        <f>AND(#REF!,"AAAAAH3H+00=")</f>
        <v>#REF!</v>
      </c>
      <c r="CA132" t="e">
        <f>AND(#REF!,"AAAAAH3H+04=")</f>
        <v>#REF!</v>
      </c>
      <c r="CB132" t="e">
        <f>AND(#REF!,"AAAAAH3H+08=")</f>
        <v>#REF!</v>
      </c>
      <c r="CC132" t="e">
        <f>AND(#REF!,"AAAAAH3H+1A=")</f>
        <v>#REF!</v>
      </c>
      <c r="CD132" t="e">
        <f>AND(#REF!,"AAAAAH3H+1E=")</f>
        <v>#REF!</v>
      </c>
      <c r="CE132" t="e">
        <f>AND(#REF!,"AAAAAH3H+1I=")</f>
        <v>#REF!</v>
      </c>
      <c r="CF132" t="e">
        <f>AND(#REF!,"AAAAAH3H+1M=")</f>
        <v>#REF!</v>
      </c>
      <c r="CG132" t="e">
        <f>AND(#REF!,"AAAAAH3H+1Q=")</f>
        <v>#REF!</v>
      </c>
      <c r="CH132" t="e">
        <f>AND(#REF!,"AAAAAH3H+1U=")</f>
        <v>#REF!</v>
      </c>
      <c r="CI132" t="e">
        <f>AND(#REF!,"AAAAAH3H+1Y=")</f>
        <v>#REF!</v>
      </c>
      <c r="CJ132" t="e">
        <f>AND(#REF!,"AAAAAH3H+1c=")</f>
        <v>#REF!</v>
      </c>
      <c r="CK132" t="e">
        <f>AND(#REF!,"AAAAAH3H+1g=")</f>
        <v>#REF!</v>
      </c>
      <c r="CL132" t="e">
        <f>AND(#REF!,"AAAAAH3H+1k=")</f>
        <v>#REF!</v>
      </c>
      <c r="CM132" t="e">
        <f>AND(#REF!,"AAAAAH3H+1o=")</f>
        <v>#REF!</v>
      </c>
      <c r="CN132" t="e">
        <f>AND(#REF!,"AAAAAH3H+1s=")</f>
        <v>#REF!</v>
      </c>
      <c r="CO132" t="e">
        <f>AND(#REF!,"AAAAAH3H+1w=")</f>
        <v>#REF!</v>
      </c>
      <c r="CP132" t="e">
        <f>AND(#REF!,"AAAAAH3H+10=")</f>
        <v>#REF!</v>
      </c>
      <c r="CQ132" t="e">
        <f>AND(#REF!,"AAAAAH3H+14=")</f>
        <v>#REF!</v>
      </c>
      <c r="CR132" t="e">
        <f>AND(#REF!,"AAAAAH3H+18=")</f>
        <v>#REF!</v>
      </c>
      <c r="CS132" t="e">
        <f>AND(#REF!,"AAAAAH3H+2A=")</f>
        <v>#REF!</v>
      </c>
      <c r="CT132" t="e">
        <f>AND(#REF!,"AAAAAH3H+2E=")</f>
        <v>#REF!</v>
      </c>
      <c r="CU132" t="e">
        <f>IF(#REF!,"AAAAAH3H+2I=",0)</f>
        <v>#REF!</v>
      </c>
      <c r="CV132" t="e">
        <f>AND(#REF!,"AAAAAH3H+2M=")</f>
        <v>#REF!</v>
      </c>
      <c r="CW132" t="e">
        <f>AND(#REF!,"AAAAAH3H+2Q=")</f>
        <v>#REF!</v>
      </c>
      <c r="CX132" t="e">
        <f>AND(#REF!,"AAAAAH3H+2U=")</f>
        <v>#REF!</v>
      </c>
      <c r="CY132" t="e">
        <f>AND(#REF!,"AAAAAH3H+2Y=")</f>
        <v>#REF!</v>
      </c>
      <c r="CZ132" t="e">
        <f>AND(#REF!,"AAAAAH3H+2c=")</f>
        <v>#REF!</v>
      </c>
      <c r="DA132" t="e">
        <f>AND(#REF!,"AAAAAH3H+2g=")</f>
        <v>#REF!</v>
      </c>
      <c r="DB132" t="e">
        <f>AND(#REF!,"AAAAAH3H+2k=")</f>
        <v>#REF!</v>
      </c>
      <c r="DC132" t="e">
        <f>AND(#REF!,"AAAAAH3H+2o=")</f>
        <v>#REF!</v>
      </c>
      <c r="DD132" t="e">
        <f>AND(#REF!,"AAAAAH3H+2s=")</f>
        <v>#REF!</v>
      </c>
      <c r="DE132" t="e">
        <f>AND(#REF!,"AAAAAH3H+2w=")</f>
        <v>#REF!</v>
      </c>
      <c r="DF132" t="e">
        <f>AND(#REF!,"AAAAAH3H+20=")</f>
        <v>#REF!</v>
      </c>
      <c r="DG132" t="e">
        <f>AND(#REF!,"AAAAAH3H+24=")</f>
        <v>#REF!</v>
      </c>
      <c r="DH132" t="e">
        <f>AND(#REF!,"AAAAAH3H+28=")</f>
        <v>#REF!</v>
      </c>
      <c r="DI132" t="e">
        <f>AND(#REF!,"AAAAAH3H+3A=")</f>
        <v>#REF!</v>
      </c>
      <c r="DJ132" t="e">
        <f>AND(#REF!,"AAAAAH3H+3E=")</f>
        <v>#REF!</v>
      </c>
      <c r="DK132" t="e">
        <f>AND(#REF!,"AAAAAH3H+3I=")</f>
        <v>#REF!</v>
      </c>
      <c r="DL132" t="e">
        <f>AND(#REF!,"AAAAAH3H+3M=")</f>
        <v>#REF!</v>
      </c>
      <c r="DM132" t="e">
        <f>AND(#REF!,"AAAAAH3H+3Q=")</f>
        <v>#REF!</v>
      </c>
      <c r="DN132" t="e">
        <f>AND(#REF!,"AAAAAH3H+3U=")</f>
        <v>#REF!</v>
      </c>
      <c r="DO132" t="e">
        <f>AND(#REF!,"AAAAAH3H+3Y=")</f>
        <v>#REF!</v>
      </c>
      <c r="DP132" t="e">
        <f>AND(#REF!,"AAAAAH3H+3c=")</f>
        <v>#REF!</v>
      </c>
      <c r="DQ132" t="e">
        <f>AND(#REF!,"AAAAAH3H+3g=")</f>
        <v>#REF!</v>
      </c>
      <c r="DR132" t="e">
        <f>AND(#REF!,"AAAAAH3H+3k=")</f>
        <v>#REF!</v>
      </c>
      <c r="DS132" t="e">
        <f>AND(#REF!,"AAAAAH3H+3o=")</f>
        <v>#REF!</v>
      </c>
      <c r="DT132" t="e">
        <f>IF(#REF!,"AAAAAH3H+3s=",0)</f>
        <v>#REF!</v>
      </c>
      <c r="DU132" t="e">
        <f>AND(#REF!,"AAAAAH3H+3w=")</f>
        <v>#REF!</v>
      </c>
      <c r="DV132" t="e">
        <f>AND(#REF!,"AAAAAH3H+30=")</f>
        <v>#REF!</v>
      </c>
      <c r="DW132" t="e">
        <f>AND(#REF!,"AAAAAH3H+34=")</f>
        <v>#REF!</v>
      </c>
      <c r="DX132" t="e">
        <f>AND(#REF!,"AAAAAH3H+38=")</f>
        <v>#REF!</v>
      </c>
      <c r="DY132" t="e">
        <f>AND(#REF!,"AAAAAH3H+4A=")</f>
        <v>#REF!</v>
      </c>
      <c r="DZ132" t="e">
        <f>AND(#REF!,"AAAAAH3H+4E=")</f>
        <v>#REF!</v>
      </c>
      <c r="EA132" t="e">
        <f>AND(#REF!,"AAAAAH3H+4I=")</f>
        <v>#REF!</v>
      </c>
      <c r="EB132" t="e">
        <f>AND(#REF!,"AAAAAH3H+4M=")</f>
        <v>#REF!</v>
      </c>
      <c r="EC132" t="e">
        <f>AND(#REF!,"AAAAAH3H+4Q=")</f>
        <v>#REF!</v>
      </c>
      <c r="ED132" t="e">
        <f>AND(#REF!,"AAAAAH3H+4U=")</f>
        <v>#REF!</v>
      </c>
      <c r="EE132" t="e">
        <f>AND(#REF!,"AAAAAH3H+4Y=")</f>
        <v>#REF!</v>
      </c>
      <c r="EF132" t="e">
        <f>AND(#REF!,"AAAAAH3H+4c=")</f>
        <v>#REF!</v>
      </c>
      <c r="EG132" t="e">
        <f>AND(#REF!,"AAAAAH3H+4g=")</f>
        <v>#REF!</v>
      </c>
      <c r="EH132" t="e">
        <f>AND(#REF!,"AAAAAH3H+4k=")</f>
        <v>#REF!</v>
      </c>
      <c r="EI132" t="e">
        <f>AND(#REF!,"AAAAAH3H+4o=")</f>
        <v>#REF!</v>
      </c>
      <c r="EJ132" t="e">
        <f>AND(#REF!,"AAAAAH3H+4s=")</f>
        <v>#REF!</v>
      </c>
      <c r="EK132" t="e">
        <f>AND(#REF!,"AAAAAH3H+4w=")</f>
        <v>#REF!</v>
      </c>
      <c r="EL132" t="e">
        <f>AND(#REF!,"AAAAAH3H+40=")</f>
        <v>#REF!</v>
      </c>
      <c r="EM132" t="e">
        <f>AND(#REF!,"AAAAAH3H+44=")</f>
        <v>#REF!</v>
      </c>
      <c r="EN132" t="e">
        <f>AND(#REF!,"AAAAAH3H+48=")</f>
        <v>#REF!</v>
      </c>
      <c r="EO132" t="e">
        <f>AND(#REF!,"AAAAAH3H+5A=")</f>
        <v>#REF!</v>
      </c>
      <c r="EP132" t="e">
        <f>AND(#REF!,"AAAAAH3H+5E=")</f>
        <v>#REF!</v>
      </c>
      <c r="EQ132" t="e">
        <f>AND(#REF!,"AAAAAH3H+5I=")</f>
        <v>#REF!</v>
      </c>
      <c r="ER132" t="e">
        <f>AND(#REF!,"AAAAAH3H+5M=")</f>
        <v>#REF!</v>
      </c>
      <c r="ES132" t="e">
        <f>IF(#REF!,"AAAAAH3H+5Q=",0)</f>
        <v>#REF!</v>
      </c>
      <c r="ET132" t="e">
        <f>AND(#REF!,"AAAAAH3H+5U=")</f>
        <v>#REF!</v>
      </c>
      <c r="EU132" t="e">
        <f>AND(#REF!,"AAAAAH3H+5Y=")</f>
        <v>#REF!</v>
      </c>
      <c r="EV132" t="e">
        <f>AND(#REF!,"AAAAAH3H+5c=")</f>
        <v>#REF!</v>
      </c>
      <c r="EW132" t="e">
        <f>AND(#REF!,"AAAAAH3H+5g=")</f>
        <v>#REF!</v>
      </c>
      <c r="EX132" t="e">
        <f>AND(#REF!,"AAAAAH3H+5k=")</f>
        <v>#REF!</v>
      </c>
      <c r="EY132" t="e">
        <f>AND(#REF!,"AAAAAH3H+5o=")</f>
        <v>#REF!</v>
      </c>
      <c r="EZ132" t="e">
        <f>AND(#REF!,"AAAAAH3H+5s=")</f>
        <v>#REF!</v>
      </c>
      <c r="FA132" t="e">
        <f>AND(#REF!,"AAAAAH3H+5w=")</f>
        <v>#REF!</v>
      </c>
      <c r="FB132" t="e">
        <f>AND(#REF!,"AAAAAH3H+50=")</f>
        <v>#REF!</v>
      </c>
      <c r="FC132" t="e">
        <f>AND(#REF!,"AAAAAH3H+54=")</f>
        <v>#REF!</v>
      </c>
      <c r="FD132" t="e">
        <f>AND(#REF!,"AAAAAH3H+58=")</f>
        <v>#REF!</v>
      </c>
      <c r="FE132" t="e">
        <f>AND(#REF!,"AAAAAH3H+6A=")</f>
        <v>#REF!</v>
      </c>
      <c r="FF132" t="e">
        <f>AND(#REF!,"AAAAAH3H+6E=")</f>
        <v>#REF!</v>
      </c>
      <c r="FG132" t="e">
        <f>AND(#REF!,"AAAAAH3H+6I=")</f>
        <v>#REF!</v>
      </c>
      <c r="FH132" t="e">
        <f>AND(#REF!,"AAAAAH3H+6M=")</f>
        <v>#REF!</v>
      </c>
      <c r="FI132" t="e">
        <f>AND(#REF!,"AAAAAH3H+6Q=")</f>
        <v>#REF!</v>
      </c>
      <c r="FJ132" t="e">
        <f>AND(#REF!,"AAAAAH3H+6U=")</f>
        <v>#REF!</v>
      </c>
      <c r="FK132" t="e">
        <f>AND(#REF!,"AAAAAH3H+6Y=")</f>
        <v>#REF!</v>
      </c>
      <c r="FL132" t="e">
        <f>AND(#REF!,"AAAAAH3H+6c=")</f>
        <v>#REF!</v>
      </c>
      <c r="FM132" t="e">
        <f>AND(#REF!,"AAAAAH3H+6g=")</f>
        <v>#REF!</v>
      </c>
      <c r="FN132" t="e">
        <f>AND(#REF!,"AAAAAH3H+6k=")</f>
        <v>#REF!</v>
      </c>
      <c r="FO132" t="e">
        <f>AND(#REF!,"AAAAAH3H+6o=")</f>
        <v>#REF!</v>
      </c>
      <c r="FP132" t="e">
        <f>AND(#REF!,"AAAAAH3H+6s=")</f>
        <v>#REF!</v>
      </c>
      <c r="FQ132" t="e">
        <f>AND(#REF!,"AAAAAH3H+6w=")</f>
        <v>#REF!</v>
      </c>
      <c r="FR132" t="e">
        <f>IF(#REF!,"AAAAAH3H+60=",0)</f>
        <v>#REF!</v>
      </c>
      <c r="FS132" t="e">
        <f>AND(#REF!,"AAAAAH3H+64=")</f>
        <v>#REF!</v>
      </c>
      <c r="FT132" t="e">
        <f>AND(#REF!,"AAAAAH3H+68=")</f>
        <v>#REF!</v>
      </c>
      <c r="FU132" t="e">
        <f>AND(#REF!,"AAAAAH3H+7A=")</f>
        <v>#REF!</v>
      </c>
      <c r="FV132" t="e">
        <f>AND(#REF!,"AAAAAH3H+7E=")</f>
        <v>#REF!</v>
      </c>
      <c r="FW132" t="e">
        <f>AND(#REF!,"AAAAAH3H+7I=")</f>
        <v>#REF!</v>
      </c>
      <c r="FX132" t="e">
        <f>AND(#REF!,"AAAAAH3H+7M=")</f>
        <v>#REF!</v>
      </c>
      <c r="FY132" t="e">
        <f>AND(#REF!,"AAAAAH3H+7Q=")</f>
        <v>#REF!</v>
      </c>
      <c r="FZ132" t="e">
        <f>AND(#REF!,"AAAAAH3H+7U=")</f>
        <v>#REF!</v>
      </c>
      <c r="GA132" t="e">
        <f>AND(#REF!,"AAAAAH3H+7Y=")</f>
        <v>#REF!</v>
      </c>
      <c r="GB132" t="e">
        <f>AND(#REF!,"AAAAAH3H+7c=")</f>
        <v>#REF!</v>
      </c>
      <c r="GC132" t="e">
        <f>AND(#REF!,"AAAAAH3H+7g=")</f>
        <v>#REF!</v>
      </c>
      <c r="GD132" t="e">
        <f>AND(#REF!,"AAAAAH3H+7k=")</f>
        <v>#REF!</v>
      </c>
      <c r="GE132" t="e">
        <f>AND(#REF!,"AAAAAH3H+7o=")</f>
        <v>#REF!</v>
      </c>
      <c r="GF132" t="e">
        <f>AND(#REF!,"AAAAAH3H+7s=")</f>
        <v>#REF!</v>
      </c>
      <c r="GG132" t="e">
        <f>AND(#REF!,"AAAAAH3H+7w=")</f>
        <v>#REF!</v>
      </c>
      <c r="GH132" t="e">
        <f>AND(#REF!,"AAAAAH3H+70=")</f>
        <v>#REF!</v>
      </c>
      <c r="GI132" t="e">
        <f>AND(#REF!,"AAAAAH3H+74=")</f>
        <v>#REF!</v>
      </c>
      <c r="GJ132" t="e">
        <f>AND(#REF!,"AAAAAH3H+78=")</f>
        <v>#REF!</v>
      </c>
      <c r="GK132" t="e">
        <f>AND(#REF!,"AAAAAH3H+8A=")</f>
        <v>#REF!</v>
      </c>
      <c r="GL132" t="e">
        <f>AND(#REF!,"AAAAAH3H+8E=")</f>
        <v>#REF!</v>
      </c>
      <c r="GM132" t="e">
        <f>AND(#REF!,"AAAAAH3H+8I=")</f>
        <v>#REF!</v>
      </c>
      <c r="GN132" t="e">
        <f>AND(#REF!,"AAAAAH3H+8M=")</f>
        <v>#REF!</v>
      </c>
      <c r="GO132" t="e">
        <f>AND(#REF!,"AAAAAH3H+8Q=")</f>
        <v>#REF!</v>
      </c>
      <c r="GP132" t="e">
        <f>AND(#REF!,"AAAAAH3H+8U=")</f>
        <v>#REF!</v>
      </c>
      <c r="GQ132" t="e">
        <f>IF(#REF!,"AAAAAH3H+8Y=",0)</f>
        <v>#REF!</v>
      </c>
      <c r="GR132" t="e">
        <f>IF(#REF!,"AAAAAH3H+8c=",0)</f>
        <v>#REF!</v>
      </c>
      <c r="GS132" t="e">
        <f>IF(#REF!,"AAAAAH3H+8g=",0)</f>
        <v>#REF!</v>
      </c>
      <c r="GT132" t="e">
        <f>IF(#REF!,"AAAAAH3H+8k=",0)</f>
        <v>#REF!</v>
      </c>
      <c r="GU132" t="e">
        <f>IF(#REF!,"AAAAAH3H+8o=",0)</f>
        <v>#REF!</v>
      </c>
      <c r="GV132" t="e">
        <f>IF(#REF!,"AAAAAH3H+8s=",0)</f>
        <v>#REF!</v>
      </c>
      <c r="GW132" t="e">
        <f>IF(#REF!,"AAAAAH3H+8w=",0)</f>
        <v>#REF!</v>
      </c>
      <c r="GX132" t="e">
        <f>IF(#REF!,"AAAAAH3H+80=",0)</f>
        <v>#REF!</v>
      </c>
      <c r="GY132" t="e">
        <f>IF(#REF!,"AAAAAH3H+84=",0)</f>
        <v>#REF!</v>
      </c>
      <c r="GZ132" t="e">
        <f>IF(#REF!,"AAAAAH3H+88=",0)</f>
        <v>#REF!</v>
      </c>
      <c r="HA132" t="e">
        <f>IF(#REF!,"AAAAAH3H+9A=",0)</f>
        <v>#REF!</v>
      </c>
      <c r="HB132" t="e">
        <f>IF(#REF!,"AAAAAH3H+9E=",0)</f>
        <v>#REF!</v>
      </c>
      <c r="HC132" t="e">
        <f>IF(#REF!,"AAAAAH3H+9I=",0)</f>
        <v>#REF!</v>
      </c>
      <c r="HD132" t="e">
        <f>IF(#REF!,"AAAAAH3H+9M=",0)</f>
        <v>#REF!</v>
      </c>
      <c r="HE132" t="e">
        <f>IF(#REF!,"AAAAAH3H+9Q=",0)</f>
        <v>#REF!</v>
      </c>
      <c r="HF132" t="e">
        <f>IF(#REF!,"AAAAAH3H+9U=",0)</f>
        <v>#REF!</v>
      </c>
      <c r="HG132" t="e">
        <f>IF(#REF!,"AAAAAH3H+9Y=",0)</f>
        <v>#REF!</v>
      </c>
      <c r="HH132" t="e">
        <f>IF(#REF!,"AAAAAH3H+9c=",0)</f>
        <v>#REF!</v>
      </c>
      <c r="HI132" t="e">
        <f>IF(#REF!,"AAAAAH3H+9g=",0)</f>
        <v>#REF!</v>
      </c>
      <c r="HJ132" t="e">
        <f>IF(#REF!,"AAAAAH3H+9k=",0)</f>
        <v>#REF!</v>
      </c>
      <c r="HK132" t="e">
        <f>IF(#REF!,"AAAAAH3H+9o=",0)</f>
        <v>#REF!</v>
      </c>
      <c r="HL132" t="e">
        <f>IF(#REF!,"AAAAAH3H+9s=",0)</f>
        <v>#REF!</v>
      </c>
      <c r="HM132" t="e">
        <f>IF(#REF!,"AAAAAH3H+9w=",0)</f>
        <v>#REF!</v>
      </c>
      <c r="HN132" t="e">
        <f>IF(#REF!,"AAAAAH3H+90=",0)</f>
        <v>#REF!</v>
      </c>
      <c r="HO132" t="e">
        <f>IF(#REF!,"AAAAAH3H+94=",0)</f>
        <v>#REF!</v>
      </c>
      <c r="HP132" t="e">
        <f>IF(#REF!,"AAAAAH3H+98=",0)</f>
        <v>#REF!</v>
      </c>
      <c r="HQ132" t="e">
        <f>IF(#REF!,"AAAAAH3H++A=",0)</f>
        <v>#REF!</v>
      </c>
      <c r="HR132" t="e">
        <f>IF(#REF!,"AAAAAH3H++E=",0)</f>
        <v>#REF!</v>
      </c>
      <c r="HS132" t="e">
        <f>IF(#REF!,"AAAAAH3H++I=",0)</f>
        <v>#REF!</v>
      </c>
      <c r="HT132" t="e">
        <f>IF(#REF!,"AAAAAH3H++M=",0)</f>
        <v>#REF!</v>
      </c>
      <c r="HU132" t="e">
        <f>IF(#REF!,"AAAAAH3H++Q=",0)</f>
        <v>#REF!</v>
      </c>
      <c r="HV132" t="e">
        <f>IF(#REF!,"AAAAAH3H++U=",0)</f>
        <v>#REF!</v>
      </c>
      <c r="HW132" t="e">
        <f>IF(#REF!,"AAAAAH3H++Y=",0)</f>
        <v>#REF!</v>
      </c>
      <c r="HX132" t="e">
        <f>IF(#REF!,"AAAAAH3H++c=",0)</f>
        <v>#REF!</v>
      </c>
      <c r="HY132" t="e">
        <f>IF(#REF!,"AAAAAH3H++g=",0)</f>
        <v>#REF!</v>
      </c>
      <c r="HZ132" t="e">
        <f>IF(#REF!,"AAAAAH3H++k=",0)</f>
        <v>#REF!</v>
      </c>
      <c r="IA132" t="e">
        <f>IF(#REF!,"AAAAAH3H++o=",0)</f>
        <v>#REF!</v>
      </c>
      <c r="IB132" t="e">
        <f>IF(#REF!,"AAAAAH3H++s=",0)</f>
        <v>#REF!</v>
      </c>
      <c r="IC132" t="e">
        <f>IF(#REF!,"AAAAAH3H++w=",0)</f>
        <v>#REF!</v>
      </c>
      <c r="ID132" t="e">
        <f>IF(#REF!,"AAAAAH3H++0=",0)</f>
        <v>#REF!</v>
      </c>
      <c r="IE132" t="e">
        <f>IF(#REF!,"AAAAAH3H++4=",0)</f>
        <v>#REF!</v>
      </c>
      <c r="IF132" t="e">
        <f>IF(#REF!,"AAAAAH3H++8=",0)</f>
        <v>#REF!</v>
      </c>
      <c r="IG132" t="e">
        <f>IF(#REF!,"AAAAAH3H+/A=",0)</f>
        <v>#REF!</v>
      </c>
      <c r="IH132" t="e">
        <f>IF(#REF!,"AAAAAH3H+/E=",0)</f>
        <v>#REF!</v>
      </c>
      <c r="II132" t="e">
        <f>IF(#REF!,"AAAAAH3H+/I=",0)</f>
        <v>#REF!</v>
      </c>
      <c r="IJ132" t="e">
        <f>IF(#REF!,"AAAAAH3H+/M=",0)</f>
        <v>#REF!</v>
      </c>
      <c r="IK132" t="e">
        <f>IF(#REF!,"AAAAAH3H+/Q=",0)</f>
        <v>#REF!</v>
      </c>
      <c r="IL132" t="e">
        <f>IF(#REF!,"AAAAAH3H+/U=",0)</f>
        <v>#REF!</v>
      </c>
      <c r="IM132" t="e">
        <f>IF(#REF!,"AAAAAH3H+/Y=",0)</f>
        <v>#REF!</v>
      </c>
      <c r="IN132" t="e">
        <f>AND(#REF!,"AAAAAH3H+/c=")</f>
        <v>#REF!</v>
      </c>
      <c r="IO132" t="e">
        <f>AND(#REF!,"AAAAAH3H+/g=")</f>
        <v>#REF!</v>
      </c>
      <c r="IP132" t="e">
        <f>AND(#REF!,"AAAAAH3H+/k=")</f>
        <v>#REF!</v>
      </c>
      <c r="IQ132" t="e">
        <f>AND(#REF!,"AAAAAH3H+/o=")</f>
        <v>#REF!</v>
      </c>
      <c r="IR132" t="e">
        <f>AND(#REF!,"AAAAAH3H+/s=")</f>
        <v>#REF!</v>
      </c>
      <c r="IS132" t="e">
        <f>AND(#REF!,"AAAAAH3H+/w=")</f>
        <v>#REF!</v>
      </c>
      <c r="IT132" t="e">
        <f>AND(#REF!,"AAAAAH3H+/0=")</f>
        <v>#REF!</v>
      </c>
      <c r="IU132" t="e">
        <f>AND(#REF!,"AAAAAH3H+/4=")</f>
        <v>#REF!</v>
      </c>
      <c r="IV132" t="e">
        <f>AND(#REF!,"AAAAAH3H+/8=")</f>
        <v>#REF!</v>
      </c>
    </row>
    <row r="133" spans="1:256" x14ac:dyDescent="0.25">
      <c r="A133" t="e">
        <f>AND(#REF!,"AAAAAEv61wA=")</f>
        <v>#REF!</v>
      </c>
      <c r="B133" t="e">
        <f>AND(#REF!,"AAAAAEv61wE=")</f>
        <v>#REF!</v>
      </c>
      <c r="C133" t="e">
        <f>AND(#REF!,"AAAAAEv61wI=")</f>
        <v>#REF!</v>
      </c>
      <c r="D133" t="e">
        <f>AND(#REF!,"AAAAAEv61wM=")</f>
        <v>#REF!</v>
      </c>
      <c r="E133" t="e">
        <f>AND(#REF!,"AAAAAEv61wQ=")</f>
        <v>#REF!</v>
      </c>
      <c r="F133" t="e">
        <f>AND(#REF!,"AAAAAEv61wU=")</f>
        <v>#REF!</v>
      </c>
      <c r="G133" t="e">
        <f>AND(#REF!,"AAAAAEv61wY=")</f>
        <v>#REF!</v>
      </c>
      <c r="H133" t="e">
        <f>AND(#REF!,"AAAAAEv61wc=")</f>
        <v>#REF!</v>
      </c>
      <c r="I133" t="e">
        <f>AND(#REF!,"AAAAAEv61wg=")</f>
        <v>#REF!</v>
      </c>
      <c r="J133" t="e">
        <f>AND(#REF!,"AAAAAEv61wk=")</f>
        <v>#REF!</v>
      </c>
      <c r="K133" t="e">
        <f>AND(#REF!,"AAAAAEv61wo=")</f>
        <v>#REF!</v>
      </c>
      <c r="L133" t="e">
        <f>AND(#REF!,"AAAAAEv61ws=")</f>
        <v>#REF!</v>
      </c>
      <c r="M133" t="e">
        <f>AND(#REF!,"AAAAAEv61ww=")</f>
        <v>#REF!</v>
      </c>
      <c r="N133" t="e">
        <f>AND(#REF!,"AAAAAEv61w0=")</f>
        <v>#REF!</v>
      </c>
      <c r="O133" t="e">
        <f>AND(#REF!,"AAAAAEv61w4=")</f>
        <v>#REF!</v>
      </c>
      <c r="P133" t="e">
        <f>IF(#REF!,"AAAAAEv61w8=",0)</f>
        <v>#REF!</v>
      </c>
      <c r="Q133" t="e">
        <f>AND(#REF!,"AAAAAEv61xA=")</f>
        <v>#REF!</v>
      </c>
      <c r="R133" t="e">
        <f>AND(#REF!,"AAAAAEv61xE=")</f>
        <v>#REF!</v>
      </c>
      <c r="S133" t="e">
        <f>AND(#REF!,"AAAAAEv61xI=")</f>
        <v>#REF!</v>
      </c>
      <c r="T133" t="e">
        <f>AND(#REF!,"AAAAAEv61xM=")</f>
        <v>#REF!</v>
      </c>
      <c r="U133" t="e">
        <f>AND(#REF!,"AAAAAEv61xQ=")</f>
        <v>#REF!</v>
      </c>
      <c r="V133" t="e">
        <f>AND(#REF!,"AAAAAEv61xU=")</f>
        <v>#REF!</v>
      </c>
      <c r="W133" t="e">
        <f>AND(#REF!,"AAAAAEv61xY=")</f>
        <v>#REF!</v>
      </c>
      <c r="X133" t="e">
        <f>AND(#REF!,"AAAAAEv61xc=")</f>
        <v>#REF!</v>
      </c>
      <c r="Y133" t="e">
        <f>AND(#REF!,"AAAAAEv61xg=")</f>
        <v>#REF!</v>
      </c>
      <c r="Z133" t="e">
        <f>AND(#REF!,"AAAAAEv61xk=")</f>
        <v>#REF!</v>
      </c>
      <c r="AA133" t="e">
        <f>AND(#REF!,"AAAAAEv61xo=")</f>
        <v>#REF!</v>
      </c>
      <c r="AB133" t="e">
        <f>AND(#REF!,"AAAAAEv61xs=")</f>
        <v>#REF!</v>
      </c>
      <c r="AC133" t="e">
        <f>AND(#REF!,"AAAAAEv61xw=")</f>
        <v>#REF!</v>
      </c>
      <c r="AD133" t="e">
        <f>AND(#REF!,"AAAAAEv61x0=")</f>
        <v>#REF!</v>
      </c>
      <c r="AE133" t="e">
        <f>AND(#REF!,"AAAAAEv61x4=")</f>
        <v>#REF!</v>
      </c>
      <c r="AF133" t="e">
        <f>AND(#REF!,"AAAAAEv61x8=")</f>
        <v>#REF!</v>
      </c>
      <c r="AG133" t="e">
        <f>AND(#REF!,"AAAAAEv61yA=")</f>
        <v>#REF!</v>
      </c>
      <c r="AH133" t="e">
        <f>AND(#REF!,"AAAAAEv61yE=")</f>
        <v>#REF!</v>
      </c>
      <c r="AI133" t="e">
        <f>AND(#REF!,"AAAAAEv61yI=")</f>
        <v>#REF!</v>
      </c>
      <c r="AJ133" t="e">
        <f>AND(#REF!,"AAAAAEv61yM=")</f>
        <v>#REF!</v>
      </c>
      <c r="AK133" t="e">
        <f>AND(#REF!,"AAAAAEv61yQ=")</f>
        <v>#REF!</v>
      </c>
      <c r="AL133" t="e">
        <f>AND(#REF!,"AAAAAEv61yU=")</f>
        <v>#REF!</v>
      </c>
      <c r="AM133" t="e">
        <f>AND(#REF!,"AAAAAEv61yY=")</f>
        <v>#REF!</v>
      </c>
      <c r="AN133" t="e">
        <f>AND(#REF!,"AAAAAEv61yc=")</f>
        <v>#REF!</v>
      </c>
      <c r="AO133" t="e">
        <f>IF(#REF!,"AAAAAEv61yg=",0)</f>
        <v>#REF!</v>
      </c>
      <c r="AP133" t="e">
        <f>AND(#REF!,"AAAAAEv61yk=")</f>
        <v>#REF!</v>
      </c>
      <c r="AQ133" t="e">
        <f>AND(#REF!,"AAAAAEv61yo=")</f>
        <v>#REF!</v>
      </c>
      <c r="AR133" t="e">
        <f>AND(#REF!,"AAAAAEv61ys=")</f>
        <v>#REF!</v>
      </c>
      <c r="AS133" t="e">
        <f>AND(#REF!,"AAAAAEv61yw=")</f>
        <v>#REF!</v>
      </c>
      <c r="AT133" t="e">
        <f>AND(#REF!,"AAAAAEv61y0=")</f>
        <v>#REF!</v>
      </c>
      <c r="AU133" t="e">
        <f>AND(#REF!,"AAAAAEv61y4=")</f>
        <v>#REF!</v>
      </c>
      <c r="AV133" t="e">
        <f>AND(#REF!,"AAAAAEv61y8=")</f>
        <v>#REF!</v>
      </c>
      <c r="AW133" t="e">
        <f>AND(#REF!,"AAAAAEv61zA=")</f>
        <v>#REF!</v>
      </c>
      <c r="AX133" t="e">
        <f>AND(#REF!,"AAAAAEv61zE=")</f>
        <v>#REF!</v>
      </c>
      <c r="AY133" t="e">
        <f>AND(#REF!,"AAAAAEv61zI=")</f>
        <v>#REF!</v>
      </c>
      <c r="AZ133" t="e">
        <f>AND(#REF!,"AAAAAEv61zM=")</f>
        <v>#REF!</v>
      </c>
      <c r="BA133" t="e">
        <f>AND(#REF!,"AAAAAEv61zQ=")</f>
        <v>#REF!</v>
      </c>
      <c r="BB133" t="e">
        <f>AND(#REF!,"AAAAAEv61zU=")</f>
        <v>#REF!</v>
      </c>
      <c r="BC133" t="e">
        <f>AND(#REF!,"AAAAAEv61zY=")</f>
        <v>#REF!</v>
      </c>
      <c r="BD133" t="e">
        <f>AND(#REF!,"AAAAAEv61zc=")</f>
        <v>#REF!</v>
      </c>
      <c r="BE133" t="e">
        <f>AND(#REF!,"AAAAAEv61zg=")</f>
        <v>#REF!</v>
      </c>
      <c r="BF133" t="e">
        <f>AND(#REF!,"AAAAAEv61zk=")</f>
        <v>#REF!</v>
      </c>
      <c r="BG133" t="e">
        <f>AND(#REF!,"AAAAAEv61zo=")</f>
        <v>#REF!</v>
      </c>
      <c r="BH133" t="e">
        <f>AND(#REF!,"AAAAAEv61zs=")</f>
        <v>#REF!</v>
      </c>
      <c r="BI133" t="e">
        <f>AND(#REF!,"AAAAAEv61zw=")</f>
        <v>#REF!</v>
      </c>
      <c r="BJ133" t="e">
        <f>AND(#REF!,"AAAAAEv61z0=")</f>
        <v>#REF!</v>
      </c>
      <c r="BK133" t="e">
        <f>AND(#REF!,"AAAAAEv61z4=")</f>
        <v>#REF!</v>
      </c>
      <c r="BL133" t="e">
        <f>AND(#REF!,"AAAAAEv61z8=")</f>
        <v>#REF!</v>
      </c>
      <c r="BM133" t="e">
        <f>AND(#REF!,"AAAAAEv610A=")</f>
        <v>#REF!</v>
      </c>
      <c r="BN133" t="e">
        <f>IF(#REF!,"AAAAAEv610E=",0)</f>
        <v>#REF!</v>
      </c>
      <c r="BO133" t="e">
        <f>AND(#REF!,"AAAAAEv610I=")</f>
        <v>#REF!</v>
      </c>
      <c r="BP133" t="e">
        <f>AND(#REF!,"AAAAAEv610M=")</f>
        <v>#REF!</v>
      </c>
      <c r="BQ133" t="e">
        <f>AND(#REF!,"AAAAAEv610Q=")</f>
        <v>#REF!</v>
      </c>
      <c r="BR133" t="e">
        <f>AND(#REF!,"AAAAAEv610U=")</f>
        <v>#REF!</v>
      </c>
      <c r="BS133" t="e">
        <f>AND(#REF!,"AAAAAEv610Y=")</f>
        <v>#REF!</v>
      </c>
      <c r="BT133" t="e">
        <f>AND(#REF!,"AAAAAEv610c=")</f>
        <v>#REF!</v>
      </c>
      <c r="BU133" t="e">
        <f>AND(#REF!,"AAAAAEv610g=")</f>
        <v>#REF!</v>
      </c>
      <c r="BV133" t="e">
        <f>AND(#REF!,"AAAAAEv610k=")</f>
        <v>#REF!</v>
      </c>
      <c r="BW133" t="e">
        <f>AND(#REF!,"AAAAAEv610o=")</f>
        <v>#REF!</v>
      </c>
      <c r="BX133" t="e">
        <f>AND(#REF!,"AAAAAEv610s=")</f>
        <v>#REF!</v>
      </c>
      <c r="BY133" t="e">
        <f>AND(#REF!,"AAAAAEv610w=")</f>
        <v>#REF!</v>
      </c>
      <c r="BZ133" t="e">
        <f>AND(#REF!,"AAAAAEv6100=")</f>
        <v>#REF!</v>
      </c>
      <c r="CA133" t="e">
        <f>AND(#REF!,"AAAAAEv6104=")</f>
        <v>#REF!</v>
      </c>
      <c r="CB133" t="e">
        <f>AND(#REF!,"AAAAAEv6108=")</f>
        <v>#REF!</v>
      </c>
      <c r="CC133" t="e">
        <f>AND(#REF!,"AAAAAEv611A=")</f>
        <v>#REF!</v>
      </c>
      <c r="CD133" t="e">
        <f>AND(#REF!,"AAAAAEv611E=")</f>
        <v>#REF!</v>
      </c>
      <c r="CE133" t="e">
        <f>AND(#REF!,"AAAAAEv611I=")</f>
        <v>#REF!</v>
      </c>
      <c r="CF133" t="e">
        <f>AND(#REF!,"AAAAAEv611M=")</f>
        <v>#REF!</v>
      </c>
      <c r="CG133" t="e">
        <f>AND(#REF!,"AAAAAEv611Q=")</f>
        <v>#REF!</v>
      </c>
      <c r="CH133" t="e">
        <f>AND(#REF!,"AAAAAEv611U=")</f>
        <v>#REF!</v>
      </c>
      <c r="CI133" t="e">
        <f>AND(#REF!,"AAAAAEv611Y=")</f>
        <v>#REF!</v>
      </c>
      <c r="CJ133" t="e">
        <f>AND(#REF!,"AAAAAEv611c=")</f>
        <v>#REF!</v>
      </c>
      <c r="CK133" t="e">
        <f>AND(#REF!,"AAAAAEv611g=")</f>
        <v>#REF!</v>
      </c>
      <c r="CL133" t="e">
        <f>AND(#REF!,"AAAAAEv611k=")</f>
        <v>#REF!</v>
      </c>
      <c r="CM133" t="e">
        <f>IF(#REF!,"AAAAAEv611o=",0)</f>
        <v>#REF!</v>
      </c>
      <c r="CN133" t="e">
        <f>AND(#REF!,"AAAAAEv611s=")</f>
        <v>#REF!</v>
      </c>
      <c r="CO133" t="e">
        <f>AND(#REF!,"AAAAAEv611w=")</f>
        <v>#REF!</v>
      </c>
      <c r="CP133" t="e">
        <f>AND(#REF!,"AAAAAEv6110=")</f>
        <v>#REF!</v>
      </c>
      <c r="CQ133" t="e">
        <f>AND(#REF!,"AAAAAEv6114=")</f>
        <v>#REF!</v>
      </c>
      <c r="CR133" t="e">
        <f>AND(#REF!,"AAAAAEv6118=")</f>
        <v>#REF!</v>
      </c>
      <c r="CS133" t="e">
        <f>AND(#REF!,"AAAAAEv612A=")</f>
        <v>#REF!</v>
      </c>
      <c r="CT133" t="e">
        <f>AND(#REF!,"AAAAAEv612E=")</f>
        <v>#REF!</v>
      </c>
      <c r="CU133" t="e">
        <f>AND(#REF!,"AAAAAEv612I=")</f>
        <v>#REF!</v>
      </c>
      <c r="CV133" t="e">
        <f>AND(#REF!,"AAAAAEv612M=")</f>
        <v>#REF!</v>
      </c>
      <c r="CW133" t="e">
        <f>AND(#REF!,"AAAAAEv612Q=")</f>
        <v>#REF!</v>
      </c>
      <c r="CX133" t="e">
        <f>AND(#REF!,"AAAAAEv612U=")</f>
        <v>#REF!</v>
      </c>
      <c r="CY133" t="e">
        <f>AND(#REF!,"AAAAAEv612Y=")</f>
        <v>#REF!</v>
      </c>
      <c r="CZ133" t="e">
        <f>AND(#REF!,"AAAAAEv612c=")</f>
        <v>#REF!</v>
      </c>
      <c r="DA133" t="e">
        <f>AND(#REF!,"AAAAAEv612g=")</f>
        <v>#REF!</v>
      </c>
      <c r="DB133" t="e">
        <f>AND(#REF!,"AAAAAEv612k=")</f>
        <v>#REF!</v>
      </c>
      <c r="DC133" t="e">
        <f>AND(#REF!,"AAAAAEv612o=")</f>
        <v>#REF!</v>
      </c>
      <c r="DD133" t="e">
        <f>AND(#REF!,"AAAAAEv612s=")</f>
        <v>#REF!</v>
      </c>
      <c r="DE133" t="e">
        <f>AND(#REF!,"AAAAAEv612w=")</f>
        <v>#REF!</v>
      </c>
      <c r="DF133" t="e">
        <f>AND(#REF!,"AAAAAEv6120=")</f>
        <v>#REF!</v>
      </c>
      <c r="DG133" t="e">
        <f>AND(#REF!,"AAAAAEv6124=")</f>
        <v>#REF!</v>
      </c>
      <c r="DH133" t="e">
        <f>AND(#REF!,"AAAAAEv6128=")</f>
        <v>#REF!</v>
      </c>
      <c r="DI133" t="e">
        <f>AND(#REF!,"AAAAAEv613A=")</f>
        <v>#REF!</v>
      </c>
      <c r="DJ133" t="e">
        <f>AND(#REF!,"AAAAAEv613E=")</f>
        <v>#REF!</v>
      </c>
      <c r="DK133" t="e">
        <f>AND(#REF!,"AAAAAEv613I=")</f>
        <v>#REF!</v>
      </c>
      <c r="DL133" t="e">
        <f>IF(#REF!,"AAAAAEv613M=",0)</f>
        <v>#REF!</v>
      </c>
      <c r="DM133" t="e">
        <f>AND(#REF!,"AAAAAEv613Q=")</f>
        <v>#REF!</v>
      </c>
      <c r="DN133" t="e">
        <f>AND(#REF!,"AAAAAEv613U=")</f>
        <v>#REF!</v>
      </c>
      <c r="DO133" t="e">
        <f>AND(#REF!,"AAAAAEv613Y=")</f>
        <v>#REF!</v>
      </c>
      <c r="DP133" t="e">
        <f>AND(#REF!,"AAAAAEv613c=")</f>
        <v>#REF!</v>
      </c>
      <c r="DQ133" t="e">
        <f>AND(#REF!,"AAAAAEv613g=")</f>
        <v>#REF!</v>
      </c>
      <c r="DR133" t="e">
        <f>AND(#REF!,"AAAAAEv613k=")</f>
        <v>#REF!</v>
      </c>
      <c r="DS133" t="e">
        <f>AND(#REF!,"AAAAAEv613o=")</f>
        <v>#REF!</v>
      </c>
      <c r="DT133" t="e">
        <f>AND(#REF!,"AAAAAEv613s=")</f>
        <v>#REF!</v>
      </c>
      <c r="DU133" t="e">
        <f>AND(#REF!,"AAAAAEv613w=")</f>
        <v>#REF!</v>
      </c>
      <c r="DV133" t="e">
        <f>AND(#REF!,"AAAAAEv6130=")</f>
        <v>#REF!</v>
      </c>
      <c r="DW133" t="e">
        <f>AND(#REF!,"AAAAAEv6134=")</f>
        <v>#REF!</v>
      </c>
      <c r="DX133" t="e">
        <f>AND(#REF!,"AAAAAEv6138=")</f>
        <v>#REF!</v>
      </c>
      <c r="DY133" t="e">
        <f>AND(#REF!,"AAAAAEv614A=")</f>
        <v>#REF!</v>
      </c>
      <c r="DZ133" t="e">
        <f>AND(#REF!,"AAAAAEv614E=")</f>
        <v>#REF!</v>
      </c>
      <c r="EA133" t="e">
        <f>AND(#REF!,"AAAAAEv614I=")</f>
        <v>#REF!</v>
      </c>
      <c r="EB133" t="e">
        <f>AND(#REF!,"AAAAAEv614M=")</f>
        <v>#REF!</v>
      </c>
      <c r="EC133" t="e">
        <f>AND(#REF!,"AAAAAEv614Q=")</f>
        <v>#REF!</v>
      </c>
      <c r="ED133" t="e">
        <f>AND(#REF!,"AAAAAEv614U=")</f>
        <v>#REF!</v>
      </c>
      <c r="EE133" t="e">
        <f>AND(#REF!,"AAAAAEv614Y=")</f>
        <v>#REF!</v>
      </c>
      <c r="EF133" t="e">
        <f>AND(#REF!,"AAAAAEv614c=")</f>
        <v>#REF!</v>
      </c>
      <c r="EG133" t="e">
        <f>AND(#REF!,"AAAAAEv614g=")</f>
        <v>#REF!</v>
      </c>
      <c r="EH133" t="e">
        <f>AND(#REF!,"AAAAAEv614k=")</f>
        <v>#REF!</v>
      </c>
      <c r="EI133" t="e">
        <f>AND(#REF!,"AAAAAEv614o=")</f>
        <v>#REF!</v>
      </c>
      <c r="EJ133" t="e">
        <f>AND(#REF!,"AAAAAEv614s=")</f>
        <v>#REF!</v>
      </c>
      <c r="EK133" t="e">
        <f>IF(#REF!,"AAAAAEv614w=",0)</f>
        <v>#REF!</v>
      </c>
      <c r="EL133" t="e">
        <f>AND(#REF!,"AAAAAEv6140=")</f>
        <v>#REF!</v>
      </c>
      <c r="EM133" t="e">
        <f>AND(#REF!,"AAAAAEv6144=")</f>
        <v>#REF!</v>
      </c>
      <c r="EN133" t="e">
        <f>AND(#REF!,"AAAAAEv6148=")</f>
        <v>#REF!</v>
      </c>
      <c r="EO133" t="e">
        <f>AND(#REF!,"AAAAAEv615A=")</f>
        <v>#REF!</v>
      </c>
      <c r="EP133" t="e">
        <f>AND(#REF!,"AAAAAEv615E=")</f>
        <v>#REF!</v>
      </c>
      <c r="EQ133" t="e">
        <f>AND(#REF!,"AAAAAEv615I=")</f>
        <v>#REF!</v>
      </c>
      <c r="ER133" t="e">
        <f>AND(#REF!,"AAAAAEv615M=")</f>
        <v>#REF!</v>
      </c>
      <c r="ES133" t="e">
        <f>AND(#REF!,"AAAAAEv615Q=")</f>
        <v>#REF!</v>
      </c>
      <c r="ET133" t="e">
        <f>AND(#REF!,"AAAAAEv615U=")</f>
        <v>#REF!</v>
      </c>
      <c r="EU133" t="e">
        <f>AND(#REF!,"AAAAAEv615Y=")</f>
        <v>#REF!</v>
      </c>
      <c r="EV133" t="e">
        <f>AND(#REF!,"AAAAAEv615c=")</f>
        <v>#REF!</v>
      </c>
      <c r="EW133" t="e">
        <f>AND(#REF!,"AAAAAEv615g=")</f>
        <v>#REF!</v>
      </c>
      <c r="EX133" t="e">
        <f>AND(#REF!,"AAAAAEv615k=")</f>
        <v>#REF!</v>
      </c>
      <c r="EY133" t="e">
        <f>AND(#REF!,"AAAAAEv615o=")</f>
        <v>#REF!</v>
      </c>
      <c r="EZ133" t="e">
        <f>AND(#REF!,"AAAAAEv615s=")</f>
        <v>#REF!</v>
      </c>
      <c r="FA133" t="e">
        <f>AND(#REF!,"AAAAAEv615w=")</f>
        <v>#REF!</v>
      </c>
      <c r="FB133" t="e">
        <f>AND(#REF!,"AAAAAEv6150=")</f>
        <v>#REF!</v>
      </c>
      <c r="FC133" t="e">
        <f>AND(#REF!,"AAAAAEv6154=")</f>
        <v>#REF!</v>
      </c>
      <c r="FD133" t="e">
        <f>AND(#REF!,"AAAAAEv6158=")</f>
        <v>#REF!</v>
      </c>
      <c r="FE133" t="e">
        <f>AND(#REF!,"AAAAAEv616A=")</f>
        <v>#REF!</v>
      </c>
      <c r="FF133" t="e">
        <f>AND(#REF!,"AAAAAEv616E=")</f>
        <v>#REF!</v>
      </c>
      <c r="FG133" t="e">
        <f>AND(#REF!,"AAAAAEv616I=")</f>
        <v>#REF!</v>
      </c>
      <c r="FH133" t="e">
        <f>AND(#REF!,"AAAAAEv616M=")</f>
        <v>#REF!</v>
      </c>
      <c r="FI133" t="e">
        <f>AND(#REF!,"AAAAAEv616Q=")</f>
        <v>#REF!</v>
      </c>
      <c r="FJ133" t="e">
        <f>IF(#REF!,"AAAAAEv616U=",0)</f>
        <v>#REF!</v>
      </c>
      <c r="FK133" t="e">
        <f>AND(#REF!,"AAAAAEv616Y=")</f>
        <v>#REF!</v>
      </c>
      <c r="FL133" t="e">
        <f>AND(#REF!,"AAAAAEv616c=")</f>
        <v>#REF!</v>
      </c>
      <c r="FM133" t="e">
        <f>AND(#REF!,"AAAAAEv616g=")</f>
        <v>#REF!</v>
      </c>
      <c r="FN133" t="e">
        <f>AND(#REF!,"AAAAAEv616k=")</f>
        <v>#REF!</v>
      </c>
      <c r="FO133" t="e">
        <f>AND(#REF!,"AAAAAEv616o=")</f>
        <v>#REF!</v>
      </c>
      <c r="FP133" t="e">
        <f>AND(#REF!,"AAAAAEv616s=")</f>
        <v>#REF!</v>
      </c>
      <c r="FQ133" t="e">
        <f>AND(#REF!,"AAAAAEv616w=")</f>
        <v>#REF!</v>
      </c>
      <c r="FR133" t="e">
        <f>AND(#REF!,"AAAAAEv6160=")</f>
        <v>#REF!</v>
      </c>
      <c r="FS133" t="e">
        <f>AND(#REF!,"AAAAAEv6164=")</f>
        <v>#REF!</v>
      </c>
      <c r="FT133" t="e">
        <f>AND(#REF!,"AAAAAEv6168=")</f>
        <v>#REF!</v>
      </c>
      <c r="FU133" t="e">
        <f>AND(#REF!,"AAAAAEv617A=")</f>
        <v>#REF!</v>
      </c>
      <c r="FV133" t="e">
        <f>AND(#REF!,"AAAAAEv617E=")</f>
        <v>#REF!</v>
      </c>
      <c r="FW133" t="e">
        <f>AND(#REF!,"AAAAAEv617I=")</f>
        <v>#REF!</v>
      </c>
      <c r="FX133" t="e">
        <f>AND(#REF!,"AAAAAEv617M=")</f>
        <v>#REF!</v>
      </c>
      <c r="FY133" t="e">
        <f>AND(#REF!,"AAAAAEv617Q=")</f>
        <v>#REF!</v>
      </c>
      <c r="FZ133" t="e">
        <f>AND(#REF!,"AAAAAEv617U=")</f>
        <v>#REF!</v>
      </c>
      <c r="GA133" t="e">
        <f>AND(#REF!,"AAAAAEv617Y=")</f>
        <v>#REF!</v>
      </c>
      <c r="GB133" t="e">
        <f>AND(#REF!,"AAAAAEv617c=")</f>
        <v>#REF!</v>
      </c>
      <c r="GC133" t="e">
        <f>AND(#REF!,"AAAAAEv617g=")</f>
        <v>#REF!</v>
      </c>
      <c r="GD133" t="e">
        <f>AND(#REF!,"AAAAAEv617k=")</f>
        <v>#REF!</v>
      </c>
      <c r="GE133" t="e">
        <f>AND(#REF!,"AAAAAEv617o=")</f>
        <v>#REF!</v>
      </c>
      <c r="GF133" t="e">
        <f>AND(#REF!,"AAAAAEv617s=")</f>
        <v>#REF!</v>
      </c>
      <c r="GG133" t="e">
        <f>AND(#REF!,"AAAAAEv617w=")</f>
        <v>#REF!</v>
      </c>
      <c r="GH133" t="e">
        <f>AND(#REF!,"AAAAAEv6170=")</f>
        <v>#REF!</v>
      </c>
      <c r="GI133" t="e">
        <f>IF(#REF!,"AAAAAEv6174=",0)</f>
        <v>#REF!</v>
      </c>
      <c r="GJ133" t="e">
        <f>AND(#REF!,"AAAAAEv6178=")</f>
        <v>#REF!</v>
      </c>
      <c r="GK133" t="e">
        <f>AND(#REF!,"AAAAAEv618A=")</f>
        <v>#REF!</v>
      </c>
      <c r="GL133" t="e">
        <f>AND(#REF!,"AAAAAEv618E=")</f>
        <v>#REF!</v>
      </c>
      <c r="GM133" t="e">
        <f>AND(#REF!,"AAAAAEv618I=")</f>
        <v>#REF!</v>
      </c>
      <c r="GN133" t="e">
        <f>AND(#REF!,"AAAAAEv618M=")</f>
        <v>#REF!</v>
      </c>
      <c r="GO133" t="e">
        <f>AND(#REF!,"AAAAAEv618Q=")</f>
        <v>#REF!</v>
      </c>
      <c r="GP133" t="e">
        <f>AND(#REF!,"AAAAAEv618U=")</f>
        <v>#REF!</v>
      </c>
      <c r="GQ133" t="e">
        <f>AND(#REF!,"AAAAAEv618Y=")</f>
        <v>#REF!</v>
      </c>
      <c r="GR133" t="e">
        <f>AND(#REF!,"AAAAAEv618c=")</f>
        <v>#REF!</v>
      </c>
      <c r="GS133" t="e">
        <f>AND(#REF!,"AAAAAEv618g=")</f>
        <v>#REF!</v>
      </c>
      <c r="GT133" t="e">
        <f>AND(#REF!,"AAAAAEv618k=")</f>
        <v>#REF!</v>
      </c>
      <c r="GU133" t="e">
        <f>AND(#REF!,"AAAAAEv618o=")</f>
        <v>#REF!</v>
      </c>
      <c r="GV133" t="e">
        <f>AND(#REF!,"AAAAAEv618s=")</f>
        <v>#REF!</v>
      </c>
      <c r="GW133" t="e">
        <f>AND(#REF!,"AAAAAEv618w=")</f>
        <v>#REF!</v>
      </c>
      <c r="GX133" t="e">
        <f>AND(#REF!,"AAAAAEv6180=")</f>
        <v>#REF!</v>
      </c>
      <c r="GY133" t="e">
        <f>AND(#REF!,"AAAAAEv6184=")</f>
        <v>#REF!</v>
      </c>
      <c r="GZ133" t="e">
        <f>AND(#REF!,"AAAAAEv6188=")</f>
        <v>#REF!</v>
      </c>
      <c r="HA133" t="e">
        <f>AND(#REF!,"AAAAAEv619A=")</f>
        <v>#REF!</v>
      </c>
      <c r="HB133" t="e">
        <f>AND(#REF!,"AAAAAEv619E=")</f>
        <v>#REF!</v>
      </c>
      <c r="HC133" t="e">
        <f>AND(#REF!,"AAAAAEv619I=")</f>
        <v>#REF!</v>
      </c>
      <c r="HD133" t="e">
        <f>AND(#REF!,"AAAAAEv619M=")</f>
        <v>#REF!</v>
      </c>
      <c r="HE133" t="e">
        <f>AND(#REF!,"AAAAAEv619Q=")</f>
        <v>#REF!</v>
      </c>
      <c r="HF133" t="e">
        <f>AND(#REF!,"AAAAAEv619U=")</f>
        <v>#REF!</v>
      </c>
      <c r="HG133" t="e">
        <f>AND(#REF!,"AAAAAEv619Y=")</f>
        <v>#REF!</v>
      </c>
      <c r="HH133" t="e">
        <f>IF(#REF!,"AAAAAEv619c=",0)</f>
        <v>#REF!</v>
      </c>
      <c r="HI133" t="e">
        <f>IF(#REF!,"AAAAAEv619g=",0)</f>
        <v>#REF!</v>
      </c>
      <c r="HJ133" t="e">
        <f>IF(#REF!,"AAAAAEv619k=",0)</f>
        <v>#REF!</v>
      </c>
      <c r="HK133" t="e">
        <f>IF(#REF!,"AAAAAEv619o=",0)</f>
        <v>#REF!</v>
      </c>
      <c r="HL133" t="e">
        <f>IF(#REF!,"AAAAAEv619s=",0)</f>
        <v>#REF!</v>
      </c>
      <c r="HM133" t="e">
        <f>IF(#REF!,"AAAAAEv619w=",0)</f>
        <v>#REF!</v>
      </c>
      <c r="HN133" t="e">
        <f>IF(#REF!,"AAAAAEv6190=",0)</f>
        <v>#REF!</v>
      </c>
      <c r="HO133" t="e">
        <f>IF(#REF!,"AAAAAEv6194=",0)</f>
        <v>#REF!</v>
      </c>
      <c r="HP133" t="e">
        <f>IF(#REF!,"AAAAAEv6198=",0)</f>
        <v>#REF!</v>
      </c>
      <c r="HQ133" t="e">
        <f>IF(#REF!,"AAAAAEv61+A=",0)</f>
        <v>#REF!</v>
      </c>
      <c r="HR133" t="e">
        <f>IF(#REF!,"AAAAAEv61+E=",0)</f>
        <v>#REF!</v>
      </c>
      <c r="HS133" t="e">
        <f>IF(#REF!,"AAAAAEv61+I=",0)</f>
        <v>#REF!</v>
      </c>
      <c r="HT133" t="e">
        <f>IF(#REF!,"AAAAAEv61+M=",0)</f>
        <v>#REF!</v>
      </c>
      <c r="HU133" t="e">
        <f>IF(#REF!,"AAAAAEv61+Q=",0)</f>
        <v>#REF!</v>
      </c>
      <c r="HV133" t="e">
        <f>IF(#REF!,"AAAAAEv61+U=",0)</f>
        <v>#REF!</v>
      </c>
      <c r="HW133" t="e">
        <f>IF(#REF!,"AAAAAEv61+Y=",0)</f>
        <v>#REF!</v>
      </c>
      <c r="HX133" t="e">
        <f>IF(#REF!,"AAAAAEv61+c=",0)</f>
        <v>#REF!</v>
      </c>
      <c r="HY133" t="e">
        <f>IF(#REF!,"AAAAAEv61+g=",0)</f>
        <v>#REF!</v>
      </c>
      <c r="HZ133" t="e">
        <f>IF(#REF!,"AAAAAEv61+k=",0)</f>
        <v>#REF!</v>
      </c>
      <c r="IA133" t="e">
        <f>IF(#REF!,"AAAAAEv61+o=",0)</f>
        <v>#REF!</v>
      </c>
      <c r="IB133" t="e">
        <f>IF(#REF!,"AAAAAEv61+s=",0)</f>
        <v>#REF!</v>
      </c>
      <c r="IC133" t="e">
        <f>IF(#REF!,"AAAAAEv61+w=",0)</f>
        <v>#REF!</v>
      </c>
      <c r="ID133" t="e">
        <f>IF(#REF!,"AAAAAEv61+0=",0)</f>
        <v>#REF!</v>
      </c>
      <c r="IE133" t="e">
        <f>IF(#REF!,"AAAAAEv61+4=",0)</f>
        <v>#REF!</v>
      </c>
      <c r="IF133" t="e">
        <f>IF(#REF!,"AAAAAEv61+8=",0)</f>
        <v>#REF!</v>
      </c>
      <c r="IG133" t="e">
        <f>IF(#REF!,"AAAAAEv61/A=",0)</f>
        <v>#REF!</v>
      </c>
      <c r="IH133" t="e">
        <f>IF(#REF!,"AAAAAEv61/E=",0)</f>
        <v>#REF!</v>
      </c>
      <c r="II133" t="e">
        <f>IF(#REF!,"AAAAAEv61/I=",0)</f>
        <v>#REF!</v>
      </c>
      <c r="IJ133" t="e">
        <f>IF(#REF!,"AAAAAEv61/M=",0)</f>
        <v>#REF!</v>
      </c>
      <c r="IK133" t="e">
        <f>IF(#REF!,"AAAAAEv61/Q=",0)</f>
        <v>#REF!</v>
      </c>
      <c r="IL133" t="e">
        <f>IF(#REF!,"AAAAAEv61/U=",0)</f>
        <v>#REF!</v>
      </c>
      <c r="IM133" t="e">
        <f>IF(#REF!,"AAAAAEv61/Y=",0)</f>
        <v>#REF!</v>
      </c>
      <c r="IN133" t="e">
        <f>IF(#REF!,"AAAAAEv61/c=",0)</f>
        <v>#REF!</v>
      </c>
      <c r="IO133" t="e">
        <f>IF(#REF!,"AAAAAEv61/g=",0)</f>
        <v>#REF!</v>
      </c>
      <c r="IP133" t="e">
        <f>IF(#REF!,"AAAAAEv61/k=",0)</f>
        <v>#REF!</v>
      </c>
      <c r="IQ133" t="e">
        <f>IF(#REF!,"AAAAAEv61/o=",0)</f>
        <v>#REF!</v>
      </c>
      <c r="IR133" t="e">
        <f>IF(#REF!,"AAAAAEv61/s=",0)</f>
        <v>#REF!</v>
      </c>
      <c r="IS133" t="e">
        <f>IF(#REF!,"AAAAAEv61/w=",0)</f>
        <v>#REF!</v>
      </c>
      <c r="IT133" t="e">
        <f>IF(#REF!,"AAAAAEv61/0=",0)</f>
        <v>#REF!</v>
      </c>
      <c r="IU133" t="e">
        <f>IF(#REF!,"AAAAAEv61/4=",0)</f>
        <v>#REF!</v>
      </c>
      <c r="IV133" t="e">
        <f>IF(#REF!,"AAAAAEv61/8=",0)</f>
        <v>#REF!</v>
      </c>
    </row>
    <row r="134" spans="1:256" x14ac:dyDescent="0.25">
      <c r="A134" t="e">
        <f>IF(#REF!,"AAAAAB3/tQA=",0)</f>
        <v>#REF!</v>
      </c>
      <c r="B134" t="e">
        <f>IF(#REF!,"AAAAAB3/tQE=",0)</f>
        <v>#REF!</v>
      </c>
      <c r="C134" t="e">
        <f>IF(#REF!,"AAAAAB3/tQI=",0)</f>
        <v>#REF!</v>
      </c>
      <c r="D134" t="e">
        <f>IF(#REF!,"AAAAAB3/tQM=",0)</f>
        <v>#REF!</v>
      </c>
      <c r="E134" t="e">
        <f>IF(#REF!,"AAAAAB3/tQQ=",0)</f>
        <v>#REF!</v>
      </c>
      <c r="F134" t="e">
        <f>IF(#REF!,"AAAAAB3/tQU=",0)</f>
        <v>#REF!</v>
      </c>
      <c r="G134" t="e">
        <f>IF(#REF!,"AAAAAB3/tQY=",0)</f>
        <v>#REF!</v>
      </c>
      <c r="H134" t="e">
        <f>IF(#REF!,"AAAAAB3/tQc=",0)</f>
        <v>#REF!</v>
      </c>
      <c r="I134" t="e">
        <f>AND(#REF!,"AAAAAB3/tQg=")</f>
        <v>#REF!</v>
      </c>
      <c r="J134" t="e">
        <f>AND(#REF!,"AAAAAB3/tQk=")</f>
        <v>#REF!</v>
      </c>
      <c r="K134" t="e">
        <f>AND(#REF!,"AAAAAB3/tQo=")</f>
        <v>#REF!</v>
      </c>
      <c r="L134" t="e">
        <f>AND(#REF!,"AAAAAB3/tQs=")</f>
        <v>#REF!</v>
      </c>
      <c r="M134" t="e">
        <f>AND(#REF!,"AAAAAB3/tQw=")</f>
        <v>#REF!</v>
      </c>
      <c r="N134" t="e">
        <f>AND(#REF!,"AAAAAB3/tQ0=")</f>
        <v>#REF!</v>
      </c>
      <c r="O134" t="e">
        <f>AND(#REF!,"AAAAAB3/tQ4=")</f>
        <v>#REF!</v>
      </c>
      <c r="P134" t="e">
        <f>AND(#REF!,"AAAAAB3/tQ8=")</f>
        <v>#REF!</v>
      </c>
      <c r="Q134" t="e">
        <f>AND(#REF!,"AAAAAB3/tRA=")</f>
        <v>#REF!</v>
      </c>
      <c r="R134" t="e">
        <f>AND(#REF!,"AAAAAB3/tRE=")</f>
        <v>#REF!</v>
      </c>
      <c r="S134" t="e">
        <f>AND(#REF!,"AAAAAB3/tRI=")</f>
        <v>#REF!</v>
      </c>
      <c r="T134" t="e">
        <f>AND(#REF!,"AAAAAB3/tRM=")</f>
        <v>#REF!</v>
      </c>
      <c r="U134" t="e">
        <f>AND(#REF!,"AAAAAB3/tRQ=")</f>
        <v>#REF!</v>
      </c>
      <c r="V134" t="e">
        <f>AND(#REF!,"AAAAAB3/tRU=")</f>
        <v>#REF!</v>
      </c>
      <c r="W134" t="e">
        <f>AND(#REF!,"AAAAAB3/tRY=")</f>
        <v>#REF!</v>
      </c>
      <c r="X134" t="e">
        <f>AND(#REF!,"AAAAAB3/tRc=")</f>
        <v>#REF!</v>
      </c>
      <c r="Y134" t="e">
        <f>AND(#REF!,"AAAAAB3/tRg=")</f>
        <v>#REF!</v>
      </c>
      <c r="Z134" t="e">
        <f>AND(#REF!,"AAAAAB3/tRk=")</f>
        <v>#REF!</v>
      </c>
      <c r="AA134" t="e">
        <f>AND(#REF!,"AAAAAB3/tRo=")</f>
        <v>#REF!</v>
      </c>
      <c r="AB134" t="e">
        <f>AND(#REF!,"AAAAAB3/tRs=")</f>
        <v>#REF!</v>
      </c>
      <c r="AC134" t="e">
        <f>AND(#REF!,"AAAAAB3/tRw=")</f>
        <v>#REF!</v>
      </c>
      <c r="AD134" t="e">
        <f>AND(#REF!,"AAAAAB3/tR0=")</f>
        <v>#REF!</v>
      </c>
      <c r="AE134" t="e">
        <f>AND(#REF!,"AAAAAB3/tR4=")</f>
        <v>#REF!</v>
      </c>
      <c r="AF134" t="e">
        <f>AND(#REF!,"AAAAAB3/tR8=")</f>
        <v>#REF!</v>
      </c>
      <c r="AG134" t="e">
        <f>IF(#REF!,"AAAAAB3/tSA=",0)</f>
        <v>#REF!</v>
      </c>
      <c r="AH134" t="e">
        <f>AND(#REF!,"AAAAAB3/tSE=")</f>
        <v>#REF!</v>
      </c>
      <c r="AI134" t="e">
        <f>AND(#REF!,"AAAAAB3/tSI=")</f>
        <v>#REF!</v>
      </c>
      <c r="AJ134" t="e">
        <f>AND(#REF!,"AAAAAB3/tSM=")</f>
        <v>#REF!</v>
      </c>
      <c r="AK134" t="e">
        <f>AND(#REF!,"AAAAAB3/tSQ=")</f>
        <v>#REF!</v>
      </c>
      <c r="AL134" t="e">
        <f>AND(#REF!,"AAAAAB3/tSU=")</f>
        <v>#REF!</v>
      </c>
      <c r="AM134" t="e">
        <f>AND(#REF!,"AAAAAB3/tSY=")</f>
        <v>#REF!</v>
      </c>
      <c r="AN134" t="e">
        <f>AND(#REF!,"AAAAAB3/tSc=")</f>
        <v>#REF!</v>
      </c>
      <c r="AO134" t="e">
        <f>AND(#REF!,"AAAAAB3/tSg=")</f>
        <v>#REF!</v>
      </c>
      <c r="AP134" t="e">
        <f>AND(#REF!,"AAAAAB3/tSk=")</f>
        <v>#REF!</v>
      </c>
      <c r="AQ134" t="e">
        <f>AND(#REF!,"AAAAAB3/tSo=")</f>
        <v>#REF!</v>
      </c>
      <c r="AR134" t="e">
        <f>AND(#REF!,"AAAAAB3/tSs=")</f>
        <v>#REF!</v>
      </c>
      <c r="AS134" t="e">
        <f>AND(#REF!,"AAAAAB3/tSw=")</f>
        <v>#REF!</v>
      </c>
      <c r="AT134" t="e">
        <f>AND(#REF!,"AAAAAB3/tS0=")</f>
        <v>#REF!</v>
      </c>
      <c r="AU134" t="e">
        <f>AND(#REF!,"AAAAAB3/tS4=")</f>
        <v>#REF!</v>
      </c>
      <c r="AV134" t="e">
        <f>AND(#REF!,"AAAAAB3/tS8=")</f>
        <v>#REF!</v>
      </c>
      <c r="AW134" t="e">
        <f>AND(#REF!,"AAAAAB3/tTA=")</f>
        <v>#REF!</v>
      </c>
      <c r="AX134" t="e">
        <f>AND(#REF!,"AAAAAB3/tTE=")</f>
        <v>#REF!</v>
      </c>
      <c r="AY134" t="e">
        <f>AND(#REF!,"AAAAAB3/tTI=")</f>
        <v>#REF!</v>
      </c>
      <c r="AZ134" t="e">
        <f>AND(#REF!,"AAAAAB3/tTM=")</f>
        <v>#REF!</v>
      </c>
      <c r="BA134" t="e">
        <f>AND(#REF!,"AAAAAB3/tTQ=")</f>
        <v>#REF!</v>
      </c>
      <c r="BB134" t="e">
        <f>AND(#REF!,"AAAAAB3/tTU=")</f>
        <v>#REF!</v>
      </c>
      <c r="BC134" t="e">
        <f>AND(#REF!,"AAAAAB3/tTY=")</f>
        <v>#REF!</v>
      </c>
      <c r="BD134" t="e">
        <f>AND(#REF!,"AAAAAB3/tTc=")</f>
        <v>#REF!</v>
      </c>
      <c r="BE134" t="e">
        <f>AND(#REF!,"AAAAAB3/tTg=")</f>
        <v>#REF!</v>
      </c>
      <c r="BF134" t="e">
        <f>IF(#REF!,"AAAAAB3/tTk=",0)</f>
        <v>#REF!</v>
      </c>
      <c r="BG134" t="e">
        <f>AND(#REF!,"AAAAAB3/tTo=")</f>
        <v>#REF!</v>
      </c>
      <c r="BH134" t="e">
        <f>AND(#REF!,"AAAAAB3/tTs=")</f>
        <v>#REF!</v>
      </c>
      <c r="BI134" t="e">
        <f>AND(#REF!,"AAAAAB3/tTw=")</f>
        <v>#REF!</v>
      </c>
      <c r="BJ134" t="e">
        <f>AND(#REF!,"AAAAAB3/tT0=")</f>
        <v>#REF!</v>
      </c>
      <c r="BK134" t="e">
        <f>AND(#REF!,"AAAAAB3/tT4=")</f>
        <v>#REF!</v>
      </c>
      <c r="BL134" t="e">
        <f>AND(#REF!,"AAAAAB3/tT8=")</f>
        <v>#REF!</v>
      </c>
      <c r="BM134" t="e">
        <f>AND(#REF!,"AAAAAB3/tUA=")</f>
        <v>#REF!</v>
      </c>
      <c r="BN134" t="e">
        <f>AND(#REF!,"AAAAAB3/tUE=")</f>
        <v>#REF!</v>
      </c>
      <c r="BO134" t="e">
        <f>AND(#REF!,"AAAAAB3/tUI=")</f>
        <v>#REF!</v>
      </c>
      <c r="BP134" t="e">
        <f>AND(#REF!,"AAAAAB3/tUM=")</f>
        <v>#REF!</v>
      </c>
      <c r="BQ134" t="e">
        <f>AND(#REF!,"AAAAAB3/tUQ=")</f>
        <v>#REF!</v>
      </c>
      <c r="BR134" t="e">
        <f>AND(#REF!,"AAAAAB3/tUU=")</f>
        <v>#REF!</v>
      </c>
      <c r="BS134" t="e">
        <f>AND(#REF!,"AAAAAB3/tUY=")</f>
        <v>#REF!</v>
      </c>
      <c r="BT134" t="e">
        <f>AND(#REF!,"AAAAAB3/tUc=")</f>
        <v>#REF!</v>
      </c>
      <c r="BU134" t="e">
        <f>AND(#REF!,"AAAAAB3/tUg=")</f>
        <v>#REF!</v>
      </c>
      <c r="BV134" t="e">
        <f>AND(#REF!,"AAAAAB3/tUk=")</f>
        <v>#REF!</v>
      </c>
      <c r="BW134" t="e">
        <f>AND(#REF!,"AAAAAB3/tUo=")</f>
        <v>#REF!</v>
      </c>
      <c r="BX134" t="e">
        <f>AND(#REF!,"AAAAAB3/tUs=")</f>
        <v>#REF!</v>
      </c>
      <c r="BY134" t="e">
        <f>AND(#REF!,"AAAAAB3/tUw=")</f>
        <v>#REF!</v>
      </c>
      <c r="BZ134" t="e">
        <f>AND(#REF!,"AAAAAB3/tU0=")</f>
        <v>#REF!</v>
      </c>
      <c r="CA134" t="e">
        <f>AND(#REF!,"AAAAAB3/tU4=")</f>
        <v>#REF!</v>
      </c>
      <c r="CB134" t="e">
        <f>AND(#REF!,"AAAAAB3/tU8=")</f>
        <v>#REF!</v>
      </c>
      <c r="CC134" t="e">
        <f>AND(#REF!,"AAAAAB3/tVA=")</f>
        <v>#REF!</v>
      </c>
      <c r="CD134" t="e">
        <f>AND(#REF!,"AAAAAB3/tVE=")</f>
        <v>#REF!</v>
      </c>
      <c r="CE134" t="e">
        <f>IF(#REF!,"AAAAAB3/tVI=",0)</f>
        <v>#REF!</v>
      </c>
      <c r="CF134" t="e">
        <f>AND(#REF!,"AAAAAB3/tVM=")</f>
        <v>#REF!</v>
      </c>
      <c r="CG134" t="e">
        <f>AND(#REF!,"AAAAAB3/tVQ=")</f>
        <v>#REF!</v>
      </c>
      <c r="CH134" t="e">
        <f>AND(#REF!,"AAAAAB3/tVU=")</f>
        <v>#REF!</v>
      </c>
      <c r="CI134" t="e">
        <f>AND(#REF!,"AAAAAB3/tVY=")</f>
        <v>#REF!</v>
      </c>
      <c r="CJ134" t="e">
        <f>AND(#REF!,"AAAAAB3/tVc=")</f>
        <v>#REF!</v>
      </c>
      <c r="CK134" t="e">
        <f>AND(#REF!,"AAAAAB3/tVg=")</f>
        <v>#REF!</v>
      </c>
      <c r="CL134" t="e">
        <f>AND(#REF!,"AAAAAB3/tVk=")</f>
        <v>#REF!</v>
      </c>
      <c r="CM134" t="e">
        <f>AND(#REF!,"AAAAAB3/tVo=")</f>
        <v>#REF!</v>
      </c>
      <c r="CN134" t="e">
        <f>AND(#REF!,"AAAAAB3/tVs=")</f>
        <v>#REF!</v>
      </c>
      <c r="CO134" t="e">
        <f>AND(#REF!,"AAAAAB3/tVw=")</f>
        <v>#REF!</v>
      </c>
      <c r="CP134" t="e">
        <f>AND(#REF!,"AAAAAB3/tV0=")</f>
        <v>#REF!</v>
      </c>
      <c r="CQ134" t="e">
        <f>AND(#REF!,"AAAAAB3/tV4=")</f>
        <v>#REF!</v>
      </c>
      <c r="CR134" t="e">
        <f>AND(#REF!,"AAAAAB3/tV8=")</f>
        <v>#REF!</v>
      </c>
      <c r="CS134" t="e">
        <f>AND(#REF!,"AAAAAB3/tWA=")</f>
        <v>#REF!</v>
      </c>
      <c r="CT134" t="e">
        <f>AND(#REF!,"AAAAAB3/tWE=")</f>
        <v>#REF!</v>
      </c>
      <c r="CU134" t="e">
        <f>AND(#REF!,"AAAAAB3/tWI=")</f>
        <v>#REF!</v>
      </c>
      <c r="CV134" t="e">
        <f>AND(#REF!,"AAAAAB3/tWM=")</f>
        <v>#REF!</v>
      </c>
      <c r="CW134" t="e">
        <f>AND(#REF!,"AAAAAB3/tWQ=")</f>
        <v>#REF!</v>
      </c>
      <c r="CX134" t="e">
        <f>AND(#REF!,"AAAAAB3/tWU=")</f>
        <v>#REF!</v>
      </c>
      <c r="CY134" t="e">
        <f>AND(#REF!,"AAAAAB3/tWY=")</f>
        <v>#REF!</v>
      </c>
      <c r="CZ134" t="e">
        <f>AND(#REF!,"AAAAAB3/tWc=")</f>
        <v>#REF!</v>
      </c>
      <c r="DA134" t="e">
        <f>AND(#REF!,"AAAAAB3/tWg=")</f>
        <v>#REF!</v>
      </c>
      <c r="DB134" t="e">
        <f>AND(#REF!,"AAAAAB3/tWk=")</f>
        <v>#REF!</v>
      </c>
      <c r="DC134" t="e">
        <f>AND(#REF!,"AAAAAB3/tWo=")</f>
        <v>#REF!</v>
      </c>
      <c r="DD134" t="e">
        <f>IF(#REF!,"AAAAAB3/tWs=",0)</f>
        <v>#REF!</v>
      </c>
      <c r="DE134" t="e">
        <f>AND(#REF!,"AAAAAB3/tWw=")</f>
        <v>#REF!</v>
      </c>
      <c r="DF134" t="e">
        <f>AND(#REF!,"AAAAAB3/tW0=")</f>
        <v>#REF!</v>
      </c>
      <c r="DG134" t="e">
        <f>AND(#REF!,"AAAAAB3/tW4=")</f>
        <v>#REF!</v>
      </c>
      <c r="DH134" t="e">
        <f>AND(#REF!,"AAAAAB3/tW8=")</f>
        <v>#REF!</v>
      </c>
      <c r="DI134" t="e">
        <f>AND(#REF!,"AAAAAB3/tXA=")</f>
        <v>#REF!</v>
      </c>
      <c r="DJ134" t="e">
        <f>AND(#REF!,"AAAAAB3/tXE=")</f>
        <v>#REF!</v>
      </c>
      <c r="DK134" t="e">
        <f>AND(#REF!,"AAAAAB3/tXI=")</f>
        <v>#REF!</v>
      </c>
      <c r="DL134" t="e">
        <f>AND(#REF!,"AAAAAB3/tXM=")</f>
        <v>#REF!</v>
      </c>
      <c r="DM134" t="e">
        <f>AND(#REF!,"AAAAAB3/tXQ=")</f>
        <v>#REF!</v>
      </c>
      <c r="DN134" t="e">
        <f>AND(#REF!,"AAAAAB3/tXU=")</f>
        <v>#REF!</v>
      </c>
      <c r="DO134" t="e">
        <f>AND(#REF!,"AAAAAB3/tXY=")</f>
        <v>#REF!</v>
      </c>
      <c r="DP134" t="e">
        <f>AND(#REF!,"AAAAAB3/tXc=")</f>
        <v>#REF!</v>
      </c>
      <c r="DQ134" t="e">
        <f>AND(#REF!,"AAAAAB3/tXg=")</f>
        <v>#REF!</v>
      </c>
      <c r="DR134" t="e">
        <f>AND(#REF!,"AAAAAB3/tXk=")</f>
        <v>#REF!</v>
      </c>
      <c r="DS134" t="e">
        <f>AND(#REF!,"AAAAAB3/tXo=")</f>
        <v>#REF!</v>
      </c>
      <c r="DT134" t="e">
        <f>AND(#REF!,"AAAAAB3/tXs=")</f>
        <v>#REF!</v>
      </c>
      <c r="DU134" t="e">
        <f>AND(#REF!,"AAAAAB3/tXw=")</f>
        <v>#REF!</v>
      </c>
      <c r="DV134" t="e">
        <f>AND(#REF!,"AAAAAB3/tX0=")</f>
        <v>#REF!</v>
      </c>
      <c r="DW134" t="e">
        <f>AND(#REF!,"AAAAAB3/tX4=")</f>
        <v>#REF!</v>
      </c>
      <c r="DX134" t="e">
        <f>AND(#REF!,"AAAAAB3/tX8=")</f>
        <v>#REF!</v>
      </c>
      <c r="DY134" t="e">
        <f>AND(#REF!,"AAAAAB3/tYA=")</f>
        <v>#REF!</v>
      </c>
      <c r="DZ134" t="e">
        <f>AND(#REF!,"AAAAAB3/tYE=")</f>
        <v>#REF!</v>
      </c>
      <c r="EA134" t="e">
        <f>AND(#REF!,"AAAAAB3/tYI=")</f>
        <v>#REF!</v>
      </c>
      <c r="EB134" t="e">
        <f>AND(#REF!,"AAAAAB3/tYM=")</f>
        <v>#REF!</v>
      </c>
      <c r="EC134" t="e">
        <f>IF(#REF!,"AAAAAB3/tYQ=",0)</f>
        <v>#REF!</v>
      </c>
      <c r="ED134" t="e">
        <f>AND(#REF!,"AAAAAB3/tYU=")</f>
        <v>#REF!</v>
      </c>
      <c r="EE134" t="e">
        <f>AND(#REF!,"AAAAAB3/tYY=")</f>
        <v>#REF!</v>
      </c>
      <c r="EF134" t="e">
        <f>AND(#REF!,"AAAAAB3/tYc=")</f>
        <v>#REF!</v>
      </c>
      <c r="EG134" t="e">
        <f>AND(#REF!,"AAAAAB3/tYg=")</f>
        <v>#REF!</v>
      </c>
      <c r="EH134" t="e">
        <f>AND(#REF!,"AAAAAB3/tYk=")</f>
        <v>#REF!</v>
      </c>
      <c r="EI134" t="e">
        <f>AND(#REF!,"AAAAAB3/tYo=")</f>
        <v>#REF!</v>
      </c>
      <c r="EJ134" t="e">
        <f>AND(#REF!,"AAAAAB3/tYs=")</f>
        <v>#REF!</v>
      </c>
      <c r="EK134" t="e">
        <f>AND(#REF!,"AAAAAB3/tYw=")</f>
        <v>#REF!</v>
      </c>
      <c r="EL134" t="e">
        <f>AND(#REF!,"AAAAAB3/tY0=")</f>
        <v>#REF!</v>
      </c>
      <c r="EM134" t="e">
        <f>AND(#REF!,"AAAAAB3/tY4=")</f>
        <v>#REF!</v>
      </c>
      <c r="EN134" t="e">
        <f>AND(#REF!,"AAAAAB3/tY8=")</f>
        <v>#REF!</v>
      </c>
      <c r="EO134" t="e">
        <f>AND(#REF!,"AAAAAB3/tZA=")</f>
        <v>#REF!</v>
      </c>
      <c r="EP134" t="e">
        <f>AND(#REF!,"AAAAAB3/tZE=")</f>
        <v>#REF!</v>
      </c>
      <c r="EQ134" t="e">
        <f>AND(#REF!,"AAAAAB3/tZI=")</f>
        <v>#REF!</v>
      </c>
      <c r="ER134" t="e">
        <f>AND(#REF!,"AAAAAB3/tZM=")</f>
        <v>#REF!</v>
      </c>
      <c r="ES134" t="e">
        <f>AND(#REF!,"AAAAAB3/tZQ=")</f>
        <v>#REF!</v>
      </c>
      <c r="ET134" t="e">
        <f>AND(#REF!,"AAAAAB3/tZU=")</f>
        <v>#REF!</v>
      </c>
      <c r="EU134" t="e">
        <f>AND(#REF!,"AAAAAB3/tZY=")</f>
        <v>#REF!</v>
      </c>
      <c r="EV134" t="e">
        <f>AND(#REF!,"AAAAAB3/tZc=")</f>
        <v>#REF!</v>
      </c>
      <c r="EW134" t="e">
        <f>AND(#REF!,"AAAAAB3/tZg=")</f>
        <v>#REF!</v>
      </c>
      <c r="EX134" t="e">
        <f>AND(#REF!,"AAAAAB3/tZk=")</f>
        <v>#REF!</v>
      </c>
      <c r="EY134" t="e">
        <f>AND(#REF!,"AAAAAB3/tZo=")</f>
        <v>#REF!</v>
      </c>
      <c r="EZ134" t="e">
        <f>AND(#REF!,"AAAAAB3/tZs=")</f>
        <v>#REF!</v>
      </c>
      <c r="FA134" t="e">
        <f>AND(#REF!,"AAAAAB3/tZw=")</f>
        <v>#REF!</v>
      </c>
      <c r="FB134" t="e">
        <f>IF(#REF!,"AAAAAB3/tZ0=",0)</f>
        <v>#REF!</v>
      </c>
      <c r="FC134" t="e">
        <f>AND(#REF!,"AAAAAB3/tZ4=")</f>
        <v>#REF!</v>
      </c>
      <c r="FD134" t="e">
        <f>AND(#REF!,"AAAAAB3/tZ8=")</f>
        <v>#REF!</v>
      </c>
      <c r="FE134" t="e">
        <f>AND(#REF!,"AAAAAB3/taA=")</f>
        <v>#REF!</v>
      </c>
      <c r="FF134" t="e">
        <f>AND(#REF!,"AAAAAB3/taE=")</f>
        <v>#REF!</v>
      </c>
      <c r="FG134" t="e">
        <f>AND(#REF!,"AAAAAB3/taI=")</f>
        <v>#REF!</v>
      </c>
      <c r="FH134" t="e">
        <f>AND(#REF!,"AAAAAB3/taM=")</f>
        <v>#REF!</v>
      </c>
      <c r="FI134" t="e">
        <f>AND(#REF!,"AAAAAB3/taQ=")</f>
        <v>#REF!</v>
      </c>
      <c r="FJ134" t="e">
        <f>AND(#REF!,"AAAAAB3/taU=")</f>
        <v>#REF!</v>
      </c>
      <c r="FK134" t="e">
        <f>AND(#REF!,"AAAAAB3/taY=")</f>
        <v>#REF!</v>
      </c>
      <c r="FL134" t="e">
        <f>AND(#REF!,"AAAAAB3/tac=")</f>
        <v>#REF!</v>
      </c>
      <c r="FM134" t="e">
        <f>AND(#REF!,"AAAAAB3/tag=")</f>
        <v>#REF!</v>
      </c>
      <c r="FN134" t="e">
        <f>AND(#REF!,"AAAAAB3/tak=")</f>
        <v>#REF!</v>
      </c>
      <c r="FO134" t="e">
        <f>AND(#REF!,"AAAAAB3/tao=")</f>
        <v>#REF!</v>
      </c>
      <c r="FP134" t="e">
        <f>AND(#REF!,"AAAAAB3/tas=")</f>
        <v>#REF!</v>
      </c>
      <c r="FQ134" t="e">
        <f>AND(#REF!,"AAAAAB3/taw=")</f>
        <v>#REF!</v>
      </c>
      <c r="FR134" t="e">
        <f>AND(#REF!,"AAAAAB3/ta0=")</f>
        <v>#REF!</v>
      </c>
      <c r="FS134" t="e">
        <f>AND(#REF!,"AAAAAB3/ta4=")</f>
        <v>#REF!</v>
      </c>
      <c r="FT134" t="e">
        <f>AND(#REF!,"AAAAAB3/ta8=")</f>
        <v>#REF!</v>
      </c>
      <c r="FU134" t="e">
        <f>AND(#REF!,"AAAAAB3/tbA=")</f>
        <v>#REF!</v>
      </c>
      <c r="FV134" t="e">
        <f>AND(#REF!,"AAAAAB3/tbE=")</f>
        <v>#REF!</v>
      </c>
      <c r="FW134" t="e">
        <f>AND(#REF!,"AAAAAB3/tbI=")</f>
        <v>#REF!</v>
      </c>
      <c r="FX134" t="e">
        <f>AND(#REF!,"AAAAAB3/tbM=")</f>
        <v>#REF!</v>
      </c>
      <c r="FY134" t="e">
        <f>AND(#REF!,"AAAAAB3/tbQ=")</f>
        <v>#REF!</v>
      </c>
      <c r="FZ134" t="e">
        <f>AND(#REF!,"AAAAAB3/tbU=")</f>
        <v>#REF!</v>
      </c>
      <c r="GA134" t="e">
        <f>IF(#REF!,"AAAAAB3/tbY=",0)</f>
        <v>#REF!</v>
      </c>
      <c r="GB134" t="e">
        <f>AND(#REF!,"AAAAAB3/tbc=")</f>
        <v>#REF!</v>
      </c>
      <c r="GC134" t="e">
        <f>AND(#REF!,"AAAAAB3/tbg=")</f>
        <v>#REF!</v>
      </c>
      <c r="GD134" t="e">
        <f>AND(#REF!,"AAAAAB3/tbk=")</f>
        <v>#REF!</v>
      </c>
      <c r="GE134" t="e">
        <f>AND(#REF!,"AAAAAB3/tbo=")</f>
        <v>#REF!</v>
      </c>
      <c r="GF134" t="e">
        <f>AND(#REF!,"AAAAAB3/tbs=")</f>
        <v>#REF!</v>
      </c>
      <c r="GG134" t="e">
        <f>AND(#REF!,"AAAAAB3/tbw=")</f>
        <v>#REF!</v>
      </c>
      <c r="GH134" t="e">
        <f>AND(#REF!,"AAAAAB3/tb0=")</f>
        <v>#REF!</v>
      </c>
      <c r="GI134" t="e">
        <f>AND(#REF!,"AAAAAB3/tb4=")</f>
        <v>#REF!</v>
      </c>
      <c r="GJ134" t="e">
        <f>AND(#REF!,"AAAAAB3/tb8=")</f>
        <v>#REF!</v>
      </c>
      <c r="GK134" t="e">
        <f>AND(#REF!,"AAAAAB3/tcA=")</f>
        <v>#REF!</v>
      </c>
      <c r="GL134" t="e">
        <f>AND(#REF!,"AAAAAB3/tcE=")</f>
        <v>#REF!</v>
      </c>
      <c r="GM134" t="e">
        <f>AND(#REF!,"AAAAAB3/tcI=")</f>
        <v>#REF!</v>
      </c>
      <c r="GN134" t="e">
        <f>AND(#REF!,"AAAAAB3/tcM=")</f>
        <v>#REF!</v>
      </c>
      <c r="GO134" t="e">
        <f>AND(#REF!,"AAAAAB3/tcQ=")</f>
        <v>#REF!</v>
      </c>
      <c r="GP134" t="e">
        <f>AND(#REF!,"AAAAAB3/tcU=")</f>
        <v>#REF!</v>
      </c>
      <c r="GQ134" t="e">
        <f>AND(#REF!,"AAAAAB3/tcY=")</f>
        <v>#REF!</v>
      </c>
      <c r="GR134" t="e">
        <f>AND(#REF!,"AAAAAB3/tcc=")</f>
        <v>#REF!</v>
      </c>
      <c r="GS134" t="e">
        <f>AND(#REF!,"AAAAAB3/tcg=")</f>
        <v>#REF!</v>
      </c>
      <c r="GT134" t="e">
        <f>AND(#REF!,"AAAAAB3/tck=")</f>
        <v>#REF!</v>
      </c>
      <c r="GU134" t="e">
        <f>AND(#REF!,"AAAAAB3/tco=")</f>
        <v>#REF!</v>
      </c>
      <c r="GV134" t="e">
        <f>AND(#REF!,"AAAAAB3/tcs=")</f>
        <v>#REF!</v>
      </c>
      <c r="GW134" t="e">
        <f>AND(#REF!,"AAAAAB3/tcw=")</f>
        <v>#REF!</v>
      </c>
      <c r="GX134" t="e">
        <f>AND(#REF!,"AAAAAB3/tc0=")</f>
        <v>#REF!</v>
      </c>
      <c r="GY134" t="e">
        <f>AND(#REF!,"AAAAAB3/tc4=")</f>
        <v>#REF!</v>
      </c>
      <c r="GZ134" t="e">
        <f>IF(#REF!,"AAAAAB3/tc8=",0)</f>
        <v>#REF!</v>
      </c>
      <c r="HA134" t="e">
        <f>AND(#REF!,"AAAAAB3/tdA=")</f>
        <v>#REF!</v>
      </c>
      <c r="HB134" t="e">
        <f>AND(#REF!,"AAAAAB3/tdE=")</f>
        <v>#REF!</v>
      </c>
      <c r="HC134" t="e">
        <f>AND(#REF!,"AAAAAB3/tdI=")</f>
        <v>#REF!</v>
      </c>
      <c r="HD134" t="e">
        <f>AND(#REF!,"AAAAAB3/tdM=")</f>
        <v>#REF!</v>
      </c>
      <c r="HE134" t="e">
        <f>AND(#REF!,"AAAAAB3/tdQ=")</f>
        <v>#REF!</v>
      </c>
      <c r="HF134" t="e">
        <f>AND(#REF!,"AAAAAB3/tdU=")</f>
        <v>#REF!</v>
      </c>
      <c r="HG134" t="e">
        <f>AND(#REF!,"AAAAAB3/tdY=")</f>
        <v>#REF!</v>
      </c>
      <c r="HH134" t="e">
        <f>AND(#REF!,"AAAAAB3/tdc=")</f>
        <v>#REF!</v>
      </c>
      <c r="HI134" t="e">
        <f>AND(#REF!,"AAAAAB3/tdg=")</f>
        <v>#REF!</v>
      </c>
      <c r="HJ134" t="e">
        <f>AND(#REF!,"AAAAAB3/tdk=")</f>
        <v>#REF!</v>
      </c>
      <c r="HK134" t="e">
        <f>AND(#REF!,"AAAAAB3/tdo=")</f>
        <v>#REF!</v>
      </c>
      <c r="HL134" t="e">
        <f>AND(#REF!,"AAAAAB3/tds=")</f>
        <v>#REF!</v>
      </c>
      <c r="HM134" t="e">
        <f>AND(#REF!,"AAAAAB3/tdw=")</f>
        <v>#REF!</v>
      </c>
      <c r="HN134" t="e">
        <f>AND(#REF!,"AAAAAB3/td0=")</f>
        <v>#REF!</v>
      </c>
      <c r="HO134" t="e">
        <f>AND(#REF!,"AAAAAB3/td4=")</f>
        <v>#REF!</v>
      </c>
      <c r="HP134" t="e">
        <f>AND(#REF!,"AAAAAB3/td8=")</f>
        <v>#REF!</v>
      </c>
      <c r="HQ134" t="e">
        <f>AND(#REF!,"AAAAAB3/teA=")</f>
        <v>#REF!</v>
      </c>
      <c r="HR134" t="e">
        <f>AND(#REF!,"AAAAAB3/teE=")</f>
        <v>#REF!</v>
      </c>
      <c r="HS134" t="e">
        <f>AND(#REF!,"AAAAAB3/teI=")</f>
        <v>#REF!</v>
      </c>
      <c r="HT134" t="e">
        <f>AND(#REF!,"AAAAAB3/teM=")</f>
        <v>#REF!</v>
      </c>
      <c r="HU134" t="e">
        <f>AND(#REF!,"AAAAAB3/teQ=")</f>
        <v>#REF!</v>
      </c>
      <c r="HV134" t="e">
        <f>AND(#REF!,"AAAAAB3/teU=")</f>
        <v>#REF!</v>
      </c>
      <c r="HW134" t="e">
        <f>AND(#REF!,"AAAAAB3/teY=")</f>
        <v>#REF!</v>
      </c>
      <c r="HX134" t="e">
        <f>AND(#REF!,"AAAAAB3/tec=")</f>
        <v>#REF!</v>
      </c>
      <c r="HY134" t="e">
        <f>IF(#REF!,"AAAAAB3/teg=",0)</f>
        <v>#REF!</v>
      </c>
      <c r="HZ134" t="e">
        <f>IF(#REF!,"AAAAAB3/tek=",0)</f>
        <v>#REF!</v>
      </c>
      <c r="IA134" t="e">
        <f>IF(#REF!,"AAAAAB3/teo=",0)</f>
        <v>#REF!</v>
      </c>
      <c r="IB134" t="e">
        <f>IF(#REF!,"AAAAAB3/tes=",0)</f>
        <v>#REF!</v>
      </c>
      <c r="IC134" t="e">
        <f>IF(#REF!,"AAAAAB3/tew=",0)</f>
        <v>#REF!</v>
      </c>
      <c r="ID134" t="e">
        <f>IF(#REF!,"AAAAAB3/te0=",0)</f>
        <v>#REF!</v>
      </c>
      <c r="IE134" t="e">
        <f>IF(#REF!,"AAAAAB3/te4=",0)</f>
        <v>#REF!</v>
      </c>
      <c r="IF134" t="e">
        <f>IF(#REF!,"AAAAAB3/te8=",0)</f>
        <v>#REF!</v>
      </c>
      <c r="IG134" t="e">
        <f>IF(#REF!,"AAAAAB3/tfA=",0)</f>
        <v>#REF!</v>
      </c>
      <c r="IH134" t="e">
        <f>IF(#REF!,"AAAAAB3/tfE=",0)</f>
        <v>#REF!</v>
      </c>
      <c r="II134" t="e">
        <f>IF(#REF!,"AAAAAB3/tfI=",0)</f>
        <v>#REF!</v>
      </c>
      <c r="IJ134" t="e">
        <f>IF(#REF!,"AAAAAB3/tfM=",0)</f>
        <v>#REF!</v>
      </c>
      <c r="IK134" t="e">
        <f>IF(#REF!,"AAAAAB3/tfQ=",0)</f>
        <v>#REF!</v>
      </c>
      <c r="IL134" t="e">
        <f>IF(#REF!,"AAAAAB3/tfU=",0)</f>
        <v>#REF!</v>
      </c>
      <c r="IM134" t="e">
        <f>IF(#REF!,"AAAAAB3/tfY=",0)</f>
        <v>#REF!</v>
      </c>
      <c r="IN134" t="e">
        <f>IF(#REF!,"AAAAAB3/tfc=",0)</f>
        <v>#REF!</v>
      </c>
      <c r="IO134" t="e">
        <f>IF(#REF!,"AAAAAB3/tfg=",0)</f>
        <v>#REF!</v>
      </c>
      <c r="IP134" t="e">
        <f>IF(#REF!,"AAAAAB3/tfk=",0)</f>
        <v>#REF!</v>
      </c>
      <c r="IQ134" t="e">
        <f>IF(#REF!,"AAAAAB3/tfo=",0)</f>
        <v>#REF!</v>
      </c>
      <c r="IR134" t="e">
        <f>IF(#REF!,"AAAAAB3/tfs=",0)</f>
        <v>#REF!</v>
      </c>
      <c r="IS134" t="e">
        <f>IF(#REF!,"AAAAAB3/tfw=",0)</f>
        <v>#REF!</v>
      </c>
      <c r="IT134" t="e">
        <f>IF(#REF!,"AAAAAB3/tf0=",0)</f>
        <v>#REF!</v>
      </c>
      <c r="IU134" t="e">
        <f>IF(#REF!,"AAAAAB3/tf4=",0)</f>
        <v>#REF!</v>
      </c>
      <c r="IV134" t="e">
        <f>IF(#REF!,"AAAAAB3/tf8=",0)</f>
        <v>#REF!</v>
      </c>
    </row>
    <row r="135" spans="1:256" x14ac:dyDescent="0.25">
      <c r="A135" t="e">
        <f>IF(#REF!,"AAAAAFv/dQA=",0)</f>
        <v>#REF!</v>
      </c>
      <c r="B135" t="e">
        <f>IF(#REF!,"AAAAAFv/dQE=",0)</f>
        <v>#REF!</v>
      </c>
      <c r="C135" t="e">
        <f>IF(#REF!,"AAAAAFv/dQI=",0)</f>
        <v>#REF!</v>
      </c>
      <c r="D135" t="e">
        <f>IF(#REF!,"AAAAAFv/dQM=",0)</f>
        <v>#REF!</v>
      </c>
      <c r="E135" t="e">
        <f>IF(#REF!,"AAAAAFv/dQQ=",0)</f>
        <v>#REF!</v>
      </c>
      <c r="F135" t="e">
        <f>IF(#REF!,"AAAAAFv/dQU=",0)</f>
        <v>#REF!</v>
      </c>
      <c r="G135" t="e">
        <f>IF(#REF!,"AAAAAFv/dQY=",0)</f>
        <v>#REF!</v>
      </c>
      <c r="H135" t="e">
        <f>IF(#REF!,"AAAAAFv/dQc=",0)</f>
        <v>#REF!</v>
      </c>
      <c r="I135" t="e">
        <f>IF(#REF!,"AAAAAFv/dQg=",0)</f>
        <v>#REF!</v>
      </c>
      <c r="J135" t="e">
        <f>IF(#REF!,"AAAAAFv/dQk=",0)</f>
        <v>#REF!</v>
      </c>
      <c r="K135" t="e">
        <f>IF(#REF!,"AAAAAFv/dQo=",0)</f>
        <v>#REF!</v>
      </c>
      <c r="L135" t="e">
        <f>IF(#REF!,"AAAAAFv/dQs=",0)</f>
        <v>#REF!</v>
      </c>
      <c r="M135" t="e">
        <f>IF(#REF!,"AAAAAFv/dQw=",0)</f>
        <v>#REF!</v>
      </c>
      <c r="N135" t="e">
        <f>IF(#REF!,"AAAAAFv/dQ0=",0)</f>
        <v>#REF!</v>
      </c>
      <c r="O135" t="e">
        <f>IF(#REF!,"AAAAAFv/dQ4=",0)</f>
        <v>#REF!</v>
      </c>
      <c r="P135" t="e">
        <f>IF(#REF!,"AAAAAFv/dQ8=",0)</f>
        <v>#REF!</v>
      </c>
      <c r="Q135" t="e">
        <f>IF(#REF!,"AAAAAFv/dRA=",0)</f>
        <v>#REF!</v>
      </c>
      <c r="R135" t="e">
        <f>IF(#REF!,"AAAAAFv/dRE=",0)</f>
        <v>#REF!</v>
      </c>
      <c r="S135" t="e">
        <f>IF(#REF!,"AAAAAFv/dRI=",0)</f>
        <v>#REF!</v>
      </c>
      <c r="T135" t="e">
        <f>IF(#REF!,"AAAAAFv/dRM=",0)</f>
        <v>#REF!</v>
      </c>
      <c r="U135" t="e">
        <f>IF(#REF!,"AAAAAFv/dRQ=",0)</f>
        <v>#REF!</v>
      </c>
      <c r="V135" t="e">
        <f>IF(#REF!,"AAAAAFv/dRU=",0)</f>
        <v>#REF!</v>
      </c>
      <c r="W135" t="e">
        <f>IF(#REF!,"AAAAAFv/dRY=",0)</f>
        <v>#REF!</v>
      </c>
      <c r="X135" t="e">
        <f>IF(#REF!,"AAAAAFv/dRc=",0)</f>
        <v>#REF!</v>
      </c>
      <c r="Y135" t="e">
        <f>IF(#REF!,"AAAAAFv/dRg=",0)</f>
        <v>#REF!</v>
      </c>
      <c r="Z135" t="e">
        <f>AND(#REF!,"AAAAAFv/dRk=")</f>
        <v>#REF!</v>
      </c>
      <c r="AA135" t="e">
        <f>AND(#REF!,"AAAAAFv/dRo=")</f>
        <v>#REF!</v>
      </c>
      <c r="AB135" t="e">
        <f>AND(#REF!,"AAAAAFv/dRs=")</f>
        <v>#REF!</v>
      </c>
      <c r="AC135" t="e">
        <f>AND(#REF!,"AAAAAFv/dRw=")</f>
        <v>#REF!</v>
      </c>
      <c r="AD135" t="e">
        <f>AND(#REF!,"AAAAAFv/dR0=")</f>
        <v>#REF!</v>
      </c>
      <c r="AE135" t="e">
        <f>AND(#REF!,"AAAAAFv/dR4=")</f>
        <v>#REF!</v>
      </c>
      <c r="AF135" t="e">
        <f>AND(#REF!,"AAAAAFv/dR8=")</f>
        <v>#REF!</v>
      </c>
      <c r="AG135" t="e">
        <f>AND(#REF!,"AAAAAFv/dSA=")</f>
        <v>#REF!</v>
      </c>
      <c r="AH135" t="e">
        <f>AND(#REF!,"AAAAAFv/dSE=")</f>
        <v>#REF!</v>
      </c>
      <c r="AI135" t="e">
        <f>AND(#REF!,"AAAAAFv/dSI=")</f>
        <v>#REF!</v>
      </c>
      <c r="AJ135" t="e">
        <f>AND(#REF!,"AAAAAFv/dSM=")</f>
        <v>#REF!</v>
      </c>
      <c r="AK135" t="e">
        <f>AND(#REF!,"AAAAAFv/dSQ=")</f>
        <v>#REF!</v>
      </c>
      <c r="AL135" t="e">
        <f>AND(#REF!,"AAAAAFv/dSU=")</f>
        <v>#REF!</v>
      </c>
      <c r="AM135" t="e">
        <f>AND(#REF!,"AAAAAFv/dSY=")</f>
        <v>#REF!</v>
      </c>
      <c r="AN135" t="e">
        <f>AND(#REF!,"AAAAAFv/dSc=")</f>
        <v>#REF!</v>
      </c>
      <c r="AO135" t="e">
        <f>AND(#REF!,"AAAAAFv/dSg=")</f>
        <v>#REF!</v>
      </c>
      <c r="AP135" t="e">
        <f>AND(#REF!,"AAAAAFv/dSk=")</f>
        <v>#REF!</v>
      </c>
      <c r="AQ135" t="e">
        <f>AND(#REF!,"AAAAAFv/dSo=")</f>
        <v>#REF!</v>
      </c>
      <c r="AR135" t="e">
        <f>AND(#REF!,"AAAAAFv/dSs=")</f>
        <v>#REF!</v>
      </c>
      <c r="AS135" t="e">
        <f>AND(#REF!,"AAAAAFv/dSw=")</f>
        <v>#REF!</v>
      </c>
      <c r="AT135" t="e">
        <f>AND(#REF!,"AAAAAFv/dS0=")</f>
        <v>#REF!</v>
      </c>
      <c r="AU135" t="e">
        <f>AND(#REF!,"AAAAAFv/dS4=")</f>
        <v>#REF!</v>
      </c>
      <c r="AV135" t="e">
        <f>AND(#REF!,"AAAAAFv/dS8=")</f>
        <v>#REF!</v>
      </c>
      <c r="AW135" t="e">
        <f>AND(#REF!,"AAAAAFv/dTA=")</f>
        <v>#REF!</v>
      </c>
      <c r="AX135" t="e">
        <f>IF(#REF!,"AAAAAFv/dTE=",0)</f>
        <v>#REF!</v>
      </c>
      <c r="AY135" t="e">
        <f>AND(#REF!,"AAAAAFv/dTI=")</f>
        <v>#REF!</v>
      </c>
      <c r="AZ135" t="e">
        <f>AND(#REF!,"AAAAAFv/dTM=")</f>
        <v>#REF!</v>
      </c>
      <c r="BA135" t="e">
        <f>AND(#REF!,"AAAAAFv/dTQ=")</f>
        <v>#REF!</v>
      </c>
      <c r="BB135" t="e">
        <f>AND(#REF!,"AAAAAFv/dTU=")</f>
        <v>#REF!</v>
      </c>
      <c r="BC135" t="e">
        <f>AND(#REF!,"AAAAAFv/dTY=")</f>
        <v>#REF!</v>
      </c>
      <c r="BD135" t="e">
        <f>AND(#REF!,"AAAAAFv/dTc=")</f>
        <v>#REF!</v>
      </c>
      <c r="BE135" t="e">
        <f>AND(#REF!,"AAAAAFv/dTg=")</f>
        <v>#REF!</v>
      </c>
      <c r="BF135" t="e">
        <f>AND(#REF!,"AAAAAFv/dTk=")</f>
        <v>#REF!</v>
      </c>
      <c r="BG135" t="e">
        <f>AND(#REF!,"AAAAAFv/dTo=")</f>
        <v>#REF!</v>
      </c>
      <c r="BH135" t="e">
        <f>AND(#REF!,"AAAAAFv/dTs=")</f>
        <v>#REF!</v>
      </c>
      <c r="BI135" t="e">
        <f>AND(#REF!,"AAAAAFv/dTw=")</f>
        <v>#REF!</v>
      </c>
      <c r="BJ135" t="e">
        <f>AND(#REF!,"AAAAAFv/dT0=")</f>
        <v>#REF!</v>
      </c>
      <c r="BK135" t="e">
        <f>AND(#REF!,"AAAAAFv/dT4=")</f>
        <v>#REF!</v>
      </c>
      <c r="BL135" t="e">
        <f>AND(#REF!,"AAAAAFv/dT8=")</f>
        <v>#REF!</v>
      </c>
      <c r="BM135" t="e">
        <f>AND(#REF!,"AAAAAFv/dUA=")</f>
        <v>#REF!</v>
      </c>
      <c r="BN135" t="e">
        <f>AND(#REF!,"AAAAAFv/dUE=")</f>
        <v>#REF!</v>
      </c>
      <c r="BO135" t="e">
        <f>AND(#REF!,"AAAAAFv/dUI=")</f>
        <v>#REF!</v>
      </c>
      <c r="BP135" t="e">
        <f>AND(#REF!,"AAAAAFv/dUM=")</f>
        <v>#REF!</v>
      </c>
      <c r="BQ135" t="e">
        <f>AND(#REF!,"AAAAAFv/dUQ=")</f>
        <v>#REF!</v>
      </c>
      <c r="BR135" t="e">
        <f>AND(#REF!,"AAAAAFv/dUU=")</f>
        <v>#REF!</v>
      </c>
      <c r="BS135" t="e">
        <f>AND(#REF!,"AAAAAFv/dUY=")</f>
        <v>#REF!</v>
      </c>
      <c r="BT135" t="e">
        <f>AND(#REF!,"AAAAAFv/dUc=")</f>
        <v>#REF!</v>
      </c>
      <c r="BU135" t="e">
        <f>AND(#REF!,"AAAAAFv/dUg=")</f>
        <v>#REF!</v>
      </c>
      <c r="BV135" t="e">
        <f>AND(#REF!,"AAAAAFv/dUk=")</f>
        <v>#REF!</v>
      </c>
      <c r="BW135" t="e">
        <f>IF(#REF!,"AAAAAFv/dUo=",0)</f>
        <v>#REF!</v>
      </c>
      <c r="BX135" t="e">
        <f>AND(#REF!,"AAAAAFv/dUs=")</f>
        <v>#REF!</v>
      </c>
      <c r="BY135" t="e">
        <f>AND(#REF!,"AAAAAFv/dUw=")</f>
        <v>#REF!</v>
      </c>
      <c r="BZ135" t="e">
        <f>AND(#REF!,"AAAAAFv/dU0=")</f>
        <v>#REF!</v>
      </c>
      <c r="CA135" t="e">
        <f>AND(#REF!,"AAAAAFv/dU4=")</f>
        <v>#REF!</v>
      </c>
      <c r="CB135" t="e">
        <f>AND(#REF!,"AAAAAFv/dU8=")</f>
        <v>#REF!</v>
      </c>
      <c r="CC135" t="e">
        <f>AND(#REF!,"AAAAAFv/dVA=")</f>
        <v>#REF!</v>
      </c>
      <c r="CD135" t="e">
        <f>AND(#REF!,"AAAAAFv/dVE=")</f>
        <v>#REF!</v>
      </c>
      <c r="CE135" t="e">
        <f>AND(#REF!,"AAAAAFv/dVI=")</f>
        <v>#REF!</v>
      </c>
      <c r="CF135" t="e">
        <f>AND(#REF!,"AAAAAFv/dVM=")</f>
        <v>#REF!</v>
      </c>
      <c r="CG135" t="e">
        <f>AND(#REF!,"AAAAAFv/dVQ=")</f>
        <v>#REF!</v>
      </c>
      <c r="CH135" t="e">
        <f>AND(#REF!,"AAAAAFv/dVU=")</f>
        <v>#REF!</v>
      </c>
      <c r="CI135" t="e">
        <f>AND(#REF!,"AAAAAFv/dVY=")</f>
        <v>#REF!</v>
      </c>
      <c r="CJ135" t="e">
        <f>AND(#REF!,"AAAAAFv/dVc=")</f>
        <v>#REF!</v>
      </c>
      <c r="CK135" t="e">
        <f>AND(#REF!,"AAAAAFv/dVg=")</f>
        <v>#REF!</v>
      </c>
      <c r="CL135" t="e">
        <f>AND(#REF!,"AAAAAFv/dVk=")</f>
        <v>#REF!</v>
      </c>
      <c r="CM135" t="e">
        <f>AND(#REF!,"AAAAAFv/dVo=")</f>
        <v>#REF!</v>
      </c>
      <c r="CN135" t="e">
        <f>AND(#REF!,"AAAAAFv/dVs=")</f>
        <v>#REF!</v>
      </c>
      <c r="CO135" t="e">
        <f>AND(#REF!,"AAAAAFv/dVw=")</f>
        <v>#REF!</v>
      </c>
      <c r="CP135" t="e">
        <f>AND(#REF!,"AAAAAFv/dV0=")</f>
        <v>#REF!</v>
      </c>
      <c r="CQ135" t="e">
        <f>AND(#REF!,"AAAAAFv/dV4=")</f>
        <v>#REF!</v>
      </c>
      <c r="CR135" t="e">
        <f>AND(#REF!,"AAAAAFv/dV8=")</f>
        <v>#REF!</v>
      </c>
      <c r="CS135" t="e">
        <f>AND(#REF!,"AAAAAFv/dWA=")</f>
        <v>#REF!</v>
      </c>
      <c r="CT135" t="e">
        <f>AND(#REF!,"AAAAAFv/dWE=")</f>
        <v>#REF!</v>
      </c>
      <c r="CU135" t="e">
        <f>AND(#REF!,"AAAAAFv/dWI=")</f>
        <v>#REF!</v>
      </c>
      <c r="CV135" t="e">
        <f>IF(#REF!,"AAAAAFv/dWM=",0)</f>
        <v>#REF!</v>
      </c>
      <c r="CW135" t="e">
        <f>AND(#REF!,"AAAAAFv/dWQ=")</f>
        <v>#REF!</v>
      </c>
      <c r="CX135" t="e">
        <f>AND(#REF!,"AAAAAFv/dWU=")</f>
        <v>#REF!</v>
      </c>
      <c r="CY135" t="e">
        <f>AND(#REF!,"AAAAAFv/dWY=")</f>
        <v>#REF!</v>
      </c>
      <c r="CZ135" t="e">
        <f>AND(#REF!,"AAAAAFv/dWc=")</f>
        <v>#REF!</v>
      </c>
      <c r="DA135" t="e">
        <f>AND(#REF!,"AAAAAFv/dWg=")</f>
        <v>#REF!</v>
      </c>
      <c r="DB135" t="e">
        <f>AND(#REF!,"AAAAAFv/dWk=")</f>
        <v>#REF!</v>
      </c>
      <c r="DC135" t="e">
        <f>AND(#REF!,"AAAAAFv/dWo=")</f>
        <v>#REF!</v>
      </c>
      <c r="DD135" t="e">
        <f>AND(#REF!,"AAAAAFv/dWs=")</f>
        <v>#REF!</v>
      </c>
      <c r="DE135" t="e">
        <f>AND(#REF!,"AAAAAFv/dWw=")</f>
        <v>#REF!</v>
      </c>
      <c r="DF135" t="e">
        <f>AND(#REF!,"AAAAAFv/dW0=")</f>
        <v>#REF!</v>
      </c>
      <c r="DG135" t="e">
        <f>AND(#REF!,"AAAAAFv/dW4=")</f>
        <v>#REF!</v>
      </c>
      <c r="DH135" t="e">
        <f>AND(#REF!,"AAAAAFv/dW8=")</f>
        <v>#REF!</v>
      </c>
      <c r="DI135" t="e">
        <f>AND(#REF!,"AAAAAFv/dXA=")</f>
        <v>#REF!</v>
      </c>
      <c r="DJ135" t="e">
        <f>AND(#REF!,"AAAAAFv/dXE=")</f>
        <v>#REF!</v>
      </c>
      <c r="DK135" t="e">
        <f>AND(#REF!,"AAAAAFv/dXI=")</f>
        <v>#REF!</v>
      </c>
      <c r="DL135" t="e">
        <f>AND(#REF!,"AAAAAFv/dXM=")</f>
        <v>#REF!</v>
      </c>
      <c r="DM135" t="e">
        <f>AND(#REF!,"AAAAAFv/dXQ=")</f>
        <v>#REF!</v>
      </c>
      <c r="DN135" t="e">
        <f>AND(#REF!,"AAAAAFv/dXU=")</f>
        <v>#REF!</v>
      </c>
      <c r="DO135" t="e">
        <f>AND(#REF!,"AAAAAFv/dXY=")</f>
        <v>#REF!</v>
      </c>
      <c r="DP135" t="e">
        <f>AND(#REF!,"AAAAAFv/dXc=")</f>
        <v>#REF!</v>
      </c>
      <c r="DQ135" t="e">
        <f>AND(#REF!,"AAAAAFv/dXg=")</f>
        <v>#REF!</v>
      </c>
      <c r="DR135" t="e">
        <f>AND(#REF!,"AAAAAFv/dXk=")</f>
        <v>#REF!</v>
      </c>
      <c r="DS135" t="e">
        <f>AND(#REF!,"AAAAAFv/dXo=")</f>
        <v>#REF!</v>
      </c>
      <c r="DT135" t="e">
        <f>AND(#REF!,"AAAAAFv/dXs=")</f>
        <v>#REF!</v>
      </c>
      <c r="DU135" t="e">
        <f>IF(#REF!,"AAAAAFv/dXw=",0)</f>
        <v>#REF!</v>
      </c>
      <c r="DV135" t="e">
        <f>AND(#REF!,"AAAAAFv/dX0=")</f>
        <v>#REF!</v>
      </c>
      <c r="DW135" t="e">
        <f>AND(#REF!,"AAAAAFv/dX4=")</f>
        <v>#REF!</v>
      </c>
      <c r="DX135" t="e">
        <f>AND(#REF!,"AAAAAFv/dX8=")</f>
        <v>#REF!</v>
      </c>
      <c r="DY135" t="e">
        <f>AND(#REF!,"AAAAAFv/dYA=")</f>
        <v>#REF!</v>
      </c>
      <c r="DZ135" t="e">
        <f>AND(#REF!,"AAAAAFv/dYE=")</f>
        <v>#REF!</v>
      </c>
      <c r="EA135" t="e">
        <f>AND(#REF!,"AAAAAFv/dYI=")</f>
        <v>#REF!</v>
      </c>
      <c r="EB135" t="e">
        <f>AND(#REF!,"AAAAAFv/dYM=")</f>
        <v>#REF!</v>
      </c>
      <c r="EC135" t="e">
        <f>AND(#REF!,"AAAAAFv/dYQ=")</f>
        <v>#REF!</v>
      </c>
      <c r="ED135" t="e">
        <f>AND(#REF!,"AAAAAFv/dYU=")</f>
        <v>#REF!</v>
      </c>
      <c r="EE135" t="e">
        <f>AND(#REF!,"AAAAAFv/dYY=")</f>
        <v>#REF!</v>
      </c>
      <c r="EF135" t="e">
        <f>AND(#REF!,"AAAAAFv/dYc=")</f>
        <v>#REF!</v>
      </c>
      <c r="EG135" t="e">
        <f>AND(#REF!,"AAAAAFv/dYg=")</f>
        <v>#REF!</v>
      </c>
      <c r="EH135" t="e">
        <f>AND(#REF!,"AAAAAFv/dYk=")</f>
        <v>#REF!</v>
      </c>
      <c r="EI135" t="e">
        <f>AND(#REF!,"AAAAAFv/dYo=")</f>
        <v>#REF!</v>
      </c>
      <c r="EJ135" t="e">
        <f>AND(#REF!,"AAAAAFv/dYs=")</f>
        <v>#REF!</v>
      </c>
      <c r="EK135" t="e">
        <f>AND(#REF!,"AAAAAFv/dYw=")</f>
        <v>#REF!</v>
      </c>
      <c r="EL135" t="e">
        <f>AND(#REF!,"AAAAAFv/dY0=")</f>
        <v>#REF!</v>
      </c>
      <c r="EM135" t="e">
        <f>AND(#REF!,"AAAAAFv/dY4=")</f>
        <v>#REF!</v>
      </c>
      <c r="EN135" t="e">
        <f>AND(#REF!,"AAAAAFv/dY8=")</f>
        <v>#REF!</v>
      </c>
      <c r="EO135" t="e">
        <f>AND(#REF!,"AAAAAFv/dZA=")</f>
        <v>#REF!</v>
      </c>
      <c r="EP135" t="e">
        <f>AND(#REF!,"AAAAAFv/dZE=")</f>
        <v>#REF!</v>
      </c>
      <c r="EQ135" t="e">
        <f>AND(#REF!,"AAAAAFv/dZI=")</f>
        <v>#REF!</v>
      </c>
      <c r="ER135" t="e">
        <f>AND(#REF!,"AAAAAFv/dZM=")</f>
        <v>#REF!</v>
      </c>
      <c r="ES135" t="e">
        <f>AND(#REF!,"AAAAAFv/dZQ=")</f>
        <v>#REF!</v>
      </c>
      <c r="ET135" t="e">
        <f>IF(#REF!,"AAAAAFv/dZU=",0)</f>
        <v>#REF!</v>
      </c>
      <c r="EU135" t="e">
        <f>AND(#REF!,"AAAAAFv/dZY=")</f>
        <v>#REF!</v>
      </c>
      <c r="EV135" t="e">
        <f>AND(#REF!,"AAAAAFv/dZc=")</f>
        <v>#REF!</v>
      </c>
      <c r="EW135" t="e">
        <f>AND(#REF!,"AAAAAFv/dZg=")</f>
        <v>#REF!</v>
      </c>
      <c r="EX135" t="e">
        <f>AND(#REF!,"AAAAAFv/dZk=")</f>
        <v>#REF!</v>
      </c>
      <c r="EY135" t="e">
        <f>AND(#REF!,"AAAAAFv/dZo=")</f>
        <v>#REF!</v>
      </c>
      <c r="EZ135" t="e">
        <f>AND(#REF!,"AAAAAFv/dZs=")</f>
        <v>#REF!</v>
      </c>
      <c r="FA135" t="e">
        <f>AND(#REF!,"AAAAAFv/dZw=")</f>
        <v>#REF!</v>
      </c>
      <c r="FB135" t="e">
        <f>AND(#REF!,"AAAAAFv/dZ0=")</f>
        <v>#REF!</v>
      </c>
      <c r="FC135" t="e">
        <f>AND(#REF!,"AAAAAFv/dZ4=")</f>
        <v>#REF!</v>
      </c>
      <c r="FD135" t="e">
        <f>AND(#REF!,"AAAAAFv/dZ8=")</f>
        <v>#REF!</v>
      </c>
      <c r="FE135" t="e">
        <f>AND(#REF!,"AAAAAFv/daA=")</f>
        <v>#REF!</v>
      </c>
      <c r="FF135" t="e">
        <f>AND(#REF!,"AAAAAFv/daE=")</f>
        <v>#REF!</v>
      </c>
      <c r="FG135" t="e">
        <f>AND(#REF!,"AAAAAFv/daI=")</f>
        <v>#REF!</v>
      </c>
      <c r="FH135" t="e">
        <f>AND(#REF!,"AAAAAFv/daM=")</f>
        <v>#REF!</v>
      </c>
      <c r="FI135" t="e">
        <f>AND(#REF!,"AAAAAFv/daQ=")</f>
        <v>#REF!</v>
      </c>
      <c r="FJ135" t="e">
        <f>AND(#REF!,"AAAAAFv/daU=")</f>
        <v>#REF!</v>
      </c>
      <c r="FK135" t="e">
        <f>AND(#REF!,"AAAAAFv/daY=")</f>
        <v>#REF!</v>
      </c>
      <c r="FL135" t="e">
        <f>AND(#REF!,"AAAAAFv/dac=")</f>
        <v>#REF!</v>
      </c>
      <c r="FM135" t="e">
        <f>AND(#REF!,"AAAAAFv/dag=")</f>
        <v>#REF!</v>
      </c>
      <c r="FN135" t="e">
        <f>AND(#REF!,"AAAAAFv/dak=")</f>
        <v>#REF!</v>
      </c>
      <c r="FO135" t="e">
        <f>AND(#REF!,"AAAAAFv/dao=")</f>
        <v>#REF!</v>
      </c>
      <c r="FP135" t="e">
        <f>AND(#REF!,"AAAAAFv/das=")</f>
        <v>#REF!</v>
      </c>
      <c r="FQ135" t="e">
        <f>AND(#REF!,"AAAAAFv/daw=")</f>
        <v>#REF!</v>
      </c>
      <c r="FR135" t="e">
        <f>AND(#REF!,"AAAAAFv/da0=")</f>
        <v>#REF!</v>
      </c>
      <c r="FS135" t="e">
        <f>IF(#REF!,"AAAAAFv/da4=",0)</f>
        <v>#REF!</v>
      </c>
      <c r="FT135" t="e">
        <f>AND(#REF!,"AAAAAFv/da8=")</f>
        <v>#REF!</v>
      </c>
      <c r="FU135" t="e">
        <f>AND(#REF!,"AAAAAFv/dbA=")</f>
        <v>#REF!</v>
      </c>
      <c r="FV135" t="e">
        <f>AND(#REF!,"AAAAAFv/dbE=")</f>
        <v>#REF!</v>
      </c>
      <c r="FW135" t="e">
        <f>AND(#REF!,"AAAAAFv/dbI=")</f>
        <v>#REF!</v>
      </c>
      <c r="FX135" t="e">
        <f>AND(#REF!,"AAAAAFv/dbM=")</f>
        <v>#REF!</v>
      </c>
      <c r="FY135" t="e">
        <f>AND(#REF!,"AAAAAFv/dbQ=")</f>
        <v>#REF!</v>
      </c>
      <c r="FZ135" t="e">
        <f>AND(#REF!,"AAAAAFv/dbU=")</f>
        <v>#REF!</v>
      </c>
      <c r="GA135" t="e">
        <f>AND(#REF!,"AAAAAFv/dbY=")</f>
        <v>#REF!</v>
      </c>
      <c r="GB135" t="e">
        <f>AND(#REF!,"AAAAAFv/dbc=")</f>
        <v>#REF!</v>
      </c>
      <c r="GC135" t="e">
        <f>AND(#REF!,"AAAAAFv/dbg=")</f>
        <v>#REF!</v>
      </c>
      <c r="GD135" t="e">
        <f>AND(#REF!,"AAAAAFv/dbk=")</f>
        <v>#REF!</v>
      </c>
      <c r="GE135" t="e">
        <f>AND(#REF!,"AAAAAFv/dbo=")</f>
        <v>#REF!</v>
      </c>
      <c r="GF135" t="e">
        <f>AND(#REF!,"AAAAAFv/dbs=")</f>
        <v>#REF!</v>
      </c>
      <c r="GG135" t="e">
        <f>AND(#REF!,"AAAAAFv/dbw=")</f>
        <v>#REF!</v>
      </c>
      <c r="GH135" t="e">
        <f>AND(#REF!,"AAAAAFv/db0=")</f>
        <v>#REF!</v>
      </c>
      <c r="GI135" t="e">
        <f>AND(#REF!,"AAAAAFv/db4=")</f>
        <v>#REF!</v>
      </c>
      <c r="GJ135" t="e">
        <f>AND(#REF!,"AAAAAFv/db8=")</f>
        <v>#REF!</v>
      </c>
      <c r="GK135" t="e">
        <f>AND(#REF!,"AAAAAFv/dcA=")</f>
        <v>#REF!</v>
      </c>
      <c r="GL135" t="e">
        <f>AND(#REF!,"AAAAAFv/dcE=")</f>
        <v>#REF!</v>
      </c>
      <c r="GM135" t="e">
        <f>AND(#REF!,"AAAAAFv/dcI=")</f>
        <v>#REF!</v>
      </c>
      <c r="GN135" t="e">
        <f>AND(#REF!,"AAAAAFv/dcM=")</f>
        <v>#REF!</v>
      </c>
      <c r="GO135" t="e">
        <f>AND(#REF!,"AAAAAFv/dcQ=")</f>
        <v>#REF!</v>
      </c>
      <c r="GP135" t="e">
        <f>AND(#REF!,"AAAAAFv/dcU=")</f>
        <v>#REF!</v>
      </c>
      <c r="GQ135" t="e">
        <f>AND(#REF!,"AAAAAFv/dcY=")</f>
        <v>#REF!</v>
      </c>
      <c r="GR135" t="e">
        <f>IF(#REF!,"AAAAAFv/dcc=",0)</f>
        <v>#REF!</v>
      </c>
      <c r="GS135" t="e">
        <f>AND(#REF!,"AAAAAFv/dcg=")</f>
        <v>#REF!</v>
      </c>
      <c r="GT135" t="e">
        <f>AND(#REF!,"AAAAAFv/dck=")</f>
        <v>#REF!</v>
      </c>
      <c r="GU135" t="e">
        <f>AND(#REF!,"AAAAAFv/dco=")</f>
        <v>#REF!</v>
      </c>
      <c r="GV135" t="e">
        <f>AND(#REF!,"AAAAAFv/dcs=")</f>
        <v>#REF!</v>
      </c>
      <c r="GW135" t="e">
        <f>AND(#REF!,"AAAAAFv/dcw=")</f>
        <v>#REF!</v>
      </c>
      <c r="GX135" t="e">
        <f>AND(#REF!,"AAAAAFv/dc0=")</f>
        <v>#REF!</v>
      </c>
      <c r="GY135" t="e">
        <f>AND(#REF!,"AAAAAFv/dc4=")</f>
        <v>#REF!</v>
      </c>
      <c r="GZ135" t="e">
        <f>AND(#REF!,"AAAAAFv/dc8=")</f>
        <v>#REF!</v>
      </c>
      <c r="HA135" t="e">
        <f>AND(#REF!,"AAAAAFv/ddA=")</f>
        <v>#REF!</v>
      </c>
      <c r="HB135" t="e">
        <f>AND(#REF!,"AAAAAFv/ddE=")</f>
        <v>#REF!</v>
      </c>
      <c r="HC135" t="e">
        <f>AND(#REF!,"AAAAAFv/ddI=")</f>
        <v>#REF!</v>
      </c>
      <c r="HD135" t="e">
        <f>AND(#REF!,"AAAAAFv/ddM=")</f>
        <v>#REF!</v>
      </c>
      <c r="HE135" t="e">
        <f>AND(#REF!,"AAAAAFv/ddQ=")</f>
        <v>#REF!</v>
      </c>
      <c r="HF135" t="e">
        <f>AND(#REF!,"AAAAAFv/ddU=")</f>
        <v>#REF!</v>
      </c>
      <c r="HG135" t="e">
        <f>AND(#REF!,"AAAAAFv/ddY=")</f>
        <v>#REF!</v>
      </c>
      <c r="HH135" t="e">
        <f>AND(#REF!,"AAAAAFv/ddc=")</f>
        <v>#REF!</v>
      </c>
      <c r="HI135" t="e">
        <f>AND(#REF!,"AAAAAFv/ddg=")</f>
        <v>#REF!</v>
      </c>
      <c r="HJ135" t="e">
        <f>AND(#REF!,"AAAAAFv/ddk=")</f>
        <v>#REF!</v>
      </c>
      <c r="HK135" t="e">
        <f>AND(#REF!,"AAAAAFv/ddo=")</f>
        <v>#REF!</v>
      </c>
      <c r="HL135" t="e">
        <f>AND(#REF!,"AAAAAFv/dds=")</f>
        <v>#REF!</v>
      </c>
      <c r="HM135" t="e">
        <f>AND(#REF!,"AAAAAFv/ddw=")</f>
        <v>#REF!</v>
      </c>
      <c r="HN135" t="e">
        <f>AND(#REF!,"AAAAAFv/dd0=")</f>
        <v>#REF!</v>
      </c>
      <c r="HO135" t="e">
        <f>AND(#REF!,"AAAAAFv/dd4=")</f>
        <v>#REF!</v>
      </c>
      <c r="HP135" t="e">
        <f>AND(#REF!,"AAAAAFv/dd8=")</f>
        <v>#REF!</v>
      </c>
      <c r="HQ135" t="e">
        <f>IF(#REF!,"AAAAAFv/deA=",0)</f>
        <v>#REF!</v>
      </c>
      <c r="HR135" t="e">
        <f>AND(#REF!,"AAAAAFv/deE=")</f>
        <v>#REF!</v>
      </c>
      <c r="HS135" t="e">
        <f>AND(#REF!,"AAAAAFv/deI=")</f>
        <v>#REF!</v>
      </c>
      <c r="HT135" t="e">
        <f>AND(#REF!,"AAAAAFv/deM=")</f>
        <v>#REF!</v>
      </c>
      <c r="HU135" t="e">
        <f>AND(#REF!,"AAAAAFv/deQ=")</f>
        <v>#REF!</v>
      </c>
      <c r="HV135" t="e">
        <f>AND(#REF!,"AAAAAFv/deU=")</f>
        <v>#REF!</v>
      </c>
      <c r="HW135" t="e">
        <f>AND(#REF!,"AAAAAFv/deY=")</f>
        <v>#REF!</v>
      </c>
      <c r="HX135" t="e">
        <f>AND(#REF!,"AAAAAFv/dec=")</f>
        <v>#REF!</v>
      </c>
      <c r="HY135" t="e">
        <f>AND(#REF!,"AAAAAFv/deg=")</f>
        <v>#REF!</v>
      </c>
      <c r="HZ135" t="e">
        <f>AND(#REF!,"AAAAAFv/dek=")</f>
        <v>#REF!</v>
      </c>
      <c r="IA135" t="e">
        <f>AND(#REF!,"AAAAAFv/deo=")</f>
        <v>#REF!</v>
      </c>
      <c r="IB135" t="e">
        <f>AND(#REF!,"AAAAAFv/des=")</f>
        <v>#REF!</v>
      </c>
      <c r="IC135" t="e">
        <f>AND(#REF!,"AAAAAFv/dew=")</f>
        <v>#REF!</v>
      </c>
      <c r="ID135" t="e">
        <f>AND(#REF!,"AAAAAFv/de0=")</f>
        <v>#REF!</v>
      </c>
      <c r="IE135" t="e">
        <f>AND(#REF!,"AAAAAFv/de4=")</f>
        <v>#REF!</v>
      </c>
      <c r="IF135" t="e">
        <f>AND(#REF!,"AAAAAFv/de8=")</f>
        <v>#REF!</v>
      </c>
      <c r="IG135" t="e">
        <f>AND(#REF!,"AAAAAFv/dfA=")</f>
        <v>#REF!</v>
      </c>
      <c r="IH135" t="e">
        <f>AND(#REF!,"AAAAAFv/dfE=")</f>
        <v>#REF!</v>
      </c>
      <c r="II135" t="e">
        <f>AND(#REF!,"AAAAAFv/dfI=")</f>
        <v>#REF!</v>
      </c>
      <c r="IJ135" t="e">
        <f>AND(#REF!,"AAAAAFv/dfM=")</f>
        <v>#REF!</v>
      </c>
      <c r="IK135" t="e">
        <f>AND(#REF!,"AAAAAFv/dfQ=")</f>
        <v>#REF!</v>
      </c>
      <c r="IL135" t="e">
        <f>AND(#REF!,"AAAAAFv/dfU=")</f>
        <v>#REF!</v>
      </c>
      <c r="IM135" t="e">
        <f>AND(#REF!,"AAAAAFv/dfY=")</f>
        <v>#REF!</v>
      </c>
      <c r="IN135" t="e">
        <f>AND(#REF!,"AAAAAFv/dfc=")</f>
        <v>#REF!</v>
      </c>
      <c r="IO135" t="e">
        <f>AND(#REF!,"AAAAAFv/dfg=")</f>
        <v>#REF!</v>
      </c>
      <c r="IP135" t="e">
        <f>IF(#REF!,"AAAAAFv/dfk=",0)</f>
        <v>#REF!</v>
      </c>
      <c r="IQ135" t="e">
        <f>IF(#REF!,"AAAAAFv/dfo=",0)</f>
        <v>#REF!</v>
      </c>
      <c r="IR135" t="e">
        <f>IF(#REF!,"AAAAAFv/dfs=",0)</f>
        <v>#REF!</v>
      </c>
      <c r="IS135" t="e">
        <f>IF(#REF!,"AAAAAFv/dfw=",0)</f>
        <v>#REF!</v>
      </c>
      <c r="IT135" t="e">
        <f>IF(#REF!,"AAAAAFv/df0=",0)</f>
        <v>#REF!</v>
      </c>
      <c r="IU135" t="e">
        <f>IF(#REF!,"AAAAAFv/df4=",0)</f>
        <v>#REF!</v>
      </c>
      <c r="IV135" t="e">
        <f>IF(#REF!,"AAAAAFv/df8=",0)</f>
        <v>#REF!</v>
      </c>
    </row>
    <row r="136" spans="1:256" x14ac:dyDescent="0.25">
      <c r="A136" t="e">
        <f>IF(#REF!,"AAAAAC3/qwA=",0)</f>
        <v>#REF!</v>
      </c>
      <c r="B136" t="e">
        <f>IF(#REF!,"AAAAAC3/qwE=",0)</f>
        <v>#REF!</v>
      </c>
      <c r="C136" t="e">
        <f>IF(#REF!,"AAAAAC3/qwI=",0)</f>
        <v>#REF!</v>
      </c>
      <c r="D136" t="e">
        <f>IF(#REF!,"AAAAAC3/qwM=",0)</f>
        <v>#REF!</v>
      </c>
      <c r="E136" t="e">
        <f>IF(#REF!,"AAAAAC3/qwQ=",0)</f>
        <v>#REF!</v>
      </c>
      <c r="F136" t="e">
        <f>IF(#REF!,"AAAAAC3/qwU=",0)</f>
        <v>#REF!</v>
      </c>
      <c r="G136" t="e">
        <f>IF(#REF!,"AAAAAC3/qwY=",0)</f>
        <v>#REF!</v>
      </c>
      <c r="H136" t="e">
        <f>IF(#REF!,"AAAAAC3/qwc=",0)</f>
        <v>#REF!</v>
      </c>
      <c r="I136" t="e">
        <f>IF(#REF!,"AAAAAC3/qwg=",0)</f>
        <v>#REF!</v>
      </c>
      <c r="J136" t="e">
        <f>IF(#REF!,"AAAAAC3/qwk=",0)</f>
        <v>#REF!</v>
      </c>
      <c r="K136" t="e">
        <f>IF(#REF!,"AAAAAC3/qwo=",0)</f>
        <v>#REF!</v>
      </c>
      <c r="L136" t="e">
        <f>IF(#REF!,"AAAAAC3/qws=",0)</f>
        <v>#REF!</v>
      </c>
      <c r="M136" t="e">
        <f>IF(#REF!,"AAAAAC3/qww=",0)</f>
        <v>#REF!</v>
      </c>
      <c r="N136" t="e">
        <f>IF(#REF!,"AAAAAC3/qw0=",0)</f>
        <v>#REF!</v>
      </c>
      <c r="O136" t="e">
        <f>IF(#REF!,"AAAAAC3/qw4=",0)</f>
        <v>#REF!</v>
      </c>
      <c r="P136" t="e">
        <f>IF(#REF!,"AAAAAC3/qw8=",0)</f>
        <v>#REF!</v>
      </c>
      <c r="Q136" t="e">
        <f>IF(#REF!,"AAAAAC3/qxA=",0)</f>
        <v>#REF!</v>
      </c>
      <c r="R136" t="e">
        <f>IF(#REF!,"AAAAAC3/qxE=",0)</f>
        <v>#REF!</v>
      </c>
      <c r="S136" t="e">
        <f>IF(#REF!,"AAAAAC3/qxI=",0)</f>
        <v>#REF!</v>
      </c>
      <c r="T136" t="e">
        <f>IF(#REF!,"AAAAAC3/qxM=",0)</f>
        <v>#REF!</v>
      </c>
      <c r="U136" t="e">
        <f>IF(#REF!,"AAAAAC3/qxQ=",0)</f>
        <v>#REF!</v>
      </c>
      <c r="V136" t="e">
        <f>IF(#REF!,"AAAAAC3/qxU=",0)</f>
        <v>#REF!</v>
      </c>
      <c r="W136" t="e">
        <f>IF(#REF!,"AAAAAC3/qxY=",0)</f>
        <v>#REF!</v>
      </c>
      <c r="X136" t="e">
        <f>IF(#REF!,"AAAAAC3/qxc=",0)</f>
        <v>#REF!</v>
      </c>
      <c r="Y136" t="e">
        <f>IF(#REF!,"AAAAAC3/qxg=",0)</f>
        <v>#REF!</v>
      </c>
      <c r="Z136" t="e">
        <f>IF(#REF!,"AAAAAC3/qxk=",0)</f>
        <v>#REF!</v>
      </c>
      <c r="AA136" t="e">
        <f>IF(#REF!,"AAAAAC3/qxo=",0)</f>
        <v>#REF!</v>
      </c>
      <c r="AB136" t="e">
        <f>IF(#REF!,"AAAAAC3/qxs=",0)</f>
        <v>#REF!</v>
      </c>
      <c r="AC136" t="e">
        <f>IF(#REF!,"AAAAAC3/qxw=",0)</f>
        <v>#REF!</v>
      </c>
      <c r="AD136" t="e">
        <f>IF(#REF!,"AAAAAC3/qx0=",0)</f>
        <v>#REF!</v>
      </c>
      <c r="AE136" t="e">
        <f>IF(#REF!,"AAAAAC3/qx4=",0)</f>
        <v>#REF!</v>
      </c>
      <c r="AF136" t="e">
        <f>IF(#REF!,"AAAAAC3/qx8=",0)</f>
        <v>#REF!</v>
      </c>
      <c r="AG136" t="e">
        <f>IF(#REF!,"AAAAAC3/qyA=",0)</f>
        <v>#REF!</v>
      </c>
      <c r="AH136" t="e">
        <f>IF(#REF!,"AAAAAC3/qyE=",0)</f>
        <v>#REF!</v>
      </c>
      <c r="AI136" t="e">
        <f>IF(#REF!,"AAAAAC3/qyI=",0)</f>
        <v>#REF!</v>
      </c>
      <c r="AJ136" t="e">
        <f>IF(#REF!,"AAAAAC3/qyM=",0)</f>
        <v>#REF!</v>
      </c>
      <c r="AK136" t="e">
        <f>IF(#REF!,"AAAAAC3/qyQ=",0)</f>
        <v>#REF!</v>
      </c>
      <c r="AL136" t="e">
        <f>IF(#REF!,"AAAAAC3/qyU=",0)</f>
        <v>#REF!</v>
      </c>
      <c r="AM136" t="e">
        <f>IF(#REF!,"AAAAAC3/qyY=",0)</f>
        <v>#REF!</v>
      </c>
      <c r="AN136" t="e">
        <f>IF(#REF!,"AAAAAC3/qyc=",0)</f>
        <v>#REF!</v>
      </c>
      <c r="AO136" t="e">
        <f>IF(#REF!,"AAAAAC3/qyg=",0)</f>
        <v>#REF!</v>
      </c>
      <c r="AP136" t="e">
        <f>IF(#REF!,"AAAAAC3/qyk=",0)</f>
        <v>#REF!</v>
      </c>
      <c r="AQ136" t="e">
        <f>AND(#REF!,"AAAAAC3/qyo=")</f>
        <v>#REF!</v>
      </c>
      <c r="AR136" t="e">
        <f>AND(#REF!,"AAAAAC3/qys=")</f>
        <v>#REF!</v>
      </c>
      <c r="AS136" t="e">
        <f>AND(#REF!,"AAAAAC3/qyw=")</f>
        <v>#REF!</v>
      </c>
      <c r="AT136" t="e">
        <f>AND(#REF!,"AAAAAC3/qy0=")</f>
        <v>#REF!</v>
      </c>
      <c r="AU136" t="e">
        <f>AND(#REF!,"AAAAAC3/qy4=")</f>
        <v>#REF!</v>
      </c>
      <c r="AV136" t="e">
        <f>AND(#REF!,"AAAAAC3/qy8=")</f>
        <v>#REF!</v>
      </c>
      <c r="AW136" t="e">
        <f>AND(#REF!,"AAAAAC3/qzA=")</f>
        <v>#REF!</v>
      </c>
      <c r="AX136" t="e">
        <f>AND(#REF!,"AAAAAC3/qzE=")</f>
        <v>#REF!</v>
      </c>
      <c r="AY136" t="e">
        <f>AND(#REF!,"AAAAAC3/qzI=")</f>
        <v>#REF!</v>
      </c>
      <c r="AZ136" t="e">
        <f>AND(#REF!,"AAAAAC3/qzM=")</f>
        <v>#REF!</v>
      </c>
      <c r="BA136" t="e">
        <f>AND(#REF!,"AAAAAC3/qzQ=")</f>
        <v>#REF!</v>
      </c>
      <c r="BB136" t="e">
        <f>AND(#REF!,"AAAAAC3/qzU=")</f>
        <v>#REF!</v>
      </c>
      <c r="BC136" t="e">
        <f>AND(#REF!,"AAAAAC3/qzY=")</f>
        <v>#REF!</v>
      </c>
      <c r="BD136" t="e">
        <f>AND(#REF!,"AAAAAC3/qzc=")</f>
        <v>#REF!</v>
      </c>
      <c r="BE136" t="e">
        <f>AND(#REF!,"AAAAAC3/qzg=")</f>
        <v>#REF!</v>
      </c>
      <c r="BF136" t="e">
        <f>AND(#REF!,"AAAAAC3/qzk=")</f>
        <v>#REF!</v>
      </c>
      <c r="BG136" t="e">
        <f>AND(#REF!,"AAAAAC3/qzo=")</f>
        <v>#REF!</v>
      </c>
      <c r="BH136" t="e">
        <f>AND(#REF!,"AAAAAC3/qzs=")</f>
        <v>#REF!</v>
      </c>
      <c r="BI136" t="e">
        <f>AND(#REF!,"AAAAAC3/qzw=")</f>
        <v>#REF!</v>
      </c>
      <c r="BJ136" t="e">
        <f>AND(#REF!,"AAAAAC3/qz0=")</f>
        <v>#REF!</v>
      </c>
      <c r="BK136" t="e">
        <f>AND(#REF!,"AAAAAC3/qz4=")</f>
        <v>#REF!</v>
      </c>
      <c r="BL136" t="e">
        <f>AND(#REF!,"AAAAAC3/qz8=")</f>
        <v>#REF!</v>
      </c>
      <c r="BM136" t="e">
        <f>AND(#REF!,"AAAAAC3/q0A=")</f>
        <v>#REF!</v>
      </c>
      <c r="BN136" t="e">
        <f>AND(#REF!,"AAAAAC3/q0E=")</f>
        <v>#REF!</v>
      </c>
      <c r="BO136" t="e">
        <f>IF(#REF!,"AAAAAC3/q0I=",0)</f>
        <v>#REF!</v>
      </c>
      <c r="BP136" t="e">
        <f>AND(#REF!,"AAAAAC3/q0M=")</f>
        <v>#REF!</v>
      </c>
      <c r="BQ136" t="e">
        <f>AND(#REF!,"AAAAAC3/q0Q=")</f>
        <v>#REF!</v>
      </c>
      <c r="BR136" t="e">
        <f>AND(#REF!,"AAAAAC3/q0U=")</f>
        <v>#REF!</v>
      </c>
      <c r="BS136" t="e">
        <f>AND(#REF!,"AAAAAC3/q0Y=")</f>
        <v>#REF!</v>
      </c>
      <c r="BT136" t="e">
        <f>AND(#REF!,"AAAAAC3/q0c=")</f>
        <v>#REF!</v>
      </c>
      <c r="BU136" t="e">
        <f>AND(#REF!,"AAAAAC3/q0g=")</f>
        <v>#REF!</v>
      </c>
      <c r="BV136" t="e">
        <f>AND(#REF!,"AAAAAC3/q0k=")</f>
        <v>#REF!</v>
      </c>
      <c r="BW136" t="e">
        <f>AND(#REF!,"AAAAAC3/q0o=")</f>
        <v>#REF!</v>
      </c>
      <c r="BX136" t="e">
        <f>AND(#REF!,"AAAAAC3/q0s=")</f>
        <v>#REF!</v>
      </c>
      <c r="BY136" t="e">
        <f>AND(#REF!,"AAAAAC3/q0w=")</f>
        <v>#REF!</v>
      </c>
      <c r="BZ136" t="e">
        <f>AND(#REF!,"AAAAAC3/q00=")</f>
        <v>#REF!</v>
      </c>
      <c r="CA136" t="e">
        <f>AND(#REF!,"AAAAAC3/q04=")</f>
        <v>#REF!</v>
      </c>
      <c r="CB136" t="e">
        <f>AND(#REF!,"AAAAAC3/q08=")</f>
        <v>#REF!</v>
      </c>
      <c r="CC136" t="e">
        <f>AND(#REF!,"AAAAAC3/q1A=")</f>
        <v>#REF!</v>
      </c>
      <c r="CD136" t="e">
        <f>AND(#REF!,"AAAAAC3/q1E=")</f>
        <v>#REF!</v>
      </c>
      <c r="CE136" t="e">
        <f>AND(#REF!,"AAAAAC3/q1I=")</f>
        <v>#REF!</v>
      </c>
      <c r="CF136" t="e">
        <f>AND(#REF!,"AAAAAC3/q1M=")</f>
        <v>#REF!</v>
      </c>
      <c r="CG136" t="e">
        <f>AND(#REF!,"AAAAAC3/q1Q=")</f>
        <v>#REF!</v>
      </c>
      <c r="CH136" t="e">
        <f>AND(#REF!,"AAAAAC3/q1U=")</f>
        <v>#REF!</v>
      </c>
      <c r="CI136" t="e">
        <f>AND(#REF!,"AAAAAC3/q1Y=")</f>
        <v>#REF!</v>
      </c>
      <c r="CJ136" t="e">
        <f>AND(#REF!,"AAAAAC3/q1c=")</f>
        <v>#REF!</v>
      </c>
      <c r="CK136" t="e">
        <f>AND(#REF!,"AAAAAC3/q1g=")</f>
        <v>#REF!</v>
      </c>
      <c r="CL136" t="e">
        <f>AND(#REF!,"AAAAAC3/q1k=")</f>
        <v>#REF!</v>
      </c>
      <c r="CM136" t="e">
        <f>AND(#REF!,"AAAAAC3/q1o=")</f>
        <v>#REF!</v>
      </c>
      <c r="CN136" t="e">
        <f>IF(#REF!,"AAAAAC3/q1s=",0)</f>
        <v>#REF!</v>
      </c>
      <c r="CO136" t="e">
        <f>AND(#REF!,"AAAAAC3/q1w=")</f>
        <v>#REF!</v>
      </c>
      <c r="CP136" t="e">
        <f>AND(#REF!,"AAAAAC3/q10=")</f>
        <v>#REF!</v>
      </c>
      <c r="CQ136" t="e">
        <f>AND(#REF!,"AAAAAC3/q14=")</f>
        <v>#REF!</v>
      </c>
      <c r="CR136" t="e">
        <f>AND(#REF!,"AAAAAC3/q18=")</f>
        <v>#REF!</v>
      </c>
      <c r="CS136" t="e">
        <f>AND(#REF!,"AAAAAC3/q2A=")</f>
        <v>#REF!</v>
      </c>
      <c r="CT136" t="e">
        <f>AND(#REF!,"AAAAAC3/q2E=")</f>
        <v>#REF!</v>
      </c>
      <c r="CU136" t="e">
        <f>AND(#REF!,"AAAAAC3/q2I=")</f>
        <v>#REF!</v>
      </c>
      <c r="CV136" t="e">
        <f>AND(#REF!,"AAAAAC3/q2M=")</f>
        <v>#REF!</v>
      </c>
      <c r="CW136" t="e">
        <f>AND(#REF!,"AAAAAC3/q2Q=")</f>
        <v>#REF!</v>
      </c>
      <c r="CX136" t="e">
        <f>AND(#REF!,"AAAAAC3/q2U=")</f>
        <v>#REF!</v>
      </c>
      <c r="CY136" t="e">
        <f>AND(#REF!,"AAAAAC3/q2Y=")</f>
        <v>#REF!</v>
      </c>
      <c r="CZ136" t="e">
        <f>AND(#REF!,"AAAAAC3/q2c=")</f>
        <v>#REF!</v>
      </c>
      <c r="DA136" t="e">
        <f>AND(#REF!,"AAAAAC3/q2g=")</f>
        <v>#REF!</v>
      </c>
      <c r="DB136" t="e">
        <f>AND(#REF!,"AAAAAC3/q2k=")</f>
        <v>#REF!</v>
      </c>
      <c r="DC136" t="e">
        <f>AND(#REF!,"AAAAAC3/q2o=")</f>
        <v>#REF!</v>
      </c>
      <c r="DD136" t="e">
        <f>AND(#REF!,"AAAAAC3/q2s=")</f>
        <v>#REF!</v>
      </c>
      <c r="DE136" t="e">
        <f>AND(#REF!,"AAAAAC3/q2w=")</f>
        <v>#REF!</v>
      </c>
      <c r="DF136" t="e">
        <f>AND(#REF!,"AAAAAC3/q20=")</f>
        <v>#REF!</v>
      </c>
      <c r="DG136" t="e">
        <f>AND(#REF!,"AAAAAC3/q24=")</f>
        <v>#REF!</v>
      </c>
      <c r="DH136" t="e">
        <f>AND(#REF!,"AAAAAC3/q28=")</f>
        <v>#REF!</v>
      </c>
      <c r="DI136" t="e">
        <f>AND(#REF!,"AAAAAC3/q3A=")</f>
        <v>#REF!</v>
      </c>
      <c r="DJ136" t="e">
        <f>AND(#REF!,"AAAAAC3/q3E=")</f>
        <v>#REF!</v>
      </c>
      <c r="DK136" t="e">
        <f>AND(#REF!,"AAAAAC3/q3I=")</f>
        <v>#REF!</v>
      </c>
      <c r="DL136" t="e">
        <f>AND(#REF!,"AAAAAC3/q3M=")</f>
        <v>#REF!</v>
      </c>
      <c r="DM136" t="e">
        <f>IF(#REF!,"AAAAAC3/q3Q=",0)</f>
        <v>#REF!</v>
      </c>
      <c r="DN136" t="e">
        <f>AND(#REF!,"AAAAAC3/q3U=")</f>
        <v>#REF!</v>
      </c>
      <c r="DO136" t="e">
        <f>AND(#REF!,"AAAAAC3/q3Y=")</f>
        <v>#REF!</v>
      </c>
      <c r="DP136" t="e">
        <f>AND(#REF!,"AAAAAC3/q3c=")</f>
        <v>#REF!</v>
      </c>
      <c r="DQ136" t="e">
        <f>AND(#REF!,"AAAAAC3/q3g=")</f>
        <v>#REF!</v>
      </c>
      <c r="DR136" t="e">
        <f>AND(#REF!,"AAAAAC3/q3k=")</f>
        <v>#REF!</v>
      </c>
      <c r="DS136" t="e">
        <f>AND(#REF!,"AAAAAC3/q3o=")</f>
        <v>#REF!</v>
      </c>
      <c r="DT136" t="e">
        <f>AND(#REF!,"AAAAAC3/q3s=")</f>
        <v>#REF!</v>
      </c>
      <c r="DU136" t="e">
        <f>AND(#REF!,"AAAAAC3/q3w=")</f>
        <v>#REF!</v>
      </c>
      <c r="DV136" t="e">
        <f>AND(#REF!,"AAAAAC3/q30=")</f>
        <v>#REF!</v>
      </c>
      <c r="DW136" t="e">
        <f>AND(#REF!,"AAAAAC3/q34=")</f>
        <v>#REF!</v>
      </c>
      <c r="DX136" t="e">
        <f>AND(#REF!,"AAAAAC3/q38=")</f>
        <v>#REF!</v>
      </c>
      <c r="DY136" t="e">
        <f>AND(#REF!,"AAAAAC3/q4A=")</f>
        <v>#REF!</v>
      </c>
      <c r="DZ136" t="e">
        <f>AND(#REF!,"AAAAAC3/q4E=")</f>
        <v>#REF!</v>
      </c>
      <c r="EA136" t="e">
        <f>AND(#REF!,"AAAAAC3/q4I=")</f>
        <v>#REF!</v>
      </c>
      <c r="EB136" t="e">
        <f>AND(#REF!,"AAAAAC3/q4M=")</f>
        <v>#REF!</v>
      </c>
      <c r="EC136" t="e">
        <f>AND(#REF!,"AAAAAC3/q4Q=")</f>
        <v>#REF!</v>
      </c>
      <c r="ED136" t="e">
        <f>AND(#REF!,"AAAAAC3/q4U=")</f>
        <v>#REF!</v>
      </c>
      <c r="EE136" t="e">
        <f>AND(#REF!,"AAAAAC3/q4Y=")</f>
        <v>#REF!</v>
      </c>
      <c r="EF136" t="e">
        <f>AND(#REF!,"AAAAAC3/q4c=")</f>
        <v>#REF!</v>
      </c>
      <c r="EG136" t="e">
        <f>AND(#REF!,"AAAAAC3/q4g=")</f>
        <v>#REF!</v>
      </c>
      <c r="EH136" t="e">
        <f>AND(#REF!,"AAAAAC3/q4k=")</f>
        <v>#REF!</v>
      </c>
      <c r="EI136" t="e">
        <f>AND(#REF!,"AAAAAC3/q4o=")</f>
        <v>#REF!</v>
      </c>
      <c r="EJ136" t="e">
        <f>AND(#REF!,"AAAAAC3/q4s=")</f>
        <v>#REF!</v>
      </c>
      <c r="EK136" t="e">
        <f>AND(#REF!,"AAAAAC3/q4w=")</f>
        <v>#REF!</v>
      </c>
      <c r="EL136" t="e">
        <f>IF(#REF!,"AAAAAC3/q40=",0)</f>
        <v>#REF!</v>
      </c>
      <c r="EM136" t="e">
        <f>AND(#REF!,"AAAAAC3/q44=")</f>
        <v>#REF!</v>
      </c>
      <c r="EN136" t="e">
        <f>AND(#REF!,"AAAAAC3/q48=")</f>
        <v>#REF!</v>
      </c>
      <c r="EO136" t="e">
        <f>AND(#REF!,"AAAAAC3/q5A=")</f>
        <v>#REF!</v>
      </c>
      <c r="EP136" t="e">
        <f>AND(#REF!,"AAAAAC3/q5E=")</f>
        <v>#REF!</v>
      </c>
      <c r="EQ136" t="e">
        <f>AND(#REF!,"AAAAAC3/q5I=")</f>
        <v>#REF!</v>
      </c>
      <c r="ER136" t="e">
        <f>AND(#REF!,"AAAAAC3/q5M=")</f>
        <v>#REF!</v>
      </c>
      <c r="ES136" t="e">
        <f>AND(#REF!,"AAAAAC3/q5Q=")</f>
        <v>#REF!</v>
      </c>
      <c r="ET136" t="e">
        <f>AND(#REF!,"AAAAAC3/q5U=")</f>
        <v>#REF!</v>
      </c>
      <c r="EU136" t="e">
        <f>AND(#REF!,"AAAAAC3/q5Y=")</f>
        <v>#REF!</v>
      </c>
      <c r="EV136" t="e">
        <f>AND(#REF!,"AAAAAC3/q5c=")</f>
        <v>#REF!</v>
      </c>
      <c r="EW136" t="e">
        <f>AND(#REF!,"AAAAAC3/q5g=")</f>
        <v>#REF!</v>
      </c>
      <c r="EX136" t="e">
        <f>AND(#REF!,"AAAAAC3/q5k=")</f>
        <v>#REF!</v>
      </c>
      <c r="EY136" t="e">
        <f>AND(#REF!,"AAAAAC3/q5o=")</f>
        <v>#REF!</v>
      </c>
      <c r="EZ136" t="e">
        <f>AND(#REF!,"AAAAAC3/q5s=")</f>
        <v>#REF!</v>
      </c>
      <c r="FA136" t="e">
        <f>AND(#REF!,"AAAAAC3/q5w=")</f>
        <v>#REF!</v>
      </c>
      <c r="FB136" t="e">
        <f>AND(#REF!,"AAAAAC3/q50=")</f>
        <v>#REF!</v>
      </c>
      <c r="FC136" t="e">
        <f>AND(#REF!,"AAAAAC3/q54=")</f>
        <v>#REF!</v>
      </c>
      <c r="FD136" t="e">
        <f>AND(#REF!,"AAAAAC3/q58=")</f>
        <v>#REF!</v>
      </c>
      <c r="FE136" t="e">
        <f>AND(#REF!,"AAAAAC3/q6A=")</f>
        <v>#REF!</v>
      </c>
      <c r="FF136" t="e">
        <f>AND(#REF!,"AAAAAC3/q6E=")</f>
        <v>#REF!</v>
      </c>
      <c r="FG136" t="e">
        <f>AND(#REF!,"AAAAAC3/q6I=")</f>
        <v>#REF!</v>
      </c>
      <c r="FH136" t="e">
        <f>AND(#REF!,"AAAAAC3/q6M=")</f>
        <v>#REF!</v>
      </c>
      <c r="FI136" t="e">
        <f>AND(#REF!,"AAAAAC3/q6Q=")</f>
        <v>#REF!</v>
      </c>
      <c r="FJ136" t="e">
        <f>AND(#REF!,"AAAAAC3/q6U=")</f>
        <v>#REF!</v>
      </c>
      <c r="FK136" t="e">
        <f>IF(#REF!,"AAAAAC3/q6Y=",0)</f>
        <v>#REF!</v>
      </c>
      <c r="FL136" t="e">
        <f>AND(#REF!,"AAAAAC3/q6c=")</f>
        <v>#REF!</v>
      </c>
      <c r="FM136" t="e">
        <f>AND(#REF!,"AAAAAC3/q6g=")</f>
        <v>#REF!</v>
      </c>
      <c r="FN136" t="e">
        <f>AND(#REF!,"AAAAAC3/q6k=")</f>
        <v>#REF!</v>
      </c>
      <c r="FO136" t="e">
        <f>AND(#REF!,"AAAAAC3/q6o=")</f>
        <v>#REF!</v>
      </c>
      <c r="FP136" t="e">
        <f>AND(#REF!,"AAAAAC3/q6s=")</f>
        <v>#REF!</v>
      </c>
      <c r="FQ136" t="e">
        <f>AND(#REF!,"AAAAAC3/q6w=")</f>
        <v>#REF!</v>
      </c>
      <c r="FR136" t="e">
        <f>AND(#REF!,"AAAAAC3/q60=")</f>
        <v>#REF!</v>
      </c>
      <c r="FS136" t="e">
        <f>AND(#REF!,"AAAAAC3/q64=")</f>
        <v>#REF!</v>
      </c>
      <c r="FT136" t="e">
        <f>AND(#REF!,"AAAAAC3/q68=")</f>
        <v>#REF!</v>
      </c>
      <c r="FU136" t="e">
        <f>AND(#REF!,"AAAAAC3/q7A=")</f>
        <v>#REF!</v>
      </c>
      <c r="FV136" t="e">
        <f>AND(#REF!,"AAAAAC3/q7E=")</f>
        <v>#REF!</v>
      </c>
      <c r="FW136" t="e">
        <f>AND(#REF!,"AAAAAC3/q7I=")</f>
        <v>#REF!</v>
      </c>
      <c r="FX136" t="e">
        <f>AND(#REF!,"AAAAAC3/q7M=")</f>
        <v>#REF!</v>
      </c>
      <c r="FY136" t="e">
        <f>AND(#REF!,"AAAAAC3/q7Q=")</f>
        <v>#REF!</v>
      </c>
      <c r="FZ136" t="e">
        <f>AND(#REF!,"AAAAAC3/q7U=")</f>
        <v>#REF!</v>
      </c>
      <c r="GA136" t="e">
        <f>AND(#REF!,"AAAAAC3/q7Y=")</f>
        <v>#REF!</v>
      </c>
      <c r="GB136" t="e">
        <f>AND(#REF!,"AAAAAC3/q7c=")</f>
        <v>#REF!</v>
      </c>
      <c r="GC136" t="e">
        <f>AND(#REF!,"AAAAAC3/q7g=")</f>
        <v>#REF!</v>
      </c>
      <c r="GD136" t="e">
        <f>AND(#REF!,"AAAAAC3/q7k=")</f>
        <v>#REF!</v>
      </c>
      <c r="GE136" t="e">
        <f>AND(#REF!,"AAAAAC3/q7o=")</f>
        <v>#REF!</v>
      </c>
      <c r="GF136" t="e">
        <f>AND(#REF!,"AAAAAC3/q7s=")</f>
        <v>#REF!</v>
      </c>
      <c r="GG136" t="e">
        <f>AND(#REF!,"AAAAAC3/q7w=")</f>
        <v>#REF!</v>
      </c>
      <c r="GH136" t="e">
        <f>AND(#REF!,"AAAAAC3/q70=")</f>
        <v>#REF!</v>
      </c>
      <c r="GI136" t="e">
        <f>AND(#REF!,"AAAAAC3/q74=")</f>
        <v>#REF!</v>
      </c>
      <c r="GJ136" t="e">
        <f>IF(#REF!,"AAAAAC3/q78=",0)</f>
        <v>#REF!</v>
      </c>
      <c r="GK136" t="e">
        <f>AND(#REF!,"AAAAAC3/q8A=")</f>
        <v>#REF!</v>
      </c>
      <c r="GL136" t="e">
        <f>AND(#REF!,"AAAAAC3/q8E=")</f>
        <v>#REF!</v>
      </c>
      <c r="GM136" t="e">
        <f>AND(#REF!,"AAAAAC3/q8I=")</f>
        <v>#REF!</v>
      </c>
      <c r="GN136" t="e">
        <f>AND(#REF!,"AAAAAC3/q8M=")</f>
        <v>#REF!</v>
      </c>
      <c r="GO136" t="e">
        <f>AND(#REF!,"AAAAAC3/q8Q=")</f>
        <v>#REF!</v>
      </c>
      <c r="GP136" t="e">
        <f>AND(#REF!,"AAAAAC3/q8U=")</f>
        <v>#REF!</v>
      </c>
      <c r="GQ136" t="e">
        <f>AND(#REF!,"AAAAAC3/q8Y=")</f>
        <v>#REF!</v>
      </c>
      <c r="GR136" t="e">
        <f>AND(#REF!,"AAAAAC3/q8c=")</f>
        <v>#REF!</v>
      </c>
      <c r="GS136" t="e">
        <f>AND(#REF!,"AAAAAC3/q8g=")</f>
        <v>#REF!</v>
      </c>
      <c r="GT136" t="e">
        <f>AND(#REF!,"AAAAAC3/q8k=")</f>
        <v>#REF!</v>
      </c>
      <c r="GU136" t="e">
        <f>AND(#REF!,"AAAAAC3/q8o=")</f>
        <v>#REF!</v>
      </c>
      <c r="GV136" t="e">
        <f>AND(#REF!,"AAAAAC3/q8s=")</f>
        <v>#REF!</v>
      </c>
      <c r="GW136" t="e">
        <f>AND(#REF!,"AAAAAC3/q8w=")</f>
        <v>#REF!</v>
      </c>
      <c r="GX136" t="e">
        <f>AND(#REF!,"AAAAAC3/q80=")</f>
        <v>#REF!</v>
      </c>
      <c r="GY136" t="e">
        <f>AND(#REF!,"AAAAAC3/q84=")</f>
        <v>#REF!</v>
      </c>
      <c r="GZ136" t="e">
        <f>AND(#REF!,"AAAAAC3/q88=")</f>
        <v>#REF!</v>
      </c>
      <c r="HA136" t="e">
        <f>AND(#REF!,"AAAAAC3/q9A=")</f>
        <v>#REF!</v>
      </c>
      <c r="HB136" t="e">
        <f>AND(#REF!,"AAAAAC3/q9E=")</f>
        <v>#REF!</v>
      </c>
      <c r="HC136" t="e">
        <f>AND(#REF!,"AAAAAC3/q9I=")</f>
        <v>#REF!</v>
      </c>
      <c r="HD136" t="e">
        <f>AND(#REF!,"AAAAAC3/q9M=")</f>
        <v>#REF!</v>
      </c>
      <c r="HE136" t="e">
        <f>AND(#REF!,"AAAAAC3/q9Q=")</f>
        <v>#REF!</v>
      </c>
      <c r="HF136" t="e">
        <f>AND(#REF!,"AAAAAC3/q9U=")</f>
        <v>#REF!</v>
      </c>
      <c r="HG136" t="e">
        <f>AND(#REF!,"AAAAAC3/q9Y=")</f>
        <v>#REF!</v>
      </c>
      <c r="HH136" t="e">
        <f>AND(#REF!,"AAAAAC3/q9c=")</f>
        <v>#REF!</v>
      </c>
      <c r="HI136" t="e">
        <f>IF(#REF!,"AAAAAC3/q9g=",0)</f>
        <v>#REF!</v>
      </c>
      <c r="HJ136" t="e">
        <f>AND(#REF!,"AAAAAC3/q9k=")</f>
        <v>#REF!</v>
      </c>
      <c r="HK136" t="e">
        <f>AND(#REF!,"AAAAAC3/q9o=")</f>
        <v>#REF!</v>
      </c>
      <c r="HL136" t="e">
        <f>AND(#REF!,"AAAAAC3/q9s=")</f>
        <v>#REF!</v>
      </c>
      <c r="HM136" t="e">
        <f>AND(#REF!,"AAAAAC3/q9w=")</f>
        <v>#REF!</v>
      </c>
      <c r="HN136" t="e">
        <f>AND(#REF!,"AAAAAC3/q90=")</f>
        <v>#REF!</v>
      </c>
      <c r="HO136" t="e">
        <f>AND(#REF!,"AAAAAC3/q94=")</f>
        <v>#REF!</v>
      </c>
      <c r="HP136" t="e">
        <f>AND(#REF!,"AAAAAC3/q98=")</f>
        <v>#REF!</v>
      </c>
      <c r="HQ136" t="e">
        <f>AND(#REF!,"AAAAAC3/q+A=")</f>
        <v>#REF!</v>
      </c>
      <c r="HR136" t="e">
        <f>AND(#REF!,"AAAAAC3/q+E=")</f>
        <v>#REF!</v>
      </c>
      <c r="HS136" t="e">
        <f>AND(#REF!,"AAAAAC3/q+I=")</f>
        <v>#REF!</v>
      </c>
      <c r="HT136" t="e">
        <f>AND(#REF!,"AAAAAC3/q+M=")</f>
        <v>#REF!</v>
      </c>
      <c r="HU136" t="e">
        <f>AND(#REF!,"AAAAAC3/q+Q=")</f>
        <v>#REF!</v>
      </c>
      <c r="HV136" t="e">
        <f>AND(#REF!,"AAAAAC3/q+U=")</f>
        <v>#REF!</v>
      </c>
      <c r="HW136" t="e">
        <f>AND(#REF!,"AAAAAC3/q+Y=")</f>
        <v>#REF!</v>
      </c>
      <c r="HX136" t="e">
        <f>AND(#REF!,"AAAAAC3/q+c=")</f>
        <v>#REF!</v>
      </c>
      <c r="HY136" t="e">
        <f>AND(#REF!,"AAAAAC3/q+g=")</f>
        <v>#REF!</v>
      </c>
      <c r="HZ136" t="e">
        <f>AND(#REF!,"AAAAAC3/q+k=")</f>
        <v>#REF!</v>
      </c>
      <c r="IA136" t="e">
        <f>AND(#REF!,"AAAAAC3/q+o=")</f>
        <v>#REF!</v>
      </c>
      <c r="IB136" t="e">
        <f>AND(#REF!,"AAAAAC3/q+s=")</f>
        <v>#REF!</v>
      </c>
      <c r="IC136" t="e">
        <f>AND(#REF!,"AAAAAC3/q+w=")</f>
        <v>#REF!</v>
      </c>
      <c r="ID136" t="e">
        <f>AND(#REF!,"AAAAAC3/q+0=")</f>
        <v>#REF!</v>
      </c>
      <c r="IE136" t="e">
        <f>AND(#REF!,"AAAAAC3/q+4=")</f>
        <v>#REF!</v>
      </c>
      <c r="IF136" t="e">
        <f>AND(#REF!,"AAAAAC3/q+8=")</f>
        <v>#REF!</v>
      </c>
      <c r="IG136" t="e">
        <f>AND(#REF!,"AAAAAC3/q/A=")</f>
        <v>#REF!</v>
      </c>
      <c r="IH136" t="e">
        <f>IF(#REF!,"AAAAAC3/q/E=",0)</f>
        <v>#REF!</v>
      </c>
      <c r="II136" t="e">
        <f>AND(#REF!,"AAAAAC3/q/I=")</f>
        <v>#REF!</v>
      </c>
      <c r="IJ136" t="e">
        <f>AND(#REF!,"AAAAAC3/q/M=")</f>
        <v>#REF!</v>
      </c>
      <c r="IK136" t="e">
        <f>AND(#REF!,"AAAAAC3/q/Q=")</f>
        <v>#REF!</v>
      </c>
      <c r="IL136" t="e">
        <f>AND(#REF!,"AAAAAC3/q/U=")</f>
        <v>#REF!</v>
      </c>
      <c r="IM136" t="e">
        <f>AND(#REF!,"AAAAAC3/q/Y=")</f>
        <v>#REF!</v>
      </c>
      <c r="IN136" t="e">
        <f>AND(#REF!,"AAAAAC3/q/c=")</f>
        <v>#REF!</v>
      </c>
      <c r="IO136" t="e">
        <f>AND(#REF!,"AAAAAC3/q/g=")</f>
        <v>#REF!</v>
      </c>
      <c r="IP136" t="e">
        <f>AND(#REF!,"AAAAAC3/q/k=")</f>
        <v>#REF!</v>
      </c>
      <c r="IQ136" t="e">
        <f>AND(#REF!,"AAAAAC3/q/o=")</f>
        <v>#REF!</v>
      </c>
      <c r="IR136" t="e">
        <f>AND(#REF!,"AAAAAC3/q/s=")</f>
        <v>#REF!</v>
      </c>
      <c r="IS136" t="e">
        <f>AND(#REF!,"AAAAAC3/q/w=")</f>
        <v>#REF!</v>
      </c>
      <c r="IT136" t="e">
        <f>AND(#REF!,"AAAAAC3/q/0=")</f>
        <v>#REF!</v>
      </c>
      <c r="IU136" t="e">
        <f>AND(#REF!,"AAAAAC3/q/4=")</f>
        <v>#REF!</v>
      </c>
      <c r="IV136" t="e">
        <f>AND(#REF!,"AAAAAC3/q/8=")</f>
        <v>#REF!</v>
      </c>
    </row>
    <row r="137" spans="1:256" x14ac:dyDescent="0.25">
      <c r="A137" t="e">
        <f>AND(#REF!,"AAAAAHwl/gA=")</f>
        <v>#REF!</v>
      </c>
      <c r="B137" t="e">
        <f>AND(#REF!,"AAAAAHwl/gE=")</f>
        <v>#REF!</v>
      </c>
      <c r="C137" t="e">
        <f>AND(#REF!,"AAAAAHwl/gI=")</f>
        <v>#REF!</v>
      </c>
      <c r="D137" t="e">
        <f>AND(#REF!,"AAAAAHwl/gM=")</f>
        <v>#REF!</v>
      </c>
      <c r="E137" t="e">
        <f>AND(#REF!,"AAAAAHwl/gQ=")</f>
        <v>#REF!</v>
      </c>
      <c r="F137" t="e">
        <f>AND(#REF!,"AAAAAHwl/gU=")</f>
        <v>#REF!</v>
      </c>
      <c r="G137" t="e">
        <f>AND(#REF!,"AAAAAHwl/gY=")</f>
        <v>#REF!</v>
      </c>
      <c r="H137" t="e">
        <f>AND(#REF!,"AAAAAHwl/gc=")</f>
        <v>#REF!</v>
      </c>
      <c r="I137" t="e">
        <f>AND(#REF!,"AAAAAHwl/gg=")</f>
        <v>#REF!</v>
      </c>
      <c r="J137" t="e">
        <f>AND(#REF!,"AAAAAHwl/gk=")</f>
        <v>#REF!</v>
      </c>
      <c r="K137" t="e">
        <f>IF(#REF!,"AAAAAHwl/go=",0)</f>
        <v>#REF!</v>
      </c>
      <c r="L137" t="e">
        <f>IF(#REF!,"AAAAAHwl/gs=",0)</f>
        <v>#REF!</v>
      </c>
      <c r="M137" t="e">
        <f>IF(#REF!,"AAAAAHwl/gw=",0)</f>
        <v>#REF!</v>
      </c>
      <c r="N137" t="e">
        <f>IF(#REF!,"AAAAAHwl/g0=",0)</f>
        <v>#REF!</v>
      </c>
      <c r="O137" t="e">
        <f>IF(#REF!,"AAAAAHwl/g4=",0)</f>
        <v>#REF!</v>
      </c>
      <c r="P137" t="e">
        <f>IF(#REF!,"AAAAAHwl/g8=",0)</f>
        <v>#REF!</v>
      </c>
      <c r="Q137" t="e">
        <f>IF(#REF!,"AAAAAHwl/hA=",0)</f>
        <v>#REF!</v>
      </c>
      <c r="R137" t="e">
        <f>IF(#REF!,"AAAAAHwl/hE=",0)</f>
        <v>#REF!</v>
      </c>
      <c r="S137" t="e">
        <f>IF(#REF!,"AAAAAHwl/hI=",0)</f>
        <v>#REF!</v>
      </c>
      <c r="T137" t="e">
        <f>IF(#REF!,"AAAAAHwl/hM=",0)</f>
        <v>#REF!</v>
      </c>
      <c r="U137" t="e">
        <f>IF(#REF!,"AAAAAHwl/hQ=",0)</f>
        <v>#REF!</v>
      </c>
      <c r="V137" t="e">
        <f>IF(#REF!,"AAAAAHwl/hU=",0)</f>
        <v>#REF!</v>
      </c>
      <c r="W137" t="e">
        <f>IF(#REF!,"AAAAAHwl/hY=",0)</f>
        <v>#REF!</v>
      </c>
      <c r="X137" t="e">
        <f>IF(#REF!,"AAAAAHwl/hc=",0)</f>
        <v>#REF!</v>
      </c>
      <c r="Y137" t="e">
        <f>IF(#REF!,"AAAAAHwl/hg=",0)</f>
        <v>#REF!</v>
      </c>
      <c r="Z137" t="e">
        <f>IF(#REF!,"AAAAAHwl/hk=",0)</f>
        <v>#REF!</v>
      </c>
      <c r="AA137" t="e">
        <f>IF(#REF!,"AAAAAHwl/ho=",0)</f>
        <v>#REF!</v>
      </c>
      <c r="AB137" t="e">
        <f>IF(#REF!,"AAAAAHwl/hs=",0)</f>
        <v>#REF!</v>
      </c>
      <c r="AC137" t="e">
        <f>IF(#REF!,"AAAAAHwl/hw=",0)</f>
        <v>#REF!</v>
      </c>
      <c r="AD137" t="e">
        <f>IF(#REF!,"AAAAAHwl/h0=",0)</f>
        <v>#REF!</v>
      </c>
      <c r="AE137" t="e">
        <f>IF(#REF!,"AAAAAHwl/h4=",0)</f>
        <v>#REF!</v>
      </c>
      <c r="AF137" t="e">
        <f>IF(#REF!,"AAAAAHwl/h8=",0)</f>
        <v>#REF!</v>
      </c>
      <c r="AG137" t="e">
        <f>IF(#REF!,"AAAAAHwl/iA=",0)</f>
        <v>#REF!</v>
      </c>
      <c r="AH137" t="e">
        <f>IF(#REF!,"AAAAAHwl/iE=",0)</f>
        <v>#REF!</v>
      </c>
      <c r="AI137" t="e">
        <f>IF(#REF!,"AAAAAHwl/iI=",0)</f>
        <v>#REF!</v>
      </c>
      <c r="AJ137" t="e">
        <f>IF(#REF!,"AAAAAHwl/iM=",0)</f>
        <v>#REF!</v>
      </c>
      <c r="AK137" t="e">
        <f>IF(#REF!,"AAAAAHwl/iQ=",0)</f>
        <v>#REF!</v>
      </c>
      <c r="AL137" t="e">
        <f>IF(#REF!,"AAAAAHwl/iU=",0)</f>
        <v>#REF!</v>
      </c>
      <c r="AM137" t="e">
        <f>IF(#REF!,"AAAAAHwl/iY=",0)</f>
        <v>#REF!</v>
      </c>
      <c r="AN137" t="e">
        <f>IF(#REF!,"AAAAAHwl/ic=",0)</f>
        <v>#REF!</v>
      </c>
      <c r="AO137" t="e">
        <f>IF(#REF!,"AAAAAHwl/ig=",0)</f>
        <v>#REF!</v>
      </c>
      <c r="AP137" t="e">
        <f>IF(#REF!,"AAAAAHwl/ik=",0)</f>
        <v>#REF!</v>
      </c>
      <c r="AQ137" t="e">
        <f>IF(#REF!,"AAAAAHwl/io=",0)</f>
        <v>#REF!</v>
      </c>
      <c r="AR137" t="e">
        <f>IF(#REF!,"AAAAAHwl/is=",0)</f>
        <v>#REF!</v>
      </c>
      <c r="AS137" t="e">
        <f>IF(#REF!,"AAAAAHwl/iw=",0)</f>
        <v>#REF!</v>
      </c>
      <c r="AT137" t="e">
        <f>IF(#REF!,"AAAAAHwl/i0=",0)</f>
        <v>#REF!</v>
      </c>
      <c r="AU137" t="e">
        <f>IF(#REF!,"AAAAAHwl/i4=",0)</f>
        <v>#REF!</v>
      </c>
      <c r="AV137" t="e">
        <f>IF(#REF!,"AAAAAHwl/i8=",0)</f>
        <v>#REF!</v>
      </c>
      <c r="AW137" t="e">
        <f>IF(#REF!,"AAAAAHwl/jA=",0)</f>
        <v>#REF!</v>
      </c>
      <c r="AX137" t="e">
        <f>IF(#REF!,"AAAAAHwl/jE=",0)</f>
        <v>#REF!</v>
      </c>
      <c r="AY137" t="e">
        <f>IF(#REF!,"AAAAAHwl/jI=",0)</f>
        <v>#REF!</v>
      </c>
      <c r="AZ137" t="e">
        <f>IF(#REF!,"AAAAAHwl/jM=",0)</f>
        <v>#REF!</v>
      </c>
      <c r="BA137" t="e">
        <f>IF(#REF!,"AAAAAHwl/jQ=",0)</f>
        <v>#REF!</v>
      </c>
      <c r="BB137" t="e">
        <f>IF(#REF!,"AAAAAHwl/jU=",0)</f>
        <v>#REF!</v>
      </c>
      <c r="BC137" t="e">
        <f>IF(#REF!,"AAAAAHwl/jY=",0)</f>
        <v>#REF!</v>
      </c>
      <c r="BD137" t="e">
        <f>IF(#REF!,"AAAAAHwl/jc=",0)</f>
        <v>#REF!</v>
      </c>
      <c r="BE137" t="e">
        <f>IF(#REF!,"AAAAAHwl/jg=",0)</f>
        <v>#REF!</v>
      </c>
      <c r="BF137" t="e">
        <f>IF(#REF!,"AAAAAHwl/jk=",0)</f>
        <v>#REF!</v>
      </c>
      <c r="BG137" t="e">
        <f>IF(#REF!,"AAAAAHwl/jo=",0)</f>
        <v>#REF!</v>
      </c>
      <c r="BH137" t="e">
        <f>AND(#REF!,"AAAAAHwl/js=")</f>
        <v>#REF!</v>
      </c>
      <c r="BI137" t="e">
        <f>AND(#REF!,"AAAAAHwl/jw=")</f>
        <v>#REF!</v>
      </c>
      <c r="BJ137" t="e">
        <f>AND(#REF!,"AAAAAHwl/j0=")</f>
        <v>#REF!</v>
      </c>
      <c r="BK137" t="e">
        <f>AND(#REF!,"AAAAAHwl/j4=")</f>
        <v>#REF!</v>
      </c>
      <c r="BL137" t="e">
        <f>AND(#REF!,"AAAAAHwl/j8=")</f>
        <v>#REF!</v>
      </c>
      <c r="BM137" t="e">
        <f>AND(#REF!,"AAAAAHwl/kA=")</f>
        <v>#REF!</v>
      </c>
      <c r="BN137" t="e">
        <f>AND(#REF!,"AAAAAHwl/kE=")</f>
        <v>#REF!</v>
      </c>
      <c r="BO137" t="e">
        <f>AND(#REF!,"AAAAAHwl/kI=")</f>
        <v>#REF!</v>
      </c>
      <c r="BP137" t="e">
        <f>AND(#REF!,"AAAAAHwl/kM=")</f>
        <v>#REF!</v>
      </c>
      <c r="BQ137" t="e">
        <f>AND(#REF!,"AAAAAHwl/kQ=")</f>
        <v>#REF!</v>
      </c>
      <c r="BR137" t="e">
        <f>AND(#REF!,"AAAAAHwl/kU=")</f>
        <v>#REF!</v>
      </c>
      <c r="BS137" t="e">
        <f>AND(#REF!,"AAAAAHwl/kY=")</f>
        <v>#REF!</v>
      </c>
      <c r="BT137" t="e">
        <f>AND(#REF!,"AAAAAHwl/kc=")</f>
        <v>#REF!</v>
      </c>
      <c r="BU137" t="e">
        <f>AND(#REF!,"AAAAAHwl/kg=")</f>
        <v>#REF!</v>
      </c>
      <c r="BV137" t="e">
        <f>AND(#REF!,"AAAAAHwl/kk=")</f>
        <v>#REF!</v>
      </c>
      <c r="BW137" t="e">
        <f>AND(#REF!,"AAAAAHwl/ko=")</f>
        <v>#REF!</v>
      </c>
      <c r="BX137" t="e">
        <f>AND(#REF!,"AAAAAHwl/ks=")</f>
        <v>#REF!</v>
      </c>
      <c r="BY137" t="e">
        <f>AND(#REF!,"AAAAAHwl/kw=")</f>
        <v>#REF!</v>
      </c>
      <c r="BZ137" t="e">
        <f>AND(#REF!,"AAAAAHwl/k0=")</f>
        <v>#REF!</v>
      </c>
      <c r="CA137" t="e">
        <f>AND(#REF!,"AAAAAHwl/k4=")</f>
        <v>#REF!</v>
      </c>
      <c r="CB137" t="e">
        <f>AND(#REF!,"AAAAAHwl/k8=")</f>
        <v>#REF!</v>
      </c>
      <c r="CC137" t="e">
        <f>AND(#REF!,"AAAAAHwl/lA=")</f>
        <v>#REF!</v>
      </c>
      <c r="CD137" t="e">
        <f>AND(#REF!,"AAAAAHwl/lE=")</f>
        <v>#REF!</v>
      </c>
      <c r="CE137" t="e">
        <f>AND(#REF!,"AAAAAHwl/lI=")</f>
        <v>#REF!</v>
      </c>
      <c r="CF137" t="e">
        <f>IF(#REF!,"AAAAAHwl/lM=",0)</f>
        <v>#REF!</v>
      </c>
      <c r="CG137" t="e">
        <f>AND(#REF!,"AAAAAHwl/lQ=")</f>
        <v>#REF!</v>
      </c>
      <c r="CH137" t="e">
        <f>AND(#REF!,"AAAAAHwl/lU=")</f>
        <v>#REF!</v>
      </c>
      <c r="CI137" t="e">
        <f>AND(#REF!,"AAAAAHwl/lY=")</f>
        <v>#REF!</v>
      </c>
      <c r="CJ137" t="e">
        <f>AND(#REF!,"AAAAAHwl/lc=")</f>
        <v>#REF!</v>
      </c>
      <c r="CK137" t="e">
        <f>AND(#REF!,"AAAAAHwl/lg=")</f>
        <v>#REF!</v>
      </c>
      <c r="CL137" t="e">
        <f>AND(#REF!,"AAAAAHwl/lk=")</f>
        <v>#REF!</v>
      </c>
      <c r="CM137" t="e">
        <f>AND(#REF!,"AAAAAHwl/lo=")</f>
        <v>#REF!</v>
      </c>
      <c r="CN137" t="e">
        <f>AND(#REF!,"AAAAAHwl/ls=")</f>
        <v>#REF!</v>
      </c>
      <c r="CO137" t="e">
        <f>AND(#REF!,"AAAAAHwl/lw=")</f>
        <v>#REF!</v>
      </c>
      <c r="CP137" t="e">
        <f>AND(#REF!,"AAAAAHwl/l0=")</f>
        <v>#REF!</v>
      </c>
      <c r="CQ137" t="e">
        <f>AND(#REF!,"AAAAAHwl/l4=")</f>
        <v>#REF!</v>
      </c>
      <c r="CR137" t="e">
        <f>AND(#REF!,"AAAAAHwl/l8=")</f>
        <v>#REF!</v>
      </c>
      <c r="CS137" t="e">
        <f>AND(#REF!,"AAAAAHwl/mA=")</f>
        <v>#REF!</v>
      </c>
      <c r="CT137" t="e">
        <f>AND(#REF!,"AAAAAHwl/mE=")</f>
        <v>#REF!</v>
      </c>
      <c r="CU137" t="e">
        <f>AND(#REF!,"AAAAAHwl/mI=")</f>
        <v>#REF!</v>
      </c>
      <c r="CV137" t="e">
        <f>AND(#REF!,"AAAAAHwl/mM=")</f>
        <v>#REF!</v>
      </c>
      <c r="CW137" t="e">
        <f>AND(#REF!,"AAAAAHwl/mQ=")</f>
        <v>#REF!</v>
      </c>
      <c r="CX137" t="e">
        <f>AND(#REF!,"AAAAAHwl/mU=")</f>
        <v>#REF!</v>
      </c>
      <c r="CY137" t="e">
        <f>AND(#REF!,"AAAAAHwl/mY=")</f>
        <v>#REF!</v>
      </c>
      <c r="CZ137" t="e">
        <f>AND(#REF!,"AAAAAHwl/mc=")</f>
        <v>#REF!</v>
      </c>
      <c r="DA137" t="e">
        <f>AND(#REF!,"AAAAAHwl/mg=")</f>
        <v>#REF!</v>
      </c>
      <c r="DB137" t="e">
        <f>AND(#REF!,"AAAAAHwl/mk=")</f>
        <v>#REF!</v>
      </c>
      <c r="DC137" t="e">
        <f>AND(#REF!,"AAAAAHwl/mo=")</f>
        <v>#REF!</v>
      </c>
      <c r="DD137" t="e">
        <f>AND(#REF!,"AAAAAHwl/ms=")</f>
        <v>#REF!</v>
      </c>
      <c r="DE137" t="e">
        <f>IF(#REF!,"AAAAAHwl/mw=",0)</f>
        <v>#REF!</v>
      </c>
      <c r="DF137" t="e">
        <f>AND(#REF!,"AAAAAHwl/m0=")</f>
        <v>#REF!</v>
      </c>
      <c r="DG137" t="e">
        <f>AND(#REF!,"AAAAAHwl/m4=")</f>
        <v>#REF!</v>
      </c>
      <c r="DH137" t="e">
        <f>AND(#REF!,"AAAAAHwl/m8=")</f>
        <v>#REF!</v>
      </c>
      <c r="DI137" t="e">
        <f>AND(#REF!,"AAAAAHwl/nA=")</f>
        <v>#REF!</v>
      </c>
      <c r="DJ137" t="e">
        <f>AND(#REF!,"AAAAAHwl/nE=")</f>
        <v>#REF!</v>
      </c>
      <c r="DK137" t="e">
        <f>AND(#REF!,"AAAAAHwl/nI=")</f>
        <v>#REF!</v>
      </c>
      <c r="DL137" t="e">
        <f>AND(#REF!,"AAAAAHwl/nM=")</f>
        <v>#REF!</v>
      </c>
      <c r="DM137" t="e">
        <f>AND(#REF!,"AAAAAHwl/nQ=")</f>
        <v>#REF!</v>
      </c>
      <c r="DN137" t="e">
        <f>AND(#REF!,"AAAAAHwl/nU=")</f>
        <v>#REF!</v>
      </c>
      <c r="DO137" t="e">
        <f>AND(#REF!,"AAAAAHwl/nY=")</f>
        <v>#REF!</v>
      </c>
      <c r="DP137" t="e">
        <f>AND(#REF!,"AAAAAHwl/nc=")</f>
        <v>#REF!</v>
      </c>
      <c r="DQ137" t="e">
        <f>AND(#REF!,"AAAAAHwl/ng=")</f>
        <v>#REF!</v>
      </c>
      <c r="DR137" t="e">
        <f>AND(#REF!,"AAAAAHwl/nk=")</f>
        <v>#REF!</v>
      </c>
      <c r="DS137" t="e">
        <f>AND(#REF!,"AAAAAHwl/no=")</f>
        <v>#REF!</v>
      </c>
      <c r="DT137" t="e">
        <f>AND(#REF!,"AAAAAHwl/ns=")</f>
        <v>#REF!</v>
      </c>
      <c r="DU137" t="e">
        <f>AND(#REF!,"AAAAAHwl/nw=")</f>
        <v>#REF!</v>
      </c>
      <c r="DV137" t="e">
        <f>AND(#REF!,"AAAAAHwl/n0=")</f>
        <v>#REF!</v>
      </c>
      <c r="DW137" t="e">
        <f>AND(#REF!,"AAAAAHwl/n4=")</f>
        <v>#REF!</v>
      </c>
      <c r="DX137" t="e">
        <f>AND(#REF!,"AAAAAHwl/n8=")</f>
        <v>#REF!</v>
      </c>
      <c r="DY137" t="e">
        <f>AND(#REF!,"AAAAAHwl/oA=")</f>
        <v>#REF!</v>
      </c>
      <c r="DZ137" t="e">
        <f>AND(#REF!,"AAAAAHwl/oE=")</f>
        <v>#REF!</v>
      </c>
      <c r="EA137" t="e">
        <f>AND(#REF!,"AAAAAHwl/oI=")</f>
        <v>#REF!</v>
      </c>
      <c r="EB137" t="e">
        <f>AND(#REF!,"AAAAAHwl/oM=")</f>
        <v>#REF!</v>
      </c>
      <c r="EC137" t="e">
        <f>AND(#REF!,"AAAAAHwl/oQ=")</f>
        <v>#REF!</v>
      </c>
      <c r="ED137" t="e">
        <f>IF(#REF!,"AAAAAHwl/oU=",0)</f>
        <v>#REF!</v>
      </c>
      <c r="EE137" t="e">
        <f>AND(#REF!,"AAAAAHwl/oY=")</f>
        <v>#REF!</v>
      </c>
      <c r="EF137" t="e">
        <f>AND(#REF!,"AAAAAHwl/oc=")</f>
        <v>#REF!</v>
      </c>
      <c r="EG137" t="e">
        <f>AND(#REF!,"AAAAAHwl/og=")</f>
        <v>#REF!</v>
      </c>
      <c r="EH137" t="e">
        <f>AND(#REF!,"AAAAAHwl/ok=")</f>
        <v>#REF!</v>
      </c>
      <c r="EI137" t="e">
        <f>AND(#REF!,"AAAAAHwl/oo=")</f>
        <v>#REF!</v>
      </c>
      <c r="EJ137" t="e">
        <f>AND(#REF!,"AAAAAHwl/os=")</f>
        <v>#REF!</v>
      </c>
      <c r="EK137" t="e">
        <f>AND(#REF!,"AAAAAHwl/ow=")</f>
        <v>#REF!</v>
      </c>
      <c r="EL137" t="e">
        <f>AND(#REF!,"AAAAAHwl/o0=")</f>
        <v>#REF!</v>
      </c>
      <c r="EM137" t="e">
        <f>AND(#REF!,"AAAAAHwl/o4=")</f>
        <v>#REF!</v>
      </c>
      <c r="EN137" t="e">
        <f>AND(#REF!,"AAAAAHwl/o8=")</f>
        <v>#REF!</v>
      </c>
      <c r="EO137" t="e">
        <f>AND(#REF!,"AAAAAHwl/pA=")</f>
        <v>#REF!</v>
      </c>
      <c r="EP137" t="e">
        <f>AND(#REF!,"AAAAAHwl/pE=")</f>
        <v>#REF!</v>
      </c>
      <c r="EQ137" t="e">
        <f>AND(#REF!,"AAAAAHwl/pI=")</f>
        <v>#REF!</v>
      </c>
      <c r="ER137" t="e">
        <f>AND(#REF!,"AAAAAHwl/pM=")</f>
        <v>#REF!</v>
      </c>
      <c r="ES137" t="e">
        <f>AND(#REF!,"AAAAAHwl/pQ=")</f>
        <v>#REF!</v>
      </c>
      <c r="ET137" t="e">
        <f>AND(#REF!,"AAAAAHwl/pU=")</f>
        <v>#REF!</v>
      </c>
      <c r="EU137" t="e">
        <f>AND(#REF!,"AAAAAHwl/pY=")</f>
        <v>#REF!</v>
      </c>
      <c r="EV137" t="e">
        <f>AND(#REF!,"AAAAAHwl/pc=")</f>
        <v>#REF!</v>
      </c>
      <c r="EW137" t="e">
        <f>AND(#REF!,"AAAAAHwl/pg=")</f>
        <v>#REF!</v>
      </c>
      <c r="EX137" t="e">
        <f>AND(#REF!,"AAAAAHwl/pk=")</f>
        <v>#REF!</v>
      </c>
      <c r="EY137" t="e">
        <f>AND(#REF!,"AAAAAHwl/po=")</f>
        <v>#REF!</v>
      </c>
      <c r="EZ137" t="e">
        <f>AND(#REF!,"AAAAAHwl/ps=")</f>
        <v>#REF!</v>
      </c>
      <c r="FA137" t="e">
        <f>AND(#REF!,"AAAAAHwl/pw=")</f>
        <v>#REF!</v>
      </c>
      <c r="FB137" t="e">
        <f>AND(#REF!,"AAAAAHwl/p0=")</f>
        <v>#REF!</v>
      </c>
      <c r="FC137" t="e">
        <f>IF(#REF!,"AAAAAHwl/p4=",0)</f>
        <v>#REF!</v>
      </c>
      <c r="FD137" t="e">
        <f>AND(#REF!,"AAAAAHwl/p8=")</f>
        <v>#REF!</v>
      </c>
      <c r="FE137" t="e">
        <f>AND(#REF!,"AAAAAHwl/qA=")</f>
        <v>#REF!</v>
      </c>
      <c r="FF137" t="e">
        <f>AND(#REF!,"AAAAAHwl/qE=")</f>
        <v>#REF!</v>
      </c>
      <c r="FG137" t="e">
        <f>AND(#REF!,"AAAAAHwl/qI=")</f>
        <v>#REF!</v>
      </c>
      <c r="FH137" t="e">
        <f>AND(#REF!,"AAAAAHwl/qM=")</f>
        <v>#REF!</v>
      </c>
      <c r="FI137" t="e">
        <f>AND(#REF!,"AAAAAHwl/qQ=")</f>
        <v>#REF!</v>
      </c>
      <c r="FJ137" t="e">
        <f>AND(#REF!,"AAAAAHwl/qU=")</f>
        <v>#REF!</v>
      </c>
      <c r="FK137" t="e">
        <f>AND(#REF!,"AAAAAHwl/qY=")</f>
        <v>#REF!</v>
      </c>
      <c r="FL137" t="e">
        <f>AND(#REF!,"AAAAAHwl/qc=")</f>
        <v>#REF!</v>
      </c>
      <c r="FM137" t="e">
        <f>AND(#REF!,"AAAAAHwl/qg=")</f>
        <v>#REF!</v>
      </c>
      <c r="FN137" t="e">
        <f>AND(#REF!,"AAAAAHwl/qk=")</f>
        <v>#REF!</v>
      </c>
      <c r="FO137" t="e">
        <f>AND(#REF!,"AAAAAHwl/qo=")</f>
        <v>#REF!</v>
      </c>
      <c r="FP137" t="e">
        <f>AND(#REF!,"AAAAAHwl/qs=")</f>
        <v>#REF!</v>
      </c>
      <c r="FQ137" t="e">
        <f>AND(#REF!,"AAAAAHwl/qw=")</f>
        <v>#REF!</v>
      </c>
      <c r="FR137" t="e">
        <f>AND(#REF!,"AAAAAHwl/q0=")</f>
        <v>#REF!</v>
      </c>
      <c r="FS137" t="e">
        <f>AND(#REF!,"AAAAAHwl/q4=")</f>
        <v>#REF!</v>
      </c>
      <c r="FT137" t="e">
        <f>AND(#REF!,"AAAAAHwl/q8=")</f>
        <v>#REF!</v>
      </c>
      <c r="FU137" t="e">
        <f>AND(#REF!,"AAAAAHwl/rA=")</f>
        <v>#REF!</v>
      </c>
      <c r="FV137" t="e">
        <f>AND(#REF!,"AAAAAHwl/rE=")</f>
        <v>#REF!</v>
      </c>
      <c r="FW137" t="e">
        <f>AND(#REF!,"AAAAAHwl/rI=")</f>
        <v>#REF!</v>
      </c>
      <c r="FX137" t="e">
        <f>AND(#REF!,"AAAAAHwl/rM=")</f>
        <v>#REF!</v>
      </c>
      <c r="FY137" t="e">
        <f>AND(#REF!,"AAAAAHwl/rQ=")</f>
        <v>#REF!</v>
      </c>
      <c r="FZ137" t="e">
        <f>AND(#REF!,"AAAAAHwl/rU=")</f>
        <v>#REF!</v>
      </c>
      <c r="GA137" t="e">
        <f>AND(#REF!,"AAAAAHwl/rY=")</f>
        <v>#REF!</v>
      </c>
      <c r="GB137" t="e">
        <f>IF(#REF!,"AAAAAHwl/rc=",0)</f>
        <v>#REF!</v>
      </c>
      <c r="GC137" t="e">
        <f>AND(#REF!,"AAAAAHwl/rg=")</f>
        <v>#REF!</v>
      </c>
      <c r="GD137" t="e">
        <f>AND(#REF!,"AAAAAHwl/rk=")</f>
        <v>#REF!</v>
      </c>
      <c r="GE137" t="e">
        <f>AND(#REF!,"AAAAAHwl/ro=")</f>
        <v>#REF!</v>
      </c>
      <c r="GF137" t="e">
        <f>AND(#REF!,"AAAAAHwl/rs=")</f>
        <v>#REF!</v>
      </c>
      <c r="GG137" t="e">
        <f>AND(#REF!,"AAAAAHwl/rw=")</f>
        <v>#REF!</v>
      </c>
      <c r="GH137" t="e">
        <f>AND(#REF!,"AAAAAHwl/r0=")</f>
        <v>#REF!</v>
      </c>
      <c r="GI137" t="e">
        <f>AND(#REF!,"AAAAAHwl/r4=")</f>
        <v>#REF!</v>
      </c>
      <c r="GJ137" t="e">
        <f>AND(#REF!,"AAAAAHwl/r8=")</f>
        <v>#REF!</v>
      </c>
      <c r="GK137" t="e">
        <f>AND(#REF!,"AAAAAHwl/sA=")</f>
        <v>#REF!</v>
      </c>
      <c r="GL137" t="e">
        <f>AND(#REF!,"AAAAAHwl/sE=")</f>
        <v>#REF!</v>
      </c>
      <c r="GM137" t="e">
        <f>AND(#REF!,"AAAAAHwl/sI=")</f>
        <v>#REF!</v>
      </c>
      <c r="GN137" t="e">
        <f>AND(#REF!,"AAAAAHwl/sM=")</f>
        <v>#REF!</v>
      </c>
      <c r="GO137" t="e">
        <f>AND(#REF!,"AAAAAHwl/sQ=")</f>
        <v>#REF!</v>
      </c>
      <c r="GP137" t="e">
        <f>AND(#REF!,"AAAAAHwl/sU=")</f>
        <v>#REF!</v>
      </c>
      <c r="GQ137" t="e">
        <f>AND(#REF!,"AAAAAHwl/sY=")</f>
        <v>#REF!</v>
      </c>
      <c r="GR137" t="e">
        <f>AND(#REF!,"AAAAAHwl/sc=")</f>
        <v>#REF!</v>
      </c>
      <c r="GS137" t="e">
        <f>AND(#REF!,"AAAAAHwl/sg=")</f>
        <v>#REF!</v>
      </c>
      <c r="GT137" t="e">
        <f>AND(#REF!,"AAAAAHwl/sk=")</f>
        <v>#REF!</v>
      </c>
      <c r="GU137" t="e">
        <f>AND(#REF!,"AAAAAHwl/so=")</f>
        <v>#REF!</v>
      </c>
      <c r="GV137" t="e">
        <f>AND(#REF!,"AAAAAHwl/ss=")</f>
        <v>#REF!</v>
      </c>
      <c r="GW137" t="e">
        <f>AND(#REF!,"AAAAAHwl/sw=")</f>
        <v>#REF!</v>
      </c>
      <c r="GX137" t="e">
        <f>AND(#REF!,"AAAAAHwl/s0=")</f>
        <v>#REF!</v>
      </c>
      <c r="GY137" t="e">
        <f>AND(#REF!,"AAAAAHwl/s4=")</f>
        <v>#REF!</v>
      </c>
      <c r="GZ137" t="e">
        <f>AND(#REF!,"AAAAAHwl/s8=")</f>
        <v>#REF!</v>
      </c>
      <c r="HA137" t="e">
        <f>IF(#REF!,"AAAAAHwl/tA=",0)</f>
        <v>#REF!</v>
      </c>
      <c r="HB137" t="e">
        <f>AND(#REF!,"AAAAAHwl/tE=")</f>
        <v>#REF!</v>
      </c>
      <c r="HC137" t="e">
        <f>AND(#REF!,"AAAAAHwl/tI=")</f>
        <v>#REF!</v>
      </c>
      <c r="HD137" t="e">
        <f>AND(#REF!,"AAAAAHwl/tM=")</f>
        <v>#REF!</v>
      </c>
      <c r="HE137" t="e">
        <f>AND(#REF!,"AAAAAHwl/tQ=")</f>
        <v>#REF!</v>
      </c>
      <c r="HF137" t="e">
        <f>AND(#REF!,"AAAAAHwl/tU=")</f>
        <v>#REF!</v>
      </c>
      <c r="HG137" t="e">
        <f>AND(#REF!,"AAAAAHwl/tY=")</f>
        <v>#REF!</v>
      </c>
      <c r="HH137" t="e">
        <f>AND(#REF!,"AAAAAHwl/tc=")</f>
        <v>#REF!</v>
      </c>
      <c r="HI137" t="e">
        <f>AND(#REF!,"AAAAAHwl/tg=")</f>
        <v>#REF!</v>
      </c>
      <c r="HJ137" t="e">
        <f>AND(#REF!,"AAAAAHwl/tk=")</f>
        <v>#REF!</v>
      </c>
      <c r="HK137" t="e">
        <f>AND(#REF!,"AAAAAHwl/to=")</f>
        <v>#REF!</v>
      </c>
      <c r="HL137" t="e">
        <f>AND(#REF!,"AAAAAHwl/ts=")</f>
        <v>#REF!</v>
      </c>
      <c r="HM137" t="e">
        <f>AND(#REF!,"AAAAAHwl/tw=")</f>
        <v>#REF!</v>
      </c>
      <c r="HN137" t="e">
        <f>AND(#REF!,"AAAAAHwl/t0=")</f>
        <v>#REF!</v>
      </c>
      <c r="HO137" t="e">
        <f>AND(#REF!,"AAAAAHwl/t4=")</f>
        <v>#REF!</v>
      </c>
      <c r="HP137" t="e">
        <f>AND(#REF!,"AAAAAHwl/t8=")</f>
        <v>#REF!</v>
      </c>
      <c r="HQ137" t="e">
        <f>AND(#REF!,"AAAAAHwl/uA=")</f>
        <v>#REF!</v>
      </c>
      <c r="HR137" t="e">
        <f>AND(#REF!,"AAAAAHwl/uE=")</f>
        <v>#REF!</v>
      </c>
      <c r="HS137" t="e">
        <f>AND(#REF!,"AAAAAHwl/uI=")</f>
        <v>#REF!</v>
      </c>
      <c r="HT137" t="e">
        <f>AND(#REF!,"AAAAAHwl/uM=")</f>
        <v>#REF!</v>
      </c>
      <c r="HU137" t="e">
        <f>AND(#REF!,"AAAAAHwl/uQ=")</f>
        <v>#REF!</v>
      </c>
      <c r="HV137" t="e">
        <f>AND(#REF!,"AAAAAHwl/uU=")</f>
        <v>#REF!</v>
      </c>
      <c r="HW137" t="e">
        <f>AND(#REF!,"AAAAAHwl/uY=")</f>
        <v>#REF!</v>
      </c>
      <c r="HX137" t="e">
        <f>AND(#REF!,"AAAAAHwl/uc=")</f>
        <v>#REF!</v>
      </c>
      <c r="HY137" t="e">
        <f>AND(#REF!,"AAAAAHwl/ug=")</f>
        <v>#REF!</v>
      </c>
      <c r="HZ137" t="e">
        <f>IF(#REF!,"AAAAAHwl/uk=",0)</f>
        <v>#REF!</v>
      </c>
      <c r="IA137" t="e">
        <f>AND(#REF!,"AAAAAHwl/uo=")</f>
        <v>#REF!</v>
      </c>
      <c r="IB137" t="e">
        <f>AND(#REF!,"AAAAAHwl/us=")</f>
        <v>#REF!</v>
      </c>
      <c r="IC137" t="e">
        <f>AND(#REF!,"AAAAAHwl/uw=")</f>
        <v>#REF!</v>
      </c>
      <c r="ID137" t="e">
        <f>AND(#REF!,"AAAAAHwl/u0=")</f>
        <v>#REF!</v>
      </c>
      <c r="IE137" t="e">
        <f>AND(#REF!,"AAAAAHwl/u4=")</f>
        <v>#REF!</v>
      </c>
      <c r="IF137" t="e">
        <f>AND(#REF!,"AAAAAHwl/u8=")</f>
        <v>#REF!</v>
      </c>
      <c r="IG137" t="e">
        <f>AND(#REF!,"AAAAAHwl/vA=")</f>
        <v>#REF!</v>
      </c>
      <c r="IH137" t="e">
        <f>AND(#REF!,"AAAAAHwl/vE=")</f>
        <v>#REF!</v>
      </c>
      <c r="II137" t="e">
        <f>AND(#REF!,"AAAAAHwl/vI=")</f>
        <v>#REF!</v>
      </c>
      <c r="IJ137" t="e">
        <f>AND(#REF!,"AAAAAHwl/vM=")</f>
        <v>#REF!</v>
      </c>
      <c r="IK137" t="e">
        <f>AND(#REF!,"AAAAAHwl/vQ=")</f>
        <v>#REF!</v>
      </c>
      <c r="IL137" t="e">
        <f>AND(#REF!,"AAAAAHwl/vU=")</f>
        <v>#REF!</v>
      </c>
      <c r="IM137" t="e">
        <f>AND(#REF!,"AAAAAHwl/vY=")</f>
        <v>#REF!</v>
      </c>
      <c r="IN137" t="e">
        <f>AND(#REF!,"AAAAAHwl/vc=")</f>
        <v>#REF!</v>
      </c>
      <c r="IO137" t="e">
        <f>AND(#REF!,"AAAAAHwl/vg=")</f>
        <v>#REF!</v>
      </c>
      <c r="IP137" t="e">
        <f>AND(#REF!,"AAAAAHwl/vk=")</f>
        <v>#REF!</v>
      </c>
      <c r="IQ137" t="e">
        <f>AND(#REF!,"AAAAAHwl/vo=")</f>
        <v>#REF!</v>
      </c>
      <c r="IR137" t="e">
        <f>AND(#REF!,"AAAAAHwl/vs=")</f>
        <v>#REF!</v>
      </c>
      <c r="IS137" t="e">
        <f>AND(#REF!,"AAAAAHwl/vw=")</f>
        <v>#REF!</v>
      </c>
      <c r="IT137" t="e">
        <f>AND(#REF!,"AAAAAHwl/v0=")</f>
        <v>#REF!</v>
      </c>
      <c r="IU137" t="e">
        <f>AND(#REF!,"AAAAAHwl/v4=")</f>
        <v>#REF!</v>
      </c>
      <c r="IV137" t="e">
        <f>AND(#REF!,"AAAAAHwl/v8=")</f>
        <v>#REF!</v>
      </c>
    </row>
    <row r="138" spans="1:256" x14ac:dyDescent="0.25">
      <c r="A138" t="e">
        <f>AND(#REF!,"AAAAAHt92wA=")</f>
        <v>#REF!</v>
      </c>
      <c r="B138" t="e">
        <f>AND(#REF!,"AAAAAHt92wE=")</f>
        <v>#REF!</v>
      </c>
      <c r="C138" t="e">
        <f>IF(#REF!,"AAAAAHt92wI=",0)</f>
        <v>#REF!</v>
      </c>
      <c r="D138" t="e">
        <f>AND(#REF!,"AAAAAHt92wM=")</f>
        <v>#REF!</v>
      </c>
      <c r="E138" t="e">
        <f>AND(#REF!,"AAAAAHt92wQ=")</f>
        <v>#REF!</v>
      </c>
      <c r="F138" t="e">
        <f>AND(#REF!,"AAAAAHt92wU=")</f>
        <v>#REF!</v>
      </c>
      <c r="G138" t="e">
        <f>AND(#REF!,"AAAAAHt92wY=")</f>
        <v>#REF!</v>
      </c>
      <c r="H138" t="e">
        <f>AND(#REF!,"AAAAAHt92wc=")</f>
        <v>#REF!</v>
      </c>
      <c r="I138" t="e">
        <f>AND(#REF!,"AAAAAHt92wg=")</f>
        <v>#REF!</v>
      </c>
      <c r="J138" t="e">
        <f>AND(#REF!,"AAAAAHt92wk=")</f>
        <v>#REF!</v>
      </c>
      <c r="K138" t="e">
        <f>AND(#REF!,"AAAAAHt92wo=")</f>
        <v>#REF!</v>
      </c>
      <c r="L138" t="e">
        <f>AND(#REF!,"AAAAAHt92ws=")</f>
        <v>#REF!</v>
      </c>
      <c r="M138" t="e">
        <f>AND(#REF!,"AAAAAHt92ww=")</f>
        <v>#REF!</v>
      </c>
      <c r="N138" t="e">
        <f>AND(#REF!,"AAAAAHt92w0=")</f>
        <v>#REF!</v>
      </c>
      <c r="O138" t="e">
        <f>AND(#REF!,"AAAAAHt92w4=")</f>
        <v>#REF!</v>
      </c>
      <c r="P138" t="e">
        <f>AND(#REF!,"AAAAAHt92w8=")</f>
        <v>#REF!</v>
      </c>
      <c r="Q138" t="e">
        <f>AND(#REF!,"AAAAAHt92xA=")</f>
        <v>#REF!</v>
      </c>
      <c r="R138" t="e">
        <f>AND(#REF!,"AAAAAHt92xE=")</f>
        <v>#REF!</v>
      </c>
      <c r="S138" t="e">
        <f>AND(#REF!,"AAAAAHt92xI=")</f>
        <v>#REF!</v>
      </c>
      <c r="T138" t="e">
        <f>AND(#REF!,"AAAAAHt92xM=")</f>
        <v>#REF!</v>
      </c>
      <c r="U138" t="e">
        <f>AND(#REF!,"AAAAAHt92xQ=")</f>
        <v>#REF!</v>
      </c>
      <c r="V138" t="e">
        <f>AND(#REF!,"AAAAAHt92xU=")</f>
        <v>#REF!</v>
      </c>
      <c r="W138" t="e">
        <f>AND(#REF!,"AAAAAHt92xY=")</f>
        <v>#REF!</v>
      </c>
      <c r="X138" t="e">
        <f>AND(#REF!,"AAAAAHt92xc=")</f>
        <v>#REF!</v>
      </c>
      <c r="Y138" t="e">
        <f>AND(#REF!,"AAAAAHt92xg=")</f>
        <v>#REF!</v>
      </c>
      <c r="Z138" t="e">
        <f>AND(#REF!,"AAAAAHt92xk=")</f>
        <v>#REF!</v>
      </c>
      <c r="AA138" t="e">
        <f>AND(#REF!,"AAAAAHt92xo=")</f>
        <v>#REF!</v>
      </c>
      <c r="AB138" t="e">
        <f>IF(#REF!,"AAAAAHt92xs=",0)</f>
        <v>#REF!</v>
      </c>
      <c r="AC138" t="e">
        <f>IF(#REF!,"AAAAAHt92xw=",0)</f>
        <v>#REF!</v>
      </c>
      <c r="AD138" t="e">
        <f>IF(#REF!,"AAAAAHt92x0=",0)</f>
        <v>#REF!</v>
      </c>
      <c r="AE138" t="e">
        <f>IF(#REF!,"AAAAAHt92x4=",0)</f>
        <v>#REF!</v>
      </c>
      <c r="AF138" t="e">
        <f>IF(#REF!,"AAAAAHt92x8=",0)</f>
        <v>#REF!</v>
      </c>
      <c r="AG138" t="e">
        <f>IF(#REF!,"AAAAAHt92yA=",0)</f>
        <v>#REF!</v>
      </c>
      <c r="AH138" t="e">
        <f>IF(#REF!,"AAAAAHt92yE=",0)</f>
        <v>#REF!</v>
      </c>
      <c r="AI138" t="e">
        <f>IF(#REF!,"AAAAAHt92yI=",0)</f>
        <v>#REF!</v>
      </c>
      <c r="AJ138" t="e">
        <f>IF(#REF!,"AAAAAHt92yM=",0)</f>
        <v>#REF!</v>
      </c>
      <c r="AK138" t="e">
        <f>IF(#REF!,"AAAAAHt92yQ=",0)</f>
        <v>#REF!</v>
      </c>
      <c r="AL138" t="e">
        <f>IF(#REF!,"AAAAAHt92yU=",0)</f>
        <v>#REF!</v>
      </c>
      <c r="AM138" t="e">
        <f>IF(#REF!,"AAAAAHt92yY=",0)</f>
        <v>#REF!</v>
      </c>
      <c r="AN138" t="e">
        <f>IF(#REF!,"AAAAAHt92yc=",0)</f>
        <v>#REF!</v>
      </c>
      <c r="AO138" t="e">
        <f>IF(#REF!,"AAAAAHt92yg=",0)</f>
        <v>#REF!</v>
      </c>
      <c r="AP138" t="e">
        <f>IF(#REF!,"AAAAAHt92yk=",0)</f>
        <v>#REF!</v>
      </c>
      <c r="AQ138" t="e">
        <f>IF(#REF!,"AAAAAHt92yo=",0)</f>
        <v>#REF!</v>
      </c>
      <c r="AR138" t="e">
        <f>IF(#REF!,"AAAAAHt92ys=",0)</f>
        <v>#REF!</v>
      </c>
      <c r="AS138" t="e">
        <f>IF(#REF!,"AAAAAHt92yw=",0)</f>
        <v>#REF!</v>
      </c>
      <c r="AT138" t="e">
        <f>IF(#REF!,"AAAAAHt92y0=",0)</f>
        <v>#REF!</v>
      </c>
      <c r="AU138" t="e">
        <f>IF(#REF!,"AAAAAHt92y4=",0)</f>
        <v>#REF!</v>
      </c>
      <c r="AV138" t="e">
        <f>IF(#REF!,"AAAAAHt92y8=",0)</f>
        <v>#REF!</v>
      </c>
      <c r="AW138" t="e">
        <f>IF(#REF!,"AAAAAHt92zA=",0)</f>
        <v>#REF!</v>
      </c>
      <c r="AX138" t="e">
        <f>IF(#REF!,"AAAAAHt92zE=",0)</f>
        <v>#REF!</v>
      </c>
      <c r="AY138" t="e">
        <f>IF(#REF!,"AAAAAHt92zI=",0)</f>
        <v>#REF!</v>
      </c>
      <c r="AZ138" t="e">
        <f>IF(#REF!,"AAAAAHt92zM=",0)</f>
        <v>#REF!</v>
      </c>
      <c r="BA138" t="e">
        <f>IF(#REF!,"AAAAAHt92zQ=",0)</f>
        <v>#REF!</v>
      </c>
      <c r="BB138" t="e">
        <f>IF(#REF!,"AAAAAHt92zU=",0)</f>
        <v>#REF!</v>
      </c>
      <c r="BC138" t="e">
        <f>IF(#REF!,"AAAAAHt92zY=",0)</f>
        <v>#REF!</v>
      </c>
      <c r="BD138" t="e">
        <f>IF(#REF!,"AAAAAHt92zc=",0)</f>
        <v>#REF!</v>
      </c>
      <c r="BE138" t="e">
        <f>IF(#REF!,"AAAAAHt92zg=",0)</f>
        <v>#REF!</v>
      </c>
      <c r="BF138" t="e">
        <f>IF(#REF!,"AAAAAHt92zk=",0)</f>
        <v>#REF!</v>
      </c>
      <c r="BG138" t="e">
        <f>IF(#REF!,"AAAAAHt92zo=",0)</f>
        <v>#REF!</v>
      </c>
      <c r="BH138" t="e">
        <f>IF(#REF!,"AAAAAHt92zs=",0)</f>
        <v>#REF!</v>
      </c>
      <c r="BI138" t="e">
        <f>IF(#REF!,"AAAAAHt92zw=",0)</f>
        <v>#REF!</v>
      </c>
      <c r="BJ138" t="e">
        <f>IF(#REF!,"AAAAAHt92z0=",0)</f>
        <v>#REF!</v>
      </c>
      <c r="BK138" t="e">
        <f>IF(#REF!,"AAAAAHt92z4=",0)</f>
        <v>#REF!</v>
      </c>
      <c r="BL138" t="e">
        <f>IF(#REF!,"AAAAAHt92z8=",0)</f>
        <v>#REF!</v>
      </c>
      <c r="BM138" t="e">
        <f>IF(#REF!,"AAAAAHt920A=",0)</f>
        <v>#REF!</v>
      </c>
      <c r="BN138" t="e">
        <f>IF(#REF!,"AAAAAHt920E=",0)</f>
        <v>#REF!</v>
      </c>
      <c r="BO138" t="e">
        <f>IF(#REF!,"AAAAAHt920I=",0)</f>
        <v>#REF!</v>
      </c>
      <c r="BP138" t="e">
        <f>IF(#REF!,"AAAAAHt920M=",0)</f>
        <v>#REF!</v>
      </c>
      <c r="BQ138" t="e">
        <f>IF(#REF!,"AAAAAHt920Q=",0)</f>
        <v>#REF!</v>
      </c>
      <c r="BR138" t="e">
        <f>IF(#REF!,"AAAAAHt920U=",0)</f>
        <v>#REF!</v>
      </c>
      <c r="BS138" t="e">
        <f>IF(#REF!,"AAAAAHt920Y=",0)</f>
        <v>#REF!</v>
      </c>
      <c r="BT138" t="e">
        <f>IF(#REF!,"AAAAAHt920c=",0)</f>
        <v>#REF!</v>
      </c>
      <c r="BU138" t="e">
        <f>IF(#REF!,"AAAAAHt920g=",0)</f>
        <v>#REF!</v>
      </c>
      <c r="BV138" t="e">
        <f>IF(#REF!,"AAAAAHt920k=",0)</f>
        <v>#REF!</v>
      </c>
      <c r="BW138" t="e">
        <f>IF(#REF!,"AAAAAHt920o=",0)</f>
        <v>#REF!</v>
      </c>
      <c r="BX138" t="e">
        <f>IF(#REF!,"AAAAAHt920s=",0)</f>
        <v>#REF!</v>
      </c>
      <c r="BY138" t="e">
        <f>AND(#REF!,"AAAAAHt920w=")</f>
        <v>#REF!</v>
      </c>
      <c r="BZ138" t="e">
        <f>AND(#REF!,"AAAAAHt9200=")</f>
        <v>#REF!</v>
      </c>
      <c r="CA138" t="e">
        <f>AND(#REF!,"AAAAAHt9204=")</f>
        <v>#REF!</v>
      </c>
      <c r="CB138" t="e">
        <f>AND(#REF!,"AAAAAHt9208=")</f>
        <v>#REF!</v>
      </c>
      <c r="CC138" t="e">
        <f>AND(#REF!,"AAAAAHt921A=")</f>
        <v>#REF!</v>
      </c>
      <c r="CD138" t="e">
        <f>AND(#REF!,"AAAAAHt921E=")</f>
        <v>#REF!</v>
      </c>
      <c r="CE138" t="e">
        <f>AND(#REF!,"AAAAAHt921I=")</f>
        <v>#REF!</v>
      </c>
      <c r="CF138" t="e">
        <f>AND(#REF!,"AAAAAHt921M=")</f>
        <v>#REF!</v>
      </c>
      <c r="CG138" t="e">
        <f>AND(#REF!,"AAAAAHt921Q=")</f>
        <v>#REF!</v>
      </c>
      <c r="CH138" t="e">
        <f>AND(#REF!,"AAAAAHt921U=")</f>
        <v>#REF!</v>
      </c>
      <c r="CI138" t="e">
        <f>AND(#REF!,"AAAAAHt921Y=")</f>
        <v>#REF!</v>
      </c>
      <c r="CJ138" t="e">
        <f>AND(#REF!,"AAAAAHt921c=")</f>
        <v>#REF!</v>
      </c>
      <c r="CK138" t="e">
        <f>AND(#REF!,"AAAAAHt921g=")</f>
        <v>#REF!</v>
      </c>
      <c r="CL138" t="e">
        <f>AND(#REF!,"AAAAAHt921k=")</f>
        <v>#REF!</v>
      </c>
      <c r="CM138" t="e">
        <f>AND(#REF!,"AAAAAHt921o=")</f>
        <v>#REF!</v>
      </c>
      <c r="CN138" t="e">
        <f>AND(#REF!,"AAAAAHt921s=")</f>
        <v>#REF!</v>
      </c>
      <c r="CO138" t="e">
        <f>AND(#REF!,"AAAAAHt921w=")</f>
        <v>#REF!</v>
      </c>
      <c r="CP138" t="e">
        <f>AND(#REF!,"AAAAAHt9210=")</f>
        <v>#REF!</v>
      </c>
      <c r="CQ138" t="e">
        <f>AND(#REF!,"AAAAAHt9214=")</f>
        <v>#REF!</v>
      </c>
      <c r="CR138" t="e">
        <f>AND(#REF!,"AAAAAHt9218=")</f>
        <v>#REF!</v>
      </c>
      <c r="CS138" t="e">
        <f>AND(#REF!,"AAAAAHt922A=")</f>
        <v>#REF!</v>
      </c>
      <c r="CT138" t="e">
        <f>AND(#REF!,"AAAAAHt922E=")</f>
        <v>#REF!</v>
      </c>
      <c r="CU138" t="e">
        <f>AND(#REF!,"AAAAAHt922I=")</f>
        <v>#REF!</v>
      </c>
      <c r="CV138" t="e">
        <f>AND(#REF!,"AAAAAHt922M=")</f>
        <v>#REF!</v>
      </c>
      <c r="CW138" t="e">
        <f>IF(#REF!,"AAAAAHt922Q=",0)</f>
        <v>#REF!</v>
      </c>
      <c r="CX138" t="e">
        <f>AND(#REF!,"AAAAAHt922U=")</f>
        <v>#REF!</v>
      </c>
      <c r="CY138" t="e">
        <f>AND(#REF!,"AAAAAHt922Y=")</f>
        <v>#REF!</v>
      </c>
      <c r="CZ138" t="e">
        <f>AND(#REF!,"AAAAAHt922c=")</f>
        <v>#REF!</v>
      </c>
      <c r="DA138" t="e">
        <f>AND(#REF!,"AAAAAHt922g=")</f>
        <v>#REF!</v>
      </c>
      <c r="DB138" t="e">
        <f>AND(#REF!,"AAAAAHt922k=")</f>
        <v>#REF!</v>
      </c>
      <c r="DC138" t="e">
        <f>AND(#REF!,"AAAAAHt922o=")</f>
        <v>#REF!</v>
      </c>
      <c r="DD138" t="e">
        <f>AND(#REF!,"AAAAAHt922s=")</f>
        <v>#REF!</v>
      </c>
      <c r="DE138" t="e">
        <f>AND(#REF!,"AAAAAHt922w=")</f>
        <v>#REF!</v>
      </c>
      <c r="DF138" t="e">
        <f>AND(#REF!,"AAAAAHt9220=")</f>
        <v>#REF!</v>
      </c>
      <c r="DG138" t="e">
        <f>AND(#REF!,"AAAAAHt9224=")</f>
        <v>#REF!</v>
      </c>
      <c r="DH138" t="e">
        <f>AND(#REF!,"AAAAAHt9228=")</f>
        <v>#REF!</v>
      </c>
      <c r="DI138" t="e">
        <f>AND(#REF!,"AAAAAHt923A=")</f>
        <v>#REF!</v>
      </c>
      <c r="DJ138" t="e">
        <f>AND(#REF!,"AAAAAHt923E=")</f>
        <v>#REF!</v>
      </c>
      <c r="DK138" t="e">
        <f>AND(#REF!,"AAAAAHt923I=")</f>
        <v>#REF!</v>
      </c>
      <c r="DL138" t="e">
        <f>AND(#REF!,"AAAAAHt923M=")</f>
        <v>#REF!</v>
      </c>
      <c r="DM138" t="e">
        <f>AND(#REF!,"AAAAAHt923Q=")</f>
        <v>#REF!</v>
      </c>
      <c r="DN138" t="e">
        <f>AND(#REF!,"AAAAAHt923U=")</f>
        <v>#REF!</v>
      </c>
      <c r="DO138" t="e">
        <f>AND(#REF!,"AAAAAHt923Y=")</f>
        <v>#REF!</v>
      </c>
      <c r="DP138" t="e">
        <f>AND(#REF!,"AAAAAHt923c=")</f>
        <v>#REF!</v>
      </c>
      <c r="DQ138" t="e">
        <f>AND(#REF!,"AAAAAHt923g=")</f>
        <v>#REF!</v>
      </c>
      <c r="DR138" t="e">
        <f>AND(#REF!,"AAAAAHt923k=")</f>
        <v>#REF!</v>
      </c>
      <c r="DS138" t="e">
        <f>AND(#REF!,"AAAAAHt923o=")</f>
        <v>#REF!</v>
      </c>
      <c r="DT138" t="e">
        <f>AND(#REF!,"AAAAAHt923s=")</f>
        <v>#REF!</v>
      </c>
      <c r="DU138" t="e">
        <f>AND(#REF!,"AAAAAHt923w=")</f>
        <v>#REF!</v>
      </c>
      <c r="DV138" t="e">
        <f>IF(#REF!,"AAAAAHt9230=",0)</f>
        <v>#REF!</v>
      </c>
      <c r="DW138" t="e">
        <f>AND(#REF!,"AAAAAHt9234=")</f>
        <v>#REF!</v>
      </c>
      <c r="DX138" t="e">
        <f>AND(#REF!,"AAAAAHt9238=")</f>
        <v>#REF!</v>
      </c>
      <c r="DY138" t="e">
        <f>AND(#REF!,"AAAAAHt924A=")</f>
        <v>#REF!</v>
      </c>
      <c r="DZ138" t="e">
        <f>AND(#REF!,"AAAAAHt924E=")</f>
        <v>#REF!</v>
      </c>
      <c r="EA138" t="e">
        <f>AND(#REF!,"AAAAAHt924I=")</f>
        <v>#REF!</v>
      </c>
      <c r="EB138" t="e">
        <f>AND(#REF!,"AAAAAHt924M=")</f>
        <v>#REF!</v>
      </c>
      <c r="EC138" t="e">
        <f>AND(#REF!,"AAAAAHt924Q=")</f>
        <v>#REF!</v>
      </c>
      <c r="ED138" t="e">
        <f>AND(#REF!,"AAAAAHt924U=")</f>
        <v>#REF!</v>
      </c>
      <c r="EE138" t="e">
        <f>AND(#REF!,"AAAAAHt924Y=")</f>
        <v>#REF!</v>
      </c>
      <c r="EF138" t="e">
        <f>AND(#REF!,"AAAAAHt924c=")</f>
        <v>#REF!</v>
      </c>
      <c r="EG138" t="e">
        <f>AND(#REF!,"AAAAAHt924g=")</f>
        <v>#REF!</v>
      </c>
      <c r="EH138" t="e">
        <f>AND(#REF!,"AAAAAHt924k=")</f>
        <v>#REF!</v>
      </c>
      <c r="EI138" t="e">
        <f>AND(#REF!,"AAAAAHt924o=")</f>
        <v>#REF!</v>
      </c>
      <c r="EJ138" t="e">
        <f>AND(#REF!,"AAAAAHt924s=")</f>
        <v>#REF!</v>
      </c>
      <c r="EK138" t="e">
        <f>AND(#REF!,"AAAAAHt924w=")</f>
        <v>#REF!</v>
      </c>
      <c r="EL138" t="e">
        <f>AND(#REF!,"AAAAAHt9240=")</f>
        <v>#REF!</v>
      </c>
      <c r="EM138" t="e">
        <f>AND(#REF!,"AAAAAHt9244=")</f>
        <v>#REF!</v>
      </c>
      <c r="EN138" t="e">
        <f>AND(#REF!,"AAAAAHt9248=")</f>
        <v>#REF!</v>
      </c>
      <c r="EO138" t="e">
        <f>AND(#REF!,"AAAAAHt925A=")</f>
        <v>#REF!</v>
      </c>
      <c r="EP138" t="e">
        <f>AND(#REF!,"AAAAAHt925E=")</f>
        <v>#REF!</v>
      </c>
      <c r="EQ138" t="e">
        <f>AND(#REF!,"AAAAAHt925I=")</f>
        <v>#REF!</v>
      </c>
      <c r="ER138" t="e">
        <f>AND(#REF!,"AAAAAHt925M=")</f>
        <v>#REF!</v>
      </c>
      <c r="ES138" t="e">
        <f>AND(#REF!,"AAAAAHt925Q=")</f>
        <v>#REF!</v>
      </c>
      <c r="ET138" t="e">
        <f>AND(#REF!,"AAAAAHt925U=")</f>
        <v>#REF!</v>
      </c>
      <c r="EU138" t="e">
        <f>IF(#REF!,"AAAAAHt925Y=",0)</f>
        <v>#REF!</v>
      </c>
      <c r="EV138" t="e">
        <f>AND(#REF!,"AAAAAHt925c=")</f>
        <v>#REF!</v>
      </c>
      <c r="EW138" t="e">
        <f>AND(#REF!,"AAAAAHt925g=")</f>
        <v>#REF!</v>
      </c>
      <c r="EX138" t="e">
        <f>AND(#REF!,"AAAAAHt925k=")</f>
        <v>#REF!</v>
      </c>
      <c r="EY138" t="e">
        <f>AND(#REF!,"AAAAAHt925o=")</f>
        <v>#REF!</v>
      </c>
      <c r="EZ138" t="e">
        <f>AND(#REF!,"AAAAAHt925s=")</f>
        <v>#REF!</v>
      </c>
      <c r="FA138" t="e">
        <f>AND(#REF!,"AAAAAHt925w=")</f>
        <v>#REF!</v>
      </c>
      <c r="FB138" t="e">
        <f>AND(#REF!,"AAAAAHt9250=")</f>
        <v>#REF!</v>
      </c>
      <c r="FC138" t="e">
        <f>AND(#REF!,"AAAAAHt9254=")</f>
        <v>#REF!</v>
      </c>
      <c r="FD138" t="e">
        <f>AND(#REF!,"AAAAAHt9258=")</f>
        <v>#REF!</v>
      </c>
      <c r="FE138" t="e">
        <f>AND(#REF!,"AAAAAHt926A=")</f>
        <v>#REF!</v>
      </c>
      <c r="FF138" t="e">
        <f>AND(#REF!,"AAAAAHt926E=")</f>
        <v>#REF!</v>
      </c>
      <c r="FG138" t="e">
        <f>AND(#REF!,"AAAAAHt926I=")</f>
        <v>#REF!</v>
      </c>
      <c r="FH138" t="e">
        <f>AND(#REF!,"AAAAAHt926M=")</f>
        <v>#REF!</v>
      </c>
      <c r="FI138" t="e">
        <f>AND(#REF!,"AAAAAHt926Q=")</f>
        <v>#REF!</v>
      </c>
      <c r="FJ138" t="e">
        <f>AND(#REF!,"AAAAAHt926U=")</f>
        <v>#REF!</v>
      </c>
      <c r="FK138" t="e">
        <f>AND(#REF!,"AAAAAHt926Y=")</f>
        <v>#REF!</v>
      </c>
      <c r="FL138" t="e">
        <f>AND(#REF!,"AAAAAHt926c=")</f>
        <v>#REF!</v>
      </c>
      <c r="FM138" t="e">
        <f>AND(#REF!,"AAAAAHt926g=")</f>
        <v>#REF!</v>
      </c>
      <c r="FN138" t="e">
        <f>AND(#REF!,"AAAAAHt926k=")</f>
        <v>#REF!</v>
      </c>
      <c r="FO138" t="e">
        <f>AND(#REF!,"AAAAAHt926o=")</f>
        <v>#REF!</v>
      </c>
      <c r="FP138" t="e">
        <f>AND(#REF!,"AAAAAHt926s=")</f>
        <v>#REF!</v>
      </c>
      <c r="FQ138" t="e">
        <f>AND(#REF!,"AAAAAHt926w=")</f>
        <v>#REF!</v>
      </c>
      <c r="FR138" t="e">
        <f>AND(#REF!,"AAAAAHt9260=")</f>
        <v>#REF!</v>
      </c>
      <c r="FS138" t="e">
        <f>AND(#REF!,"AAAAAHt9264=")</f>
        <v>#REF!</v>
      </c>
      <c r="FT138" t="e">
        <f>IF(#REF!,"AAAAAHt9268=",0)</f>
        <v>#REF!</v>
      </c>
      <c r="FU138" t="e">
        <f>AND(#REF!,"AAAAAHt927A=")</f>
        <v>#REF!</v>
      </c>
      <c r="FV138" t="e">
        <f>AND(#REF!,"AAAAAHt927E=")</f>
        <v>#REF!</v>
      </c>
      <c r="FW138" t="e">
        <f>AND(#REF!,"AAAAAHt927I=")</f>
        <v>#REF!</v>
      </c>
      <c r="FX138" t="e">
        <f>AND(#REF!,"AAAAAHt927M=")</f>
        <v>#REF!</v>
      </c>
      <c r="FY138" t="e">
        <f>AND(#REF!,"AAAAAHt927Q=")</f>
        <v>#REF!</v>
      </c>
      <c r="FZ138" t="e">
        <f>AND(#REF!,"AAAAAHt927U=")</f>
        <v>#REF!</v>
      </c>
      <c r="GA138" t="e">
        <f>AND(#REF!,"AAAAAHt927Y=")</f>
        <v>#REF!</v>
      </c>
      <c r="GB138" t="e">
        <f>AND(#REF!,"AAAAAHt927c=")</f>
        <v>#REF!</v>
      </c>
      <c r="GC138" t="e">
        <f>AND(#REF!,"AAAAAHt927g=")</f>
        <v>#REF!</v>
      </c>
      <c r="GD138" t="e">
        <f>AND(#REF!,"AAAAAHt927k=")</f>
        <v>#REF!</v>
      </c>
      <c r="GE138" t="e">
        <f>AND(#REF!,"AAAAAHt927o=")</f>
        <v>#REF!</v>
      </c>
      <c r="GF138" t="e">
        <f>AND(#REF!,"AAAAAHt927s=")</f>
        <v>#REF!</v>
      </c>
      <c r="GG138" t="e">
        <f>AND(#REF!,"AAAAAHt927w=")</f>
        <v>#REF!</v>
      </c>
      <c r="GH138" t="e">
        <f>AND(#REF!,"AAAAAHt9270=")</f>
        <v>#REF!</v>
      </c>
      <c r="GI138" t="e">
        <f>AND(#REF!,"AAAAAHt9274=")</f>
        <v>#REF!</v>
      </c>
      <c r="GJ138" t="e">
        <f>AND(#REF!,"AAAAAHt9278=")</f>
        <v>#REF!</v>
      </c>
      <c r="GK138" t="e">
        <f>AND(#REF!,"AAAAAHt928A=")</f>
        <v>#REF!</v>
      </c>
      <c r="GL138" t="e">
        <f>AND(#REF!,"AAAAAHt928E=")</f>
        <v>#REF!</v>
      </c>
      <c r="GM138" t="e">
        <f>AND(#REF!,"AAAAAHt928I=")</f>
        <v>#REF!</v>
      </c>
      <c r="GN138" t="e">
        <f>AND(#REF!,"AAAAAHt928M=")</f>
        <v>#REF!</v>
      </c>
      <c r="GO138" t="e">
        <f>AND(#REF!,"AAAAAHt928Q=")</f>
        <v>#REF!</v>
      </c>
      <c r="GP138" t="e">
        <f>AND(#REF!,"AAAAAHt928U=")</f>
        <v>#REF!</v>
      </c>
      <c r="GQ138" t="e">
        <f>AND(#REF!,"AAAAAHt928Y=")</f>
        <v>#REF!</v>
      </c>
      <c r="GR138" t="e">
        <f>AND(#REF!,"AAAAAHt928c=")</f>
        <v>#REF!</v>
      </c>
      <c r="GS138" t="e">
        <f>IF(#REF!,"AAAAAHt928g=",0)</f>
        <v>#REF!</v>
      </c>
      <c r="GT138" t="e">
        <f>AND(#REF!,"AAAAAHt928k=")</f>
        <v>#REF!</v>
      </c>
      <c r="GU138" t="e">
        <f>AND(#REF!,"AAAAAHt928o=")</f>
        <v>#REF!</v>
      </c>
      <c r="GV138" t="e">
        <f>AND(#REF!,"AAAAAHt928s=")</f>
        <v>#REF!</v>
      </c>
      <c r="GW138" t="e">
        <f>AND(#REF!,"AAAAAHt928w=")</f>
        <v>#REF!</v>
      </c>
      <c r="GX138" t="e">
        <f>AND(#REF!,"AAAAAHt9280=")</f>
        <v>#REF!</v>
      </c>
      <c r="GY138" t="e">
        <f>AND(#REF!,"AAAAAHt9284=")</f>
        <v>#REF!</v>
      </c>
      <c r="GZ138" t="e">
        <f>AND(#REF!,"AAAAAHt9288=")</f>
        <v>#REF!</v>
      </c>
      <c r="HA138" t="e">
        <f>AND(#REF!,"AAAAAHt929A=")</f>
        <v>#REF!</v>
      </c>
      <c r="HB138" t="e">
        <f>AND(#REF!,"AAAAAHt929E=")</f>
        <v>#REF!</v>
      </c>
      <c r="HC138" t="e">
        <f>AND(#REF!,"AAAAAHt929I=")</f>
        <v>#REF!</v>
      </c>
      <c r="HD138" t="e">
        <f>AND(#REF!,"AAAAAHt929M=")</f>
        <v>#REF!</v>
      </c>
      <c r="HE138" t="e">
        <f>AND(#REF!,"AAAAAHt929Q=")</f>
        <v>#REF!</v>
      </c>
      <c r="HF138" t="e">
        <f>AND(#REF!,"AAAAAHt929U=")</f>
        <v>#REF!</v>
      </c>
      <c r="HG138" t="e">
        <f>AND(#REF!,"AAAAAHt929Y=")</f>
        <v>#REF!</v>
      </c>
      <c r="HH138" t="e">
        <f>AND(#REF!,"AAAAAHt929c=")</f>
        <v>#REF!</v>
      </c>
      <c r="HI138" t="e">
        <f>AND(#REF!,"AAAAAHt929g=")</f>
        <v>#REF!</v>
      </c>
      <c r="HJ138" t="e">
        <f>AND(#REF!,"AAAAAHt929k=")</f>
        <v>#REF!</v>
      </c>
      <c r="HK138" t="e">
        <f>AND(#REF!,"AAAAAHt929o=")</f>
        <v>#REF!</v>
      </c>
      <c r="HL138" t="e">
        <f>AND(#REF!,"AAAAAHt929s=")</f>
        <v>#REF!</v>
      </c>
      <c r="HM138" t="e">
        <f>AND(#REF!,"AAAAAHt929w=")</f>
        <v>#REF!</v>
      </c>
      <c r="HN138" t="e">
        <f>AND(#REF!,"AAAAAHt9290=")</f>
        <v>#REF!</v>
      </c>
      <c r="HO138" t="e">
        <f>AND(#REF!,"AAAAAHt9294=")</f>
        <v>#REF!</v>
      </c>
      <c r="HP138" t="e">
        <f>AND(#REF!,"AAAAAHt9298=")</f>
        <v>#REF!</v>
      </c>
      <c r="HQ138" t="e">
        <f>AND(#REF!,"AAAAAHt92+A=")</f>
        <v>#REF!</v>
      </c>
      <c r="HR138" t="e">
        <f>IF(#REF!,"AAAAAHt92+E=",0)</f>
        <v>#REF!</v>
      </c>
      <c r="HS138" t="e">
        <f>AND(#REF!,"AAAAAHt92+I=")</f>
        <v>#REF!</v>
      </c>
      <c r="HT138" t="e">
        <f>AND(#REF!,"AAAAAHt92+M=")</f>
        <v>#REF!</v>
      </c>
      <c r="HU138" t="e">
        <f>AND(#REF!,"AAAAAHt92+Q=")</f>
        <v>#REF!</v>
      </c>
      <c r="HV138" t="e">
        <f>AND(#REF!,"AAAAAHt92+U=")</f>
        <v>#REF!</v>
      </c>
      <c r="HW138" t="e">
        <f>AND(#REF!,"AAAAAHt92+Y=")</f>
        <v>#REF!</v>
      </c>
      <c r="HX138" t="e">
        <f>AND(#REF!,"AAAAAHt92+c=")</f>
        <v>#REF!</v>
      </c>
      <c r="HY138" t="e">
        <f>AND(#REF!,"AAAAAHt92+g=")</f>
        <v>#REF!</v>
      </c>
      <c r="HZ138" t="e">
        <f>AND(#REF!,"AAAAAHt92+k=")</f>
        <v>#REF!</v>
      </c>
      <c r="IA138" t="e">
        <f>AND(#REF!,"AAAAAHt92+o=")</f>
        <v>#REF!</v>
      </c>
      <c r="IB138" t="e">
        <f>AND(#REF!,"AAAAAHt92+s=")</f>
        <v>#REF!</v>
      </c>
      <c r="IC138" t="e">
        <f>AND(#REF!,"AAAAAHt92+w=")</f>
        <v>#REF!</v>
      </c>
      <c r="ID138" t="e">
        <f>AND(#REF!,"AAAAAHt92+0=")</f>
        <v>#REF!</v>
      </c>
      <c r="IE138" t="e">
        <f>AND(#REF!,"AAAAAHt92+4=")</f>
        <v>#REF!</v>
      </c>
      <c r="IF138" t="e">
        <f>AND(#REF!,"AAAAAHt92+8=")</f>
        <v>#REF!</v>
      </c>
      <c r="IG138" t="e">
        <f>AND(#REF!,"AAAAAHt92/A=")</f>
        <v>#REF!</v>
      </c>
      <c r="IH138" t="e">
        <f>AND(#REF!,"AAAAAHt92/E=")</f>
        <v>#REF!</v>
      </c>
      <c r="II138" t="e">
        <f>AND(#REF!,"AAAAAHt92/I=")</f>
        <v>#REF!</v>
      </c>
      <c r="IJ138" t="e">
        <f>AND(#REF!,"AAAAAHt92/M=")</f>
        <v>#REF!</v>
      </c>
      <c r="IK138" t="e">
        <f>AND(#REF!,"AAAAAHt92/Q=")</f>
        <v>#REF!</v>
      </c>
      <c r="IL138" t="e">
        <f>AND(#REF!,"AAAAAHt92/U=")</f>
        <v>#REF!</v>
      </c>
      <c r="IM138" t="e">
        <f>AND(#REF!,"AAAAAHt92/Y=")</f>
        <v>#REF!</v>
      </c>
      <c r="IN138" t="e">
        <f>AND(#REF!,"AAAAAHt92/c=")</f>
        <v>#REF!</v>
      </c>
      <c r="IO138" t="e">
        <f>AND(#REF!,"AAAAAHt92/g=")</f>
        <v>#REF!</v>
      </c>
      <c r="IP138" t="e">
        <f>AND(#REF!,"AAAAAHt92/k=")</f>
        <v>#REF!</v>
      </c>
      <c r="IQ138" t="e">
        <f>IF(#REF!,"AAAAAHt92/o=",0)</f>
        <v>#REF!</v>
      </c>
      <c r="IR138" t="e">
        <f>AND(#REF!,"AAAAAHt92/s=")</f>
        <v>#REF!</v>
      </c>
      <c r="IS138" t="e">
        <f>AND(#REF!,"AAAAAHt92/w=")</f>
        <v>#REF!</v>
      </c>
      <c r="IT138" t="e">
        <f>AND(#REF!,"AAAAAHt92/0=")</f>
        <v>#REF!</v>
      </c>
      <c r="IU138" t="e">
        <f>AND(#REF!,"AAAAAHt92/4=")</f>
        <v>#REF!</v>
      </c>
      <c r="IV138" t="e">
        <f>AND(#REF!,"AAAAAHt92/8=")</f>
        <v>#REF!</v>
      </c>
    </row>
    <row r="139" spans="1:256" x14ac:dyDescent="0.25">
      <c r="A139" t="e">
        <f>AND(#REF!,"AAAAAH6v0wA=")</f>
        <v>#REF!</v>
      </c>
      <c r="B139" t="e">
        <f>AND(#REF!,"AAAAAH6v0wE=")</f>
        <v>#REF!</v>
      </c>
      <c r="C139" t="e">
        <f>AND(#REF!,"AAAAAH6v0wI=")</f>
        <v>#REF!</v>
      </c>
      <c r="D139" t="e">
        <f>AND(#REF!,"AAAAAH6v0wM=")</f>
        <v>#REF!</v>
      </c>
      <c r="E139" t="e">
        <f>AND(#REF!,"AAAAAH6v0wQ=")</f>
        <v>#REF!</v>
      </c>
      <c r="F139" t="e">
        <f>AND(#REF!,"AAAAAH6v0wU=")</f>
        <v>#REF!</v>
      </c>
      <c r="G139" t="e">
        <f>AND(#REF!,"AAAAAH6v0wY=")</f>
        <v>#REF!</v>
      </c>
      <c r="H139" t="e">
        <f>AND(#REF!,"AAAAAH6v0wc=")</f>
        <v>#REF!</v>
      </c>
      <c r="I139" t="e">
        <f>AND(#REF!,"AAAAAH6v0wg=")</f>
        <v>#REF!</v>
      </c>
      <c r="J139" t="e">
        <f>AND(#REF!,"AAAAAH6v0wk=")</f>
        <v>#REF!</v>
      </c>
      <c r="K139" t="e">
        <f>AND(#REF!,"AAAAAH6v0wo=")</f>
        <v>#REF!</v>
      </c>
      <c r="L139" t="e">
        <f>AND(#REF!,"AAAAAH6v0ws=")</f>
        <v>#REF!</v>
      </c>
      <c r="M139" t="e">
        <f>AND(#REF!,"AAAAAH6v0ww=")</f>
        <v>#REF!</v>
      </c>
      <c r="N139" t="e">
        <f>AND(#REF!,"AAAAAH6v0w0=")</f>
        <v>#REF!</v>
      </c>
      <c r="O139" t="e">
        <f>AND(#REF!,"AAAAAH6v0w4=")</f>
        <v>#REF!</v>
      </c>
      <c r="P139" t="e">
        <f>AND(#REF!,"AAAAAH6v0w8=")</f>
        <v>#REF!</v>
      </c>
      <c r="Q139" t="e">
        <f>AND(#REF!,"AAAAAH6v0xA=")</f>
        <v>#REF!</v>
      </c>
      <c r="R139" t="e">
        <f>AND(#REF!,"AAAAAH6v0xE=")</f>
        <v>#REF!</v>
      </c>
      <c r="S139" t="e">
        <f>AND(#REF!,"AAAAAH6v0xI=")</f>
        <v>#REF!</v>
      </c>
      <c r="T139" t="e">
        <f>IF(#REF!,"AAAAAH6v0xM=",0)</f>
        <v>#REF!</v>
      </c>
      <c r="U139" t="e">
        <f>AND(#REF!,"AAAAAH6v0xQ=")</f>
        <v>#REF!</v>
      </c>
      <c r="V139" t="e">
        <f>AND(#REF!,"AAAAAH6v0xU=")</f>
        <v>#REF!</v>
      </c>
      <c r="W139" t="e">
        <f>AND(#REF!,"AAAAAH6v0xY=")</f>
        <v>#REF!</v>
      </c>
      <c r="X139" t="e">
        <f>AND(#REF!,"AAAAAH6v0xc=")</f>
        <v>#REF!</v>
      </c>
      <c r="Y139" t="e">
        <f>AND(#REF!,"AAAAAH6v0xg=")</f>
        <v>#REF!</v>
      </c>
      <c r="Z139" t="e">
        <f>AND(#REF!,"AAAAAH6v0xk=")</f>
        <v>#REF!</v>
      </c>
      <c r="AA139" t="e">
        <f>AND(#REF!,"AAAAAH6v0xo=")</f>
        <v>#REF!</v>
      </c>
      <c r="AB139" t="e">
        <f>AND(#REF!,"AAAAAH6v0xs=")</f>
        <v>#REF!</v>
      </c>
      <c r="AC139" t="e">
        <f>AND(#REF!,"AAAAAH6v0xw=")</f>
        <v>#REF!</v>
      </c>
      <c r="AD139" t="e">
        <f>AND(#REF!,"AAAAAH6v0x0=")</f>
        <v>#REF!</v>
      </c>
      <c r="AE139" t="e">
        <f>AND(#REF!,"AAAAAH6v0x4=")</f>
        <v>#REF!</v>
      </c>
      <c r="AF139" t="e">
        <f>AND(#REF!,"AAAAAH6v0x8=")</f>
        <v>#REF!</v>
      </c>
      <c r="AG139" t="e">
        <f>AND(#REF!,"AAAAAH6v0yA=")</f>
        <v>#REF!</v>
      </c>
      <c r="AH139" t="e">
        <f>AND(#REF!,"AAAAAH6v0yE=")</f>
        <v>#REF!</v>
      </c>
      <c r="AI139" t="e">
        <f>AND(#REF!,"AAAAAH6v0yI=")</f>
        <v>#REF!</v>
      </c>
      <c r="AJ139" t="e">
        <f>AND(#REF!,"AAAAAH6v0yM=")</f>
        <v>#REF!</v>
      </c>
      <c r="AK139" t="e">
        <f>AND(#REF!,"AAAAAH6v0yQ=")</f>
        <v>#REF!</v>
      </c>
      <c r="AL139" t="e">
        <f>AND(#REF!,"AAAAAH6v0yU=")</f>
        <v>#REF!</v>
      </c>
      <c r="AM139" t="e">
        <f>AND(#REF!,"AAAAAH6v0yY=")</f>
        <v>#REF!</v>
      </c>
      <c r="AN139" t="e">
        <f>AND(#REF!,"AAAAAH6v0yc=")</f>
        <v>#REF!</v>
      </c>
      <c r="AO139" t="e">
        <f>AND(#REF!,"AAAAAH6v0yg=")</f>
        <v>#REF!</v>
      </c>
      <c r="AP139" t="e">
        <f>AND(#REF!,"AAAAAH6v0yk=")</f>
        <v>#REF!</v>
      </c>
      <c r="AQ139" t="e">
        <f>AND(#REF!,"AAAAAH6v0yo=")</f>
        <v>#REF!</v>
      </c>
      <c r="AR139" t="e">
        <f>AND(#REF!,"AAAAAH6v0ys=")</f>
        <v>#REF!</v>
      </c>
      <c r="AS139" t="e">
        <f>IF(#REF!,"AAAAAH6v0yw=",0)</f>
        <v>#REF!</v>
      </c>
      <c r="AT139" t="e">
        <f>IF(#REF!,"AAAAAH6v0y0=",0)</f>
        <v>#REF!</v>
      </c>
      <c r="AU139" t="e">
        <f>IF(#REF!,"AAAAAH6v0y4=",0)</f>
        <v>#REF!</v>
      </c>
      <c r="AV139" t="e">
        <f>IF(#REF!,"AAAAAH6v0y8=",0)</f>
        <v>#REF!</v>
      </c>
      <c r="AW139" t="e">
        <f>IF(#REF!,"AAAAAH6v0zA=",0)</f>
        <v>#REF!</v>
      </c>
      <c r="AX139" t="e">
        <f>IF(#REF!,"AAAAAH6v0zE=",0)</f>
        <v>#REF!</v>
      </c>
      <c r="AY139" t="e">
        <f>IF(#REF!,"AAAAAH6v0zI=",0)</f>
        <v>#REF!</v>
      </c>
      <c r="AZ139" t="e">
        <f>IF(#REF!,"AAAAAH6v0zM=",0)</f>
        <v>#REF!</v>
      </c>
      <c r="BA139" t="e">
        <f>IF(#REF!,"AAAAAH6v0zQ=",0)</f>
        <v>#REF!</v>
      </c>
      <c r="BB139" t="e">
        <f>IF(#REF!,"AAAAAH6v0zU=",0)</f>
        <v>#REF!</v>
      </c>
      <c r="BC139" t="e">
        <f>IF(#REF!,"AAAAAH6v0zY=",0)</f>
        <v>#REF!</v>
      </c>
      <c r="BD139" t="e">
        <f>IF(#REF!,"AAAAAH6v0zc=",0)</f>
        <v>#REF!</v>
      </c>
      <c r="BE139" t="e">
        <f>IF(#REF!,"AAAAAH6v0zg=",0)</f>
        <v>#REF!</v>
      </c>
      <c r="BF139" t="e">
        <f>IF(#REF!,"AAAAAH6v0zk=",0)</f>
        <v>#REF!</v>
      </c>
      <c r="BG139" t="e">
        <f>IF(#REF!,"AAAAAH6v0zo=",0)</f>
        <v>#REF!</v>
      </c>
      <c r="BH139" t="e">
        <f>IF(#REF!,"AAAAAH6v0zs=",0)</f>
        <v>#REF!</v>
      </c>
      <c r="BI139" t="e">
        <f>IF(#REF!,"AAAAAH6v0zw=",0)</f>
        <v>#REF!</v>
      </c>
      <c r="BJ139" t="e">
        <f>IF(#REF!,"AAAAAH6v0z0=",0)</f>
        <v>#REF!</v>
      </c>
      <c r="BK139" t="e">
        <f>IF(#REF!,"AAAAAH6v0z4=",0)</f>
        <v>#REF!</v>
      </c>
      <c r="BL139" t="e">
        <f>IF(#REF!,"AAAAAH6v0z8=",0)</f>
        <v>#REF!</v>
      </c>
      <c r="BM139" t="e">
        <f>IF(#REF!,"AAAAAH6v00A=",0)</f>
        <v>#REF!</v>
      </c>
      <c r="BN139" t="e">
        <f>IF(#REF!,"AAAAAH6v00E=",0)</f>
        <v>#REF!</v>
      </c>
      <c r="BO139" t="e">
        <f>IF(#REF!,"AAAAAH6v00I=",0)</f>
        <v>#REF!</v>
      </c>
      <c r="BP139" t="e">
        <f>IF(#REF!,"AAAAAH6v00M=",0)</f>
        <v>#REF!</v>
      </c>
      <c r="BQ139" t="e">
        <f>IF(#REF!,"AAAAAH6v00Q=",0)</f>
        <v>#REF!</v>
      </c>
      <c r="BR139" t="e">
        <f>IF(#REF!,"AAAAAH6v00U=",0)</f>
        <v>#REF!</v>
      </c>
      <c r="BS139" t="e">
        <f>IF(#REF!,"AAAAAH6v00Y=",0)</f>
        <v>#REF!</v>
      </c>
      <c r="BT139" t="e">
        <f>IF(#REF!,"AAAAAH6v00c=",0)</f>
        <v>#REF!</v>
      </c>
      <c r="BU139" t="e">
        <f>IF(#REF!,"AAAAAH6v00g=",0)</f>
        <v>#REF!</v>
      </c>
      <c r="BV139" t="e">
        <f>IF(#REF!,"AAAAAH6v00k=",0)</f>
        <v>#REF!</v>
      </c>
      <c r="BW139" t="e">
        <f>IF(#REF!,"AAAAAH6v00o=",0)</f>
        <v>#REF!</v>
      </c>
      <c r="BX139" t="e">
        <f>IF(#REF!,"AAAAAH6v00s=",0)</f>
        <v>#REF!</v>
      </c>
      <c r="BY139" t="e">
        <f>IF(#REF!,"AAAAAH6v00w=",0)</f>
        <v>#REF!</v>
      </c>
      <c r="BZ139" t="e">
        <f>IF(#REF!,"AAAAAH6v000=",0)</f>
        <v>#REF!</v>
      </c>
      <c r="CA139" t="e">
        <f>IF(#REF!,"AAAAAH6v004=",0)</f>
        <v>#REF!</v>
      </c>
      <c r="CB139" t="e">
        <f>IF(#REF!,"AAAAAH6v008=",0)</f>
        <v>#REF!</v>
      </c>
      <c r="CC139" t="e">
        <f>IF(#REF!,"AAAAAH6v01A=",0)</f>
        <v>#REF!</v>
      </c>
      <c r="CD139" t="e">
        <f>IF(#REF!,"AAAAAH6v01E=",0)</f>
        <v>#REF!</v>
      </c>
      <c r="CE139" t="e">
        <f>IF(#REF!,"AAAAAH6v01I=",0)</f>
        <v>#REF!</v>
      </c>
      <c r="CF139" t="e">
        <f>IF(#REF!,"AAAAAH6v01M=",0)</f>
        <v>#REF!</v>
      </c>
      <c r="CG139" t="e">
        <f>IF(#REF!,"AAAAAH6v01Q=",0)</f>
        <v>#REF!</v>
      </c>
      <c r="CH139" t="e">
        <f>IF(#REF!,"AAAAAH6v01U=",0)</f>
        <v>#REF!</v>
      </c>
      <c r="CI139" t="e">
        <f>IF(#REF!,"AAAAAH6v01Y=",0)</f>
        <v>#REF!</v>
      </c>
      <c r="CJ139" t="e">
        <f>IF(#REF!,"AAAAAH6v01c=",0)</f>
        <v>#REF!</v>
      </c>
      <c r="CK139" t="e">
        <f>IF(#REF!,"AAAAAH6v01g=",0)</f>
        <v>#REF!</v>
      </c>
      <c r="CL139" t="e">
        <f>IF(#REF!,"AAAAAH6v01k=",0)</f>
        <v>#REF!</v>
      </c>
      <c r="CM139" t="e">
        <f>IF(#REF!,"AAAAAH6v01o=",0)</f>
        <v>#REF!</v>
      </c>
      <c r="CN139" t="e">
        <f>IF(#REF!,"AAAAAH6v01s=",0)</f>
        <v>#REF!</v>
      </c>
      <c r="CO139" t="e">
        <f>IF(#REF!,"AAAAAH6v01w=",0)</f>
        <v>#REF!</v>
      </c>
      <c r="CP139" t="e">
        <f>AND(#REF!,"AAAAAH6v010=")</f>
        <v>#REF!</v>
      </c>
      <c r="CQ139" t="e">
        <f>AND(#REF!,"AAAAAH6v014=")</f>
        <v>#REF!</v>
      </c>
      <c r="CR139" t="e">
        <f>AND(#REF!,"AAAAAH6v018=")</f>
        <v>#REF!</v>
      </c>
      <c r="CS139" t="e">
        <f>AND(#REF!,"AAAAAH6v02A=")</f>
        <v>#REF!</v>
      </c>
      <c r="CT139" t="e">
        <f>AND(#REF!,"AAAAAH6v02E=")</f>
        <v>#REF!</v>
      </c>
      <c r="CU139" t="e">
        <f>AND(#REF!,"AAAAAH6v02I=")</f>
        <v>#REF!</v>
      </c>
      <c r="CV139" t="e">
        <f>AND(#REF!,"AAAAAH6v02M=")</f>
        <v>#REF!</v>
      </c>
      <c r="CW139" t="e">
        <f>AND(#REF!,"AAAAAH6v02Q=")</f>
        <v>#REF!</v>
      </c>
      <c r="CX139" t="e">
        <f>AND(#REF!,"AAAAAH6v02U=")</f>
        <v>#REF!</v>
      </c>
      <c r="CY139" t="e">
        <f>AND(#REF!,"AAAAAH6v02Y=")</f>
        <v>#REF!</v>
      </c>
      <c r="CZ139" t="e">
        <f>AND(#REF!,"AAAAAH6v02c=")</f>
        <v>#REF!</v>
      </c>
      <c r="DA139" t="e">
        <f>AND(#REF!,"AAAAAH6v02g=")</f>
        <v>#REF!</v>
      </c>
      <c r="DB139" t="e">
        <f>AND(#REF!,"AAAAAH6v02k=")</f>
        <v>#REF!</v>
      </c>
      <c r="DC139" t="e">
        <f>AND(#REF!,"AAAAAH6v02o=")</f>
        <v>#REF!</v>
      </c>
      <c r="DD139" t="e">
        <f>AND(#REF!,"AAAAAH6v02s=")</f>
        <v>#REF!</v>
      </c>
      <c r="DE139" t="e">
        <f>AND(#REF!,"AAAAAH6v02w=")</f>
        <v>#REF!</v>
      </c>
      <c r="DF139" t="e">
        <f>AND(#REF!,"AAAAAH6v020=")</f>
        <v>#REF!</v>
      </c>
      <c r="DG139" t="e">
        <f>AND(#REF!,"AAAAAH6v024=")</f>
        <v>#REF!</v>
      </c>
      <c r="DH139" t="e">
        <f>AND(#REF!,"AAAAAH6v028=")</f>
        <v>#REF!</v>
      </c>
      <c r="DI139" t="e">
        <f>AND(#REF!,"AAAAAH6v03A=")</f>
        <v>#REF!</v>
      </c>
      <c r="DJ139" t="e">
        <f>AND(#REF!,"AAAAAH6v03E=")</f>
        <v>#REF!</v>
      </c>
      <c r="DK139" t="e">
        <f>AND(#REF!,"AAAAAH6v03I=")</f>
        <v>#REF!</v>
      </c>
      <c r="DL139" t="e">
        <f>AND(#REF!,"AAAAAH6v03M=")</f>
        <v>#REF!</v>
      </c>
      <c r="DM139" t="e">
        <f>AND(#REF!,"AAAAAH6v03Q=")</f>
        <v>#REF!</v>
      </c>
      <c r="DN139" t="e">
        <f>IF(#REF!,"AAAAAH6v03U=",0)</f>
        <v>#REF!</v>
      </c>
      <c r="DO139" t="e">
        <f>AND(#REF!,"AAAAAH6v03Y=")</f>
        <v>#REF!</v>
      </c>
      <c r="DP139" t="e">
        <f>AND(#REF!,"AAAAAH6v03c=")</f>
        <v>#REF!</v>
      </c>
      <c r="DQ139" t="e">
        <f>AND(#REF!,"AAAAAH6v03g=")</f>
        <v>#REF!</v>
      </c>
      <c r="DR139" t="e">
        <f>AND(#REF!,"AAAAAH6v03k=")</f>
        <v>#REF!</v>
      </c>
      <c r="DS139" t="e">
        <f>AND(#REF!,"AAAAAH6v03o=")</f>
        <v>#REF!</v>
      </c>
      <c r="DT139" t="e">
        <f>AND(#REF!,"AAAAAH6v03s=")</f>
        <v>#REF!</v>
      </c>
      <c r="DU139" t="e">
        <f>AND(#REF!,"AAAAAH6v03w=")</f>
        <v>#REF!</v>
      </c>
      <c r="DV139" t="e">
        <f>AND(#REF!,"AAAAAH6v030=")</f>
        <v>#REF!</v>
      </c>
      <c r="DW139" t="e">
        <f>AND(#REF!,"AAAAAH6v034=")</f>
        <v>#REF!</v>
      </c>
      <c r="DX139" t="e">
        <f>AND(#REF!,"AAAAAH6v038=")</f>
        <v>#REF!</v>
      </c>
      <c r="DY139" t="e">
        <f>AND(#REF!,"AAAAAH6v04A=")</f>
        <v>#REF!</v>
      </c>
      <c r="DZ139" t="e">
        <f>AND(#REF!,"AAAAAH6v04E=")</f>
        <v>#REF!</v>
      </c>
      <c r="EA139" t="e">
        <f>AND(#REF!,"AAAAAH6v04I=")</f>
        <v>#REF!</v>
      </c>
      <c r="EB139" t="e">
        <f>AND(#REF!,"AAAAAH6v04M=")</f>
        <v>#REF!</v>
      </c>
      <c r="EC139" t="e">
        <f>AND(#REF!,"AAAAAH6v04Q=")</f>
        <v>#REF!</v>
      </c>
      <c r="ED139" t="e">
        <f>AND(#REF!,"AAAAAH6v04U=")</f>
        <v>#REF!</v>
      </c>
      <c r="EE139" t="e">
        <f>AND(#REF!,"AAAAAH6v04Y=")</f>
        <v>#REF!</v>
      </c>
      <c r="EF139" t="e">
        <f>AND(#REF!,"AAAAAH6v04c=")</f>
        <v>#REF!</v>
      </c>
      <c r="EG139" t="e">
        <f>AND(#REF!,"AAAAAH6v04g=")</f>
        <v>#REF!</v>
      </c>
      <c r="EH139" t="e">
        <f>AND(#REF!,"AAAAAH6v04k=")</f>
        <v>#REF!</v>
      </c>
      <c r="EI139" t="e">
        <f>AND(#REF!,"AAAAAH6v04o=")</f>
        <v>#REF!</v>
      </c>
      <c r="EJ139" t="e">
        <f>AND(#REF!,"AAAAAH6v04s=")</f>
        <v>#REF!</v>
      </c>
      <c r="EK139" t="e">
        <f>AND(#REF!,"AAAAAH6v04w=")</f>
        <v>#REF!</v>
      </c>
      <c r="EL139" t="e">
        <f>AND(#REF!,"AAAAAH6v040=")</f>
        <v>#REF!</v>
      </c>
      <c r="EM139" t="e">
        <f>IF(#REF!,"AAAAAH6v044=",0)</f>
        <v>#REF!</v>
      </c>
      <c r="EN139" t="e">
        <f>AND(#REF!,"AAAAAH6v048=")</f>
        <v>#REF!</v>
      </c>
      <c r="EO139" t="e">
        <f>AND(#REF!,"AAAAAH6v05A=")</f>
        <v>#REF!</v>
      </c>
      <c r="EP139" t="e">
        <f>AND(#REF!,"AAAAAH6v05E=")</f>
        <v>#REF!</v>
      </c>
      <c r="EQ139" t="e">
        <f>AND(#REF!,"AAAAAH6v05I=")</f>
        <v>#REF!</v>
      </c>
      <c r="ER139" t="e">
        <f>AND(#REF!,"AAAAAH6v05M=")</f>
        <v>#REF!</v>
      </c>
      <c r="ES139" t="e">
        <f>AND(#REF!,"AAAAAH6v05Q=")</f>
        <v>#REF!</v>
      </c>
      <c r="ET139" t="e">
        <f>AND(#REF!,"AAAAAH6v05U=")</f>
        <v>#REF!</v>
      </c>
      <c r="EU139" t="e">
        <f>AND(#REF!,"AAAAAH6v05Y=")</f>
        <v>#REF!</v>
      </c>
      <c r="EV139" t="e">
        <f>AND(#REF!,"AAAAAH6v05c=")</f>
        <v>#REF!</v>
      </c>
      <c r="EW139" t="e">
        <f>AND(#REF!,"AAAAAH6v05g=")</f>
        <v>#REF!</v>
      </c>
      <c r="EX139" t="e">
        <f>AND(#REF!,"AAAAAH6v05k=")</f>
        <v>#REF!</v>
      </c>
      <c r="EY139" t="e">
        <f>AND(#REF!,"AAAAAH6v05o=")</f>
        <v>#REF!</v>
      </c>
      <c r="EZ139" t="e">
        <f>AND(#REF!,"AAAAAH6v05s=")</f>
        <v>#REF!</v>
      </c>
      <c r="FA139" t="e">
        <f>AND(#REF!,"AAAAAH6v05w=")</f>
        <v>#REF!</v>
      </c>
      <c r="FB139" t="e">
        <f>AND(#REF!,"AAAAAH6v050=")</f>
        <v>#REF!</v>
      </c>
      <c r="FC139" t="e">
        <f>AND(#REF!,"AAAAAH6v054=")</f>
        <v>#REF!</v>
      </c>
      <c r="FD139" t="e">
        <f>AND(#REF!,"AAAAAH6v058=")</f>
        <v>#REF!</v>
      </c>
      <c r="FE139" t="e">
        <f>AND(#REF!,"AAAAAH6v06A=")</f>
        <v>#REF!</v>
      </c>
      <c r="FF139" t="e">
        <f>AND(#REF!,"AAAAAH6v06E=")</f>
        <v>#REF!</v>
      </c>
      <c r="FG139" t="e">
        <f>AND(#REF!,"AAAAAH6v06I=")</f>
        <v>#REF!</v>
      </c>
      <c r="FH139" t="e">
        <f>AND(#REF!,"AAAAAH6v06M=")</f>
        <v>#REF!</v>
      </c>
      <c r="FI139" t="e">
        <f>AND(#REF!,"AAAAAH6v06Q=")</f>
        <v>#REF!</v>
      </c>
      <c r="FJ139" t="e">
        <f>AND(#REF!,"AAAAAH6v06U=")</f>
        <v>#REF!</v>
      </c>
      <c r="FK139" t="e">
        <f>AND(#REF!,"AAAAAH6v06Y=")</f>
        <v>#REF!</v>
      </c>
      <c r="FL139" t="e">
        <f>IF(#REF!,"AAAAAH6v06c=",0)</f>
        <v>#REF!</v>
      </c>
      <c r="FM139" t="e">
        <f>AND(#REF!,"AAAAAH6v06g=")</f>
        <v>#REF!</v>
      </c>
      <c r="FN139" t="e">
        <f>AND(#REF!,"AAAAAH6v06k=")</f>
        <v>#REF!</v>
      </c>
      <c r="FO139" t="e">
        <f>AND(#REF!,"AAAAAH6v06o=")</f>
        <v>#REF!</v>
      </c>
      <c r="FP139" t="e">
        <f>AND(#REF!,"AAAAAH6v06s=")</f>
        <v>#REF!</v>
      </c>
      <c r="FQ139" t="e">
        <f>AND(#REF!,"AAAAAH6v06w=")</f>
        <v>#REF!</v>
      </c>
      <c r="FR139" t="e">
        <f>AND(#REF!,"AAAAAH6v060=")</f>
        <v>#REF!</v>
      </c>
      <c r="FS139" t="e">
        <f>AND(#REF!,"AAAAAH6v064=")</f>
        <v>#REF!</v>
      </c>
      <c r="FT139" t="e">
        <f>AND(#REF!,"AAAAAH6v068=")</f>
        <v>#REF!</v>
      </c>
      <c r="FU139" t="e">
        <f>AND(#REF!,"AAAAAH6v07A=")</f>
        <v>#REF!</v>
      </c>
      <c r="FV139" t="e">
        <f>AND(#REF!,"AAAAAH6v07E=")</f>
        <v>#REF!</v>
      </c>
      <c r="FW139" t="e">
        <f>AND(#REF!,"AAAAAH6v07I=")</f>
        <v>#REF!</v>
      </c>
      <c r="FX139" t="e">
        <f>AND(#REF!,"AAAAAH6v07M=")</f>
        <v>#REF!</v>
      </c>
      <c r="FY139" t="e">
        <f>AND(#REF!,"AAAAAH6v07Q=")</f>
        <v>#REF!</v>
      </c>
      <c r="FZ139" t="e">
        <f>AND(#REF!,"AAAAAH6v07U=")</f>
        <v>#REF!</v>
      </c>
      <c r="GA139" t="e">
        <f>AND(#REF!,"AAAAAH6v07Y=")</f>
        <v>#REF!</v>
      </c>
      <c r="GB139" t="e">
        <f>AND(#REF!,"AAAAAH6v07c=")</f>
        <v>#REF!</v>
      </c>
      <c r="GC139" t="e">
        <f>AND(#REF!,"AAAAAH6v07g=")</f>
        <v>#REF!</v>
      </c>
      <c r="GD139" t="e">
        <f>AND(#REF!,"AAAAAH6v07k=")</f>
        <v>#REF!</v>
      </c>
      <c r="GE139" t="e">
        <f>AND(#REF!,"AAAAAH6v07o=")</f>
        <v>#REF!</v>
      </c>
      <c r="GF139" t="e">
        <f>AND(#REF!,"AAAAAH6v07s=")</f>
        <v>#REF!</v>
      </c>
      <c r="GG139" t="e">
        <f>AND(#REF!,"AAAAAH6v07w=")</f>
        <v>#REF!</v>
      </c>
      <c r="GH139" t="e">
        <f>AND(#REF!,"AAAAAH6v070=")</f>
        <v>#REF!</v>
      </c>
      <c r="GI139" t="e">
        <f>AND(#REF!,"AAAAAH6v074=")</f>
        <v>#REF!</v>
      </c>
      <c r="GJ139" t="e">
        <f>AND(#REF!,"AAAAAH6v078=")</f>
        <v>#REF!</v>
      </c>
      <c r="GK139" t="e">
        <f>IF(#REF!,"AAAAAH6v08A=",0)</f>
        <v>#REF!</v>
      </c>
      <c r="GL139" t="e">
        <f>AND(#REF!,"AAAAAH6v08E=")</f>
        <v>#REF!</v>
      </c>
      <c r="GM139" t="e">
        <f>AND(#REF!,"AAAAAH6v08I=")</f>
        <v>#REF!</v>
      </c>
      <c r="GN139" t="e">
        <f>AND(#REF!,"AAAAAH6v08M=")</f>
        <v>#REF!</v>
      </c>
      <c r="GO139" t="e">
        <f>AND(#REF!,"AAAAAH6v08Q=")</f>
        <v>#REF!</v>
      </c>
      <c r="GP139" t="e">
        <f>AND(#REF!,"AAAAAH6v08U=")</f>
        <v>#REF!</v>
      </c>
      <c r="GQ139" t="e">
        <f>AND(#REF!,"AAAAAH6v08Y=")</f>
        <v>#REF!</v>
      </c>
      <c r="GR139" t="e">
        <f>AND(#REF!,"AAAAAH6v08c=")</f>
        <v>#REF!</v>
      </c>
      <c r="GS139" t="e">
        <f>AND(#REF!,"AAAAAH6v08g=")</f>
        <v>#REF!</v>
      </c>
      <c r="GT139" t="e">
        <f>AND(#REF!,"AAAAAH6v08k=")</f>
        <v>#REF!</v>
      </c>
      <c r="GU139" t="e">
        <f>AND(#REF!,"AAAAAH6v08o=")</f>
        <v>#REF!</v>
      </c>
      <c r="GV139" t="e">
        <f>AND(#REF!,"AAAAAH6v08s=")</f>
        <v>#REF!</v>
      </c>
      <c r="GW139" t="e">
        <f>AND(#REF!,"AAAAAH6v08w=")</f>
        <v>#REF!</v>
      </c>
      <c r="GX139" t="e">
        <f>AND(#REF!,"AAAAAH6v080=")</f>
        <v>#REF!</v>
      </c>
      <c r="GY139" t="e">
        <f>AND(#REF!,"AAAAAH6v084=")</f>
        <v>#REF!</v>
      </c>
      <c r="GZ139" t="e">
        <f>AND(#REF!,"AAAAAH6v088=")</f>
        <v>#REF!</v>
      </c>
      <c r="HA139" t="e">
        <f>AND(#REF!,"AAAAAH6v09A=")</f>
        <v>#REF!</v>
      </c>
      <c r="HB139" t="e">
        <f>AND(#REF!,"AAAAAH6v09E=")</f>
        <v>#REF!</v>
      </c>
      <c r="HC139" t="e">
        <f>AND(#REF!,"AAAAAH6v09I=")</f>
        <v>#REF!</v>
      </c>
      <c r="HD139" t="e">
        <f>AND(#REF!,"AAAAAH6v09M=")</f>
        <v>#REF!</v>
      </c>
      <c r="HE139" t="e">
        <f>AND(#REF!,"AAAAAH6v09Q=")</f>
        <v>#REF!</v>
      </c>
      <c r="HF139" t="e">
        <f>AND(#REF!,"AAAAAH6v09U=")</f>
        <v>#REF!</v>
      </c>
      <c r="HG139" t="e">
        <f>AND(#REF!,"AAAAAH6v09Y=")</f>
        <v>#REF!</v>
      </c>
      <c r="HH139" t="e">
        <f>AND(#REF!,"AAAAAH6v09c=")</f>
        <v>#REF!</v>
      </c>
      <c r="HI139" t="e">
        <f>AND(#REF!,"AAAAAH6v09g=")</f>
        <v>#REF!</v>
      </c>
      <c r="HJ139" t="e">
        <f>IF(#REF!,"AAAAAH6v09k=",0)</f>
        <v>#REF!</v>
      </c>
      <c r="HK139" t="e">
        <f>AND(#REF!,"AAAAAH6v09o=")</f>
        <v>#REF!</v>
      </c>
      <c r="HL139" t="e">
        <f>AND(#REF!,"AAAAAH6v09s=")</f>
        <v>#REF!</v>
      </c>
      <c r="HM139" t="e">
        <f>AND(#REF!,"AAAAAH6v09w=")</f>
        <v>#REF!</v>
      </c>
      <c r="HN139" t="e">
        <f>AND(#REF!,"AAAAAH6v090=")</f>
        <v>#REF!</v>
      </c>
      <c r="HO139" t="e">
        <f>AND(#REF!,"AAAAAH6v094=")</f>
        <v>#REF!</v>
      </c>
      <c r="HP139" t="e">
        <f>AND(#REF!,"AAAAAH6v098=")</f>
        <v>#REF!</v>
      </c>
      <c r="HQ139" t="e">
        <f>AND(#REF!,"AAAAAH6v0+A=")</f>
        <v>#REF!</v>
      </c>
      <c r="HR139" t="e">
        <f>AND(#REF!,"AAAAAH6v0+E=")</f>
        <v>#REF!</v>
      </c>
      <c r="HS139" t="e">
        <f>AND(#REF!,"AAAAAH6v0+I=")</f>
        <v>#REF!</v>
      </c>
      <c r="HT139" t="e">
        <f>AND(#REF!,"AAAAAH6v0+M=")</f>
        <v>#REF!</v>
      </c>
      <c r="HU139" t="e">
        <f>AND(#REF!,"AAAAAH6v0+Q=")</f>
        <v>#REF!</v>
      </c>
      <c r="HV139" t="e">
        <f>AND(#REF!,"AAAAAH6v0+U=")</f>
        <v>#REF!</v>
      </c>
      <c r="HW139" t="e">
        <f>AND(#REF!,"AAAAAH6v0+Y=")</f>
        <v>#REF!</v>
      </c>
      <c r="HX139" t="e">
        <f>AND(#REF!,"AAAAAH6v0+c=")</f>
        <v>#REF!</v>
      </c>
      <c r="HY139" t="e">
        <f>AND(#REF!,"AAAAAH6v0+g=")</f>
        <v>#REF!</v>
      </c>
      <c r="HZ139" t="e">
        <f>AND(#REF!,"AAAAAH6v0+k=")</f>
        <v>#REF!</v>
      </c>
      <c r="IA139" t="e">
        <f>AND(#REF!,"AAAAAH6v0+o=")</f>
        <v>#REF!</v>
      </c>
      <c r="IB139" t="e">
        <f>AND(#REF!,"AAAAAH6v0+s=")</f>
        <v>#REF!</v>
      </c>
      <c r="IC139" t="e">
        <f>AND(#REF!,"AAAAAH6v0+w=")</f>
        <v>#REF!</v>
      </c>
      <c r="ID139" t="e">
        <f>AND(#REF!,"AAAAAH6v0+0=")</f>
        <v>#REF!</v>
      </c>
      <c r="IE139" t="e">
        <f>AND(#REF!,"AAAAAH6v0+4=")</f>
        <v>#REF!</v>
      </c>
      <c r="IF139" t="e">
        <f>AND(#REF!,"AAAAAH6v0+8=")</f>
        <v>#REF!</v>
      </c>
      <c r="IG139" t="e">
        <f>AND(#REF!,"AAAAAH6v0/A=")</f>
        <v>#REF!</v>
      </c>
      <c r="IH139" t="e">
        <f>AND(#REF!,"AAAAAH6v0/E=")</f>
        <v>#REF!</v>
      </c>
      <c r="II139" t="e">
        <f>IF(#REF!,"AAAAAH6v0/I=",0)</f>
        <v>#REF!</v>
      </c>
      <c r="IJ139" t="e">
        <f>AND(#REF!,"AAAAAH6v0/M=")</f>
        <v>#REF!</v>
      </c>
      <c r="IK139" t="e">
        <f>AND(#REF!,"AAAAAH6v0/Q=")</f>
        <v>#REF!</v>
      </c>
      <c r="IL139" t="e">
        <f>AND(#REF!,"AAAAAH6v0/U=")</f>
        <v>#REF!</v>
      </c>
      <c r="IM139" t="e">
        <f>AND(#REF!,"AAAAAH6v0/Y=")</f>
        <v>#REF!</v>
      </c>
      <c r="IN139" t="e">
        <f>AND(#REF!,"AAAAAH6v0/c=")</f>
        <v>#REF!</v>
      </c>
      <c r="IO139" t="e">
        <f>AND(#REF!,"AAAAAH6v0/g=")</f>
        <v>#REF!</v>
      </c>
      <c r="IP139" t="e">
        <f>AND(#REF!,"AAAAAH6v0/k=")</f>
        <v>#REF!</v>
      </c>
      <c r="IQ139" t="e">
        <f>AND(#REF!,"AAAAAH6v0/o=")</f>
        <v>#REF!</v>
      </c>
      <c r="IR139" t="e">
        <f>AND(#REF!,"AAAAAH6v0/s=")</f>
        <v>#REF!</v>
      </c>
      <c r="IS139" t="e">
        <f>AND(#REF!,"AAAAAH6v0/w=")</f>
        <v>#REF!</v>
      </c>
      <c r="IT139" t="e">
        <f>AND(#REF!,"AAAAAH6v0/0=")</f>
        <v>#REF!</v>
      </c>
      <c r="IU139" t="e">
        <f>AND(#REF!,"AAAAAH6v0/4=")</f>
        <v>#REF!</v>
      </c>
      <c r="IV139" t="e">
        <f>AND(#REF!,"AAAAAH6v0/8=")</f>
        <v>#REF!</v>
      </c>
    </row>
    <row r="140" spans="1:256" x14ac:dyDescent="0.25">
      <c r="A140" t="e">
        <f>AND(#REF!,"AAAAAFibyQA=")</f>
        <v>#REF!</v>
      </c>
      <c r="B140" t="e">
        <f>AND(#REF!,"AAAAAFibyQE=")</f>
        <v>#REF!</v>
      </c>
      <c r="C140" t="e">
        <f>AND(#REF!,"AAAAAFibyQI=")</f>
        <v>#REF!</v>
      </c>
      <c r="D140" t="e">
        <f>AND(#REF!,"AAAAAFibyQM=")</f>
        <v>#REF!</v>
      </c>
      <c r="E140" t="e">
        <f>AND(#REF!,"AAAAAFibyQQ=")</f>
        <v>#REF!</v>
      </c>
      <c r="F140" t="e">
        <f>AND(#REF!,"AAAAAFibyQU=")</f>
        <v>#REF!</v>
      </c>
      <c r="G140" t="e">
        <f>AND(#REF!,"AAAAAFibyQY=")</f>
        <v>#REF!</v>
      </c>
      <c r="H140" t="e">
        <f>AND(#REF!,"AAAAAFibyQc=")</f>
        <v>#REF!</v>
      </c>
      <c r="I140" t="e">
        <f>AND(#REF!,"AAAAAFibyQg=")</f>
        <v>#REF!</v>
      </c>
      <c r="J140" t="e">
        <f>AND(#REF!,"AAAAAFibyQk=")</f>
        <v>#REF!</v>
      </c>
      <c r="K140" t="e">
        <f>AND(#REF!,"AAAAAFibyQo=")</f>
        <v>#REF!</v>
      </c>
      <c r="L140" t="e">
        <f>IF(#REF!,"AAAAAFibyQs=",0)</f>
        <v>#REF!</v>
      </c>
      <c r="M140" t="e">
        <f>AND(#REF!,"AAAAAFibyQw=")</f>
        <v>#REF!</v>
      </c>
      <c r="N140" t="e">
        <f>AND(#REF!,"AAAAAFibyQ0=")</f>
        <v>#REF!</v>
      </c>
      <c r="O140" t="e">
        <f>AND(#REF!,"AAAAAFibyQ4=")</f>
        <v>#REF!</v>
      </c>
      <c r="P140" t="e">
        <f>AND(#REF!,"AAAAAFibyQ8=")</f>
        <v>#REF!</v>
      </c>
      <c r="Q140" t="e">
        <f>AND(#REF!,"AAAAAFibyRA=")</f>
        <v>#REF!</v>
      </c>
      <c r="R140" t="e">
        <f>AND(#REF!,"AAAAAFibyRE=")</f>
        <v>#REF!</v>
      </c>
      <c r="S140" t="e">
        <f>AND(#REF!,"AAAAAFibyRI=")</f>
        <v>#REF!</v>
      </c>
      <c r="T140" t="e">
        <f>AND(#REF!,"AAAAAFibyRM=")</f>
        <v>#REF!</v>
      </c>
      <c r="U140" t="e">
        <f>AND(#REF!,"AAAAAFibyRQ=")</f>
        <v>#REF!</v>
      </c>
      <c r="V140" t="e">
        <f>AND(#REF!,"AAAAAFibyRU=")</f>
        <v>#REF!</v>
      </c>
      <c r="W140" t="e">
        <f>AND(#REF!,"AAAAAFibyRY=")</f>
        <v>#REF!</v>
      </c>
      <c r="X140" t="e">
        <f>AND(#REF!,"AAAAAFibyRc=")</f>
        <v>#REF!</v>
      </c>
      <c r="Y140" t="e">
        <f>AND(#REF!,"AAAAAFibyRg=")</f>
        <v>#REF!</v>
      </c>
      <c r="Z140" t="e">
        <f>AND(#REF!,"AAAAAFibyRk=")</f>
        <v>#REF!</v>
      </c>
      <c r="AA140" t="e">
        <f>AND(#REF!,"AAAAAFibyRo=")</f>
        <v>#REF!</v>
      </c>
      <c r="AB140" t="e">
        <f>AND(#REF!,"AAAAAFibyRs=")</f>
        <v>#REF!</v>
      </c>
      <c r="AC140" t="e">
        <f>AND(#REF!,"AAAAAFibyRw=")</f>
        <v>#REF!</v>
      </c>
      <c r="AD140" t="e">
        <f>AND(#REF!,"AAAAAFibyR0=")</f>
        <v>#REF!</v>
      </c>
      <c r="AE140" t="e">
        <f>AND(#REF!,"AAAAAFibyR4=")</f>
        <v>#REF!</v>
      </c>
      <c r="AF140" t="e">
        <f>AND(#REF!,"AAAAAFibyR8=")</f>
        <v>#REF!</v>
      </c>
      <c r="AG140" t="e">
        <f>AND(#REF!,"AAAAAFibySA=")</f>
        <v>#REF!</v>
      </c>
      <c r="AH140" t="e">
        <f>AND(#REF!,"AAAAAFibySE=")</f>
        <v>#REF!</v>
      </c>
      <c r="AI140" t="e">
        <f>AND(#REF!,"AAAAAFibySI=")</f>
        <v>#REF!</v>
      </c>
      <c r="AJ140" t="e">
        <f>AND(#REF!,"AAAAAFibySM=")</f>
        <v>#REF!</v>
      </c>
      <c r="AK140" t="e">
        <f>IF(#REF!,"AAAAAFibySQ=",0)</f>
        <v>#REF!</v>
      </c>
      <c r="AL140" t="e">
        <f>AND(#REF!,"AAAAAFibySU=")</f>
        <v>#REF!</v>
      </c>
      <c r="AM140" t="e">
        <f>AND(#REF!,"AAAAAFibySY=")</f>
        <v>#REF!</v>
      </c>
      <c r="AN140" t="e">
        <f>AND(#REF!,"AAAAAFibySc=")</f>
        <v>#REF!</v>
      </c>
      <c r="AO140" t="e">
        <f>AND(#REF!,"AAAAAFibySg=")</f>
        <v>#REF!</v>
      </c>
      <c r="AP140" t="e">
        <f>AND(#REF!,"AAAAAFibySk=")</f>
        <v>#REF!</v>
      </c>
      <c r="AQ140" t="e">
        <f>AND(#REF!,"AAAAAFibySo=")</f>
        <v>#REF!</v>
      </c>
      <c r="AR140" t="e">
        <f>AND(#REF!,"AAAAAFibySs=")</f>
        <v>#REF!</v>
      </c>
      <c r="AS140" t="e">
        <f>AND(#REF!,"AAAAAFibySw=")</f>
        <v>#REF!</v>
      </c>
      <c r="AT140" t="e">
        <f>AND(#REF!,"AAAAAFibyS0=")</f>
        <v>#REF!</v>
      </c>
      <c r="AU140" t="e">
        <f>AND(#REF!,"AAAAAFibyS4=")</f>
        <v>#REF!</v>
      </c>
      <c r="AV140" t="e">
        <f>AND(#REF!,"AAAAAFibyS8=")</f>
        <v>#REF!</v>
      </c>
      <c r="AW140" t="e">
        <f>AND(#REF!,"AAAAAFibyTA=")</f>
        <v>#REF!</v>
      </c>
      <c r="AX140" t="e">
        <f>AND(#REF!,"AAAAAFibyTE=")</f>
        <v>#REF!</v>
      </c>
      <c r="AY140" t="e">
        <f>AND(#REF!,"AAAAAFibyTI=")</f>
        <v>#REF!</v>
      </c>
      <c r="AZ140" t="e">
        <f>AND(#REF!,"AAAAAFibyTM=")</f>
        <v>#REF!</v>
      </c>
      <c r="BA140" t="e">
        <f>AND(#REF!,"AAAAAFibyTQ=")</f>
        <v>#REF!</v>
      </c>
      <c r="BB140" t="e">
        <f>AND(#REF!,"AAAAAFibyTU=")</f>
        <v>#REF!</v>
      </c>
      <c r="BC140" t="e">
        <f>AND(#REF!,"AAAAAFibyTY=")</f>
        <v>#REF!</v>
      </c>
      <c r="BD140" t="e">
        <f>AND(#REF!,"AAAAAFibyTc=")</f>
        <v>#REF!</v>
      </c>
      <c r="BE140" t="e">
        <f>AND(#REF!,"AAAAAFibyTg=")</f>
        <v>#REF!</v>
      </c>
      <c r="BF140" t="e">
        <f>AND(#REF!,"AAAAAFibyTk=")</f>
        <v>#REF!</v>
      </c>
      <c r="BG140" t="e">
        <f>AND(#REF!,"AAAAAFibyTo=")</f>
        <v>#REF!</v>
      </c>
      <c r="BH140" t="e">
        <f>AND(#REF!,"AAAAAFibyTs=")</f>
        <v>#REF!</v>
      </c>
      <c r="BI140" t="e">
        <f>AND(#REF!,"AAAAAFibyTw=")</f>
        <v>#REF!</v>
      </c>
      <c r="BJ140" t="e">
        <f>IF(#REF!,"AAAAAFibyT0=",0)</f>
        <v>#REF!</v>
      </c>
      <c r="BK140" t="e">
        <f>IF(#REF!,"AAAAAFibyT4=",0)</f>
        <v>#REF!</v>
      </c>
      <c r="BL140" t="e">
        <f>IF(#REF!,"AAAAAFibyT8=",0)</f>
        <v>#REF!</v>
      </c>
      <c r="BM140" t="e">
        <f>IF(#REF!,"AAAAAFibyUA=",0)</f>
        <v>#REF!</v>
      </c>
      <c r="BN140" t="e">
        <f>IF(#REF!,"AAAAAFibyUE=",0)</f>
        <v>#REF!</v>
      </c>
      <c r="BO140" t="e">
        <f>IF(#REF!,"AAAAAFibyUI=",0)</f>
        <v>#REF!</v>
      </c>
      <c r="BP140" t="e">
        <f>IF(#REF!,"AAAAAFibyUM=",0)</f>
        <v>#REF!</v>
      </c>
      <c r="BQ140" t="e">
        <f>IF(#REF!,"AAAAAFibyUQ=",0)</f>
        <v>#REF!</v>
      </c>
      <c r="BR140" t="e">
        <f>IF(#REF!,"AAAAAFibyUU=",0)</f>
        <v>#REF!</v>
      </c>
      <c r="BS140" t="e">
        <f>IF(#REF!,"AAAAAFibyUY=",0)</f>
        <v>#REF!</v>
      </c>
      <c r="BT140" t="e">
        <f>IF(#REF!,"AAAAAFibyUc=",0)</f>
        <v>#REF!</v>
      </c>
      <c r="BU140" t="e">
        <f>IF(#REF!,"AAAAAFibyUg=",0)</f>
        <v>#REF!</v>
      </c>
      <c r="BV140" t="e">
        <f>IF(#REF!,"AAAAAFibyUk=",0)</f>
        <v>#REF!</v>
      </c>
      <c r="BW140" t="e">
        <f>IF(#REF!,"AAAAAFibyUo=",0)</f>
        <v>#REF!</v>
      </c>
      <c r="BX140" t="e">
        <f>IF(#REF!,"AAAAAFibyUs=",0)</f>
        <v>#REF!</v>
      </c>
      <c r="BY140" t="e">
        <f>IF(#REF!,"AAAAAFibyUw=",0)</f>
        <v>#REF!</v>
      </c>
      <c r="BZ140" t="e">
        <f>IF(#REF!,"AAAAAFibyU0=",0)</f>
        <v>#REF!</v>
      </c>
      <c r="CA140" t="e">
        <f>IF(#REF!,"AAAAAFibyU4=",0)</f>
        <v>#REF!</v>
      </c>
      <c r="CB140" t="e">
        <f>IF(#REF!,"AAAAAFibyU8=",0)</f>
        <v>#REF!</v>
      </c>
      <c r="CC140" t="e">
        <f>IF(#REF!,"AAAAAFibyVA=",0)</f>
        <v>#REF!</v>
      </c>
      <c r="CD140" t="e">
        <f>IF(#REF!,"AAAAAFibyVE=",0)</f>
        <v>#REF!</v>
      </c>
      <c r="CE140" t="e">
        <f>IF(#REF!,"AAAAAFibyVI=",0)</f>
        <v>#REF!</v>
      </c>
      <c r="CF140" t="e">
        <f>IF(#REF!,"AAAAAFibyVM=",0)</f>
        <v>#REF!</v>
      </c>
      <c r="CG140" t="e">
        <f>IF(#REF!,"AAAAAFibyVQ=",0)</f>
        <v>#REF!</v>
      </c>
      <c r="CH140" t="e">
        <f>IF(#REF!,"AAAAAFibyVU=",0)</f>
        <v>#REF!</v>
      </c>
      <c r="CI140" t="e">
        <f>IF(#REF!,"AAAAAFibyVY=",0)</f>
        <v>#REF!</v>
      </c>
      <c r="CJ140" t="e">
        <f>IF(#REF!,"AAAAAFibyVc=",0)</f>
        <v>#REF!</v>
      </c>
      <c r="CK140" t="e">
        <f>IF(#REF!,"AAAAAFibyVg=",0)</f>
        <v>#REF!</v>
      </c>
      <c r="CL140" t="e">
        <f>IF(#REF!,"AAAAAFibyVk=",0)</f>
        <v>#REF!</v>
      </c>
      <c r="CM140" t="e">
        <f>IF(#REF!,"AAAAAFibyVo=",0)</f>
        <v>#REF!</v>
      </c>
      <c r="CN140" t="e">
        <f>IF(#REF!,"AAAAAFibyVs=",0)</f>
        <v>#REF!</v>
      </c>
      <c r="CO140" t="e">
        <f>IF(#REF!,"AAAAAFibyVw=",0)</f>
        <v>#REF!</v>
      </c>
      <c r="CP140" t="e">
        <f>IF(#REF!,"AAAAAFibyV0=",0)</f>
        <v>#REF!</v>
      </c>
      <c r="CQ140" t="e">
        <f>IF(#REF!,"AAAAAFibyV4=",0)</f>
        <v>#REF!</v>
      </c>
      <c r="CR140" t="e">
        <f>IF(#REF!,"AAAAAFibyV8=",0)</f>
        <v>#REF!</v>
      </c>
      <c r="CS140" t="e">
        <f>IF(#REF!,"AAAAAFibyWA=",0)</f>
        <v>#REF!</v>
      </c>
      <c r="CT140" t="e">
        <f>IF(#REF!,"AAAAAFibyWE=",0)</f>
        <v>#REF!</v>
      </c>
      <c r="CU140" t="e">
        <f>IF(#REF!,"AAAAAFibyWI=",0)</f>
        <v>#REF!</v>
      </c>
      <c r="CV140" t="e">
        <f>IF(#REF!,"AAAAAFibyWM=",0)</f>
        <v>#REF!</v>
      </c>
      <c r="CW140" t="e">
        <f>IF(#REF!,"AAAAAFibyWQ=",0)</f>
        <v>#REF!</v>
      </c>
      <c r="CX140" t="e">
        <f>IF(#REF!,"AAAAAFibyWU=",0)</f>
        <v>#REF!</v>
      </c>
      <c r="CY140" t="e">
        <f>IF(#REF!,"AAAAAFibyWY=",0)</f>
        <v>#REF!</v>
      </c>
      <c r="CZ140" t="e">
        <f>IF(#REF!,"AAAAAFibyWc=",0)</f>
        <v>#REF!</v>
      </c>
      <c r="DA140" t="e">
        <f>IF(#REF!,"AAAAAFibyWg=",0)</f>
        <v>#REF!</v>
      </c>
      <c r="DB140" t="e">
        <f>IF(#REF!,"AAAAAFibyWk=",0)</f>
        <v>#REF!</v>
      </c>
      <c r="DC140" t="e">
        <f>IF(#REF!,"AAAAAFibyWo=",0)</f>
        <v>#REF!</v>
      </c>
      <c r="DD140" t="e">
        <f>IF(#REF!,"AAAAAFibyWs=",0)</f>
        <v>#REF!</v>
      </c>
      <c r="DE140" t="e">
        <f>IF(#REF!,"AAAAAFibyWw=",0)</f>
        <v>#REF!</v>
      </c>
      <c r="DF140" t="e">
        <f>IF(#REF!,"AAAAAFibyW0=",0)</f>
        <v>#REF!</v>
      </c>
      <c r="DG140" t="e">
        <f>AND(#REF!,"AAAAAFibyW4=")</f>
        <v>#REF!</v>
      </c>
      <c r="DH140" t="e">
        <f>AND(#REF!,"AAAAAFibyW8=")</f>
        <v>#REF!</v>
      </c>
      <c r="DI140" t="e">
        <f>AND(#REF!,"AAAAAFibyXA=")</f>
        <v>#REF!</v>
      </c>
      <c r="DJ140" t="e">
        <f>AND(#REF!,"AAAAAFibyXE=")</f>
        <v>#REF!</v>
      </c>
      <c r="DK140" t="e">
        <f>AND(#REF!,"AAAAAFibyXI=")</f>
        <v>#REF!</v>
      </c>
      <c r="DL140" t="e">
        <f>AND(#REF!,"AAAAAFibyXM=")</f>
        <v>#REF!</v>
      </c>
      <c r="DM140" t="e">
        <f>AND(#REF!,"AAAAAFibyXQ=")</f>
        <v>#REF!</v>
      </c>
      <c r="DN140" t="e">
        <f>AND(#REF!,"AAAAAFibyXU=")</f>
        <v>#REF!</v>
      </c>
      <c r="DO140" t="e">
        <f>AND(#REF!,"AAAAAFibyXY=")</f>
        <v>#REF!</v>
      </c>
      <c r="DP140" t="e">
        <f>AND(#REF!,"AAAAAFibyXc=")</f>
        <v>#REF!</v>
      </c>
      <c r="DQ140" t="e">
        <f>AND(#REF!,"AAAAAFibyXg=")</f>
        <v>#REF!</v>
      </c>
      <c r="DR140" t="e">
        <f>AND(#REF!,"AAAAAFibyXk=")</f>
        <v>#REF!</v>
      </c>
      <c r="DS140" t="e">
        <f>AND(#REF!,"AAAAAFibyXo=")</f>
        <v>#REF!</v>
      </c>
      <c r="DT140" t="e">
        <f>AND(#REF!,"AAAAAFibyXs=")</f>
        <v>#REF!</v>
      </c>
      <c r="DU140" t="e">
        <f>AND(#REF!,"AAAAAFibyXw=")</f>
        <v>#REF!</v>
      </c>
      <c r="DV140" t="e">
        <f>AND(#REF!,"AAAAAFibyX0=")</f>
        <v>#REF!</v>
      </c>
      <c r="DW140" t="e">
        <f>AND(#REF!,"AAAAAFibyX4=")</f>
        <v>#REF!</v>
      </c>
      <c r="DX140" t="e">
        <f>AND(#REF!,"AAAAAFibyX8=")</f>
        <v>#REF!</v>
      </c>
      <c r="DY140" t="e">
        <f>AND(#REF!,"AAAAAFibyYA=")</f>
        <v>#REF!</v>
      </c>
      <c r="DZ140" t="e">
        <f>AND(#REF!,"AAAAAFibyYE=")</f>
        <v>#REF!</v>
      </c>
      <c r="EA140" t="e">
        <f>AND(#REF!,"AAAAAFibyYI=")</f>
        <v>#REF!</v>
      </c>
      <c r="EB140" t="e">
        <f>IF(#REF!,"AAAAAFibyYM=",0)</f>
        <v>#REF!</v>
      </c>
      <c r="EC140" t="e">
        <f>AND(#REF!,"AAAAAFibyYQ=")</f>
        <v>#REF!</v>
      </c>
      <c r="ED140" t="e">
        <f>AND(#REF!,"AAAAAFibyYU=")</f>
        <v>#REF!</v>
      </c>
      <c r="EE140" t="e">
        <f>AND(#REF!,"AAAAAFibyYY=")</f>
        <v>#REF!</v>
      </c>
      <c r="EF140" t="e">
        <f>AND(#REF!,"AAAAAFibyYc=")</f>
        <v>#REF!</v>
      </c>
      <c r="EG140" t="e">
        <f>AND(#REF!,"AAAAAFibyYg=")</f>
        <v>#REF!</v>
      </c>
      <c r="EH140" t="e">
        <f>AND(#REF!,"AAAAAFibyYk=")</f>
        <v>#REF!</v>
      </c>
      <c r="EI140" t="e">
        <f>AND(#REF!,"AAAAAFibyYo=")</f>
        <v>#REF!</v>
      </c>
      <c r="EJ140" t="e">
        <f>AND(#REF!,"AAAAAFibyYs=")</f>
        <v>#REF!</v>
      </c>
      <c r="EK140" t="e">
        <f>AND(#REF!,"AAAAAFibyYw=")</f>
        <v>#REF!</v>
      </c>
      <c r="EL140" t="e">
        <f>AND(#REF!,"AAAAAFibyY0=")</f>
        <v>#REF!</v>
      </c>
      <c r="EM140" t="e">
        <f>AND(#REF!,"AAAAAFibyY4=")</f>
        <v>#REF!</v>
      </c>
      <c r="EN140" t="e">
        <f>AND(#REF!,"AAAAAFibyY8=")</f>
        <v>#REF!</v>
      </c>
      <c r="EO140" t="e">
        <f>AND(#REF!,"AAAAAFibyZA=")</f>
        <v>#REF!</v>
      </c>
      <c r="EP140" t="e">
        <f>AND(#REF!,"AAAAAFibyZE=")</f>
        <v>#REF!</v>
      </c>
      <c r="EQ140" t="e">
        <f>AND(#REF!,"AAAAAFibyZI=")</f>
        <v>#REF!</v>
      </c>
      <c r="ER140" t="e">
        <f>AND(#REF!,"AAAAAFibyZM=")</f>
        <v>#REF!</v>
      </c>
      <c r="ES140" t="e">
        <f>AND(#REF!,"AAAAAFibyZQ=")</f>
        <v>#REF!</v>
      </c>
      <c r="ET140" t="e">
        <f>AND(#REF!,"AAAAAFibyZU=")</f>
        <v>#REF!</v>
      </c>
      <c r="EU140" t="e">
        <f>AND(#REF!,"AAAAAFibyZY=")</f>
        <v>#REF!</v>
      </c>
      <c r="EV140" t="e">
        <f>AND(#REF!,"AAAAAFibyZc=")</f>
        <v>#REF!</v>
      </c>
      <c r="EW140" t="e">
        <f>AND(#REF!,"AAAAAFibyZg=")</f>
        <v>#REF!</v>
      </c>
      <c r="EX140" t="e">
        <f>IF(#REF!,"AAAAAFibyZk=",0)</f>
        <v>#REF!</v>
      </c>
      <c r="EY140" t="e">
        <f>AND(#REF!,"AAAAAFibyZo=")</f>
        <v>#REF!</v>
      </c>
      <c r="EZ140" t="e">
        <f>AND(#REF!,"AAAAAFibyZs=")</f>
        <v>#REF!</v>
      </c>
      <c r="FA140" t="e">
        <f>AND(#REF!,"AAAAAFibyZw=")</f>
        <v>#REF!</v>
      </c>
      <c r="FB140" t="e">
        <f>AND(#REF!,"AAAAAFibyZ0=")</f>
        <v>#REF!</v>
      </c>
      <c r="FC140" t="e">
        <f>AND(#REF!,"AAAAAFibyZ4=")</f>
        <v>#REF!</v>
      </c>
      <c r="FD140" t="e">
        <f>AND(#REF!,"AAAAAFibyZ8=")</f>
        <v>#REF!</v>
      </c>
      <c r="FE140" t="e">
        <f>AND(#REF!,"AAAAAFibyaA=")</f>
        <v>#REF!</v>
      </c>
      <c r="FF140" t="e">
        <f>AND(#REF!,"AAAAAFibyaE=")</f>
        <v>#REF!</v>
      </c>
      <c r="FG140" t="e">
        <f>AND(#REF!,"AAAAAFibyaI=")</f>
        <v>#REF!</v>
      </c>
      <c r="FH140" t="e">
        <f>AND(#REF!,"AAAAAFibyaM=")</f>
        <v>#REF!</v>
      </c>
      <c r="FI140" t="e">
        <f>AND(#REF!,"AAAAAFibyaQ=")</f>
        <v>#REF!</v>
      </c>
      <c r="FJ140" t="e">
        <f>AND(#REF!,"AAAAAFibyaU=")</f>
        <v>#REF!</v>
      </c>
      <c r="FK140" t="e">
        <f>AND(#REF!,"AAAAAFibyaY=")</f>
        <v>#REF!</v>
      </c>
      <c r="FL140" t="e">
        <f>AND(#REF!,"AAAAAFibyac=")</f>
        <v>#REF!</v>
      </c>
      <c r="FM140" t="e">
        <f>AND(#REF!,"AAAAAFibyag=")</f>
        <v>#REF!</v>
      </c>
      <c r="FN140" t="e">
        <f>AND(#REF!,"AAAAAFibyak=")</f>
        <v>#REF!</v>
      </c>
      <c r="FO140" t="e">
        <f>AND(#REF!,"AAAAAFibyao=")</f>
        <v>#REF!</v>
      </c>
      <c r="FP140" t="e">
        <f>AND(#REF!,"AAAAAFibyas=")</f>
        <v>#REF!</v>
      </c>
      <c r="FQ140" t="e">
        <f>AND(#REF!,"AAAAAFibyaw=")</f>
        <v>#REF!</v>
      </c>
      <c r="FR140" t="e">
        <f>AND(#REF!,"AAAAAFibya0=")</f>
        <v>#REF!</v>
      </c>
      <c r="FS140" t="e">
        <f>AND(#REF!,"AAAAAFibya4=")</f>
        <v>#REF!</v>
      </c>
      <c r="FT140" t="e">
        <f>IF(#REF!,"AAAAAFibya8=",0)</f>
        <v>#REF!</v>
      </c>
      <c r="FU140" t="e">
        <f>AND(#REF!,"AAAAAFibybA=")</f>
        <v>#REF!</v>
      </c>
      <c r="FV140" t="e">
        <f>AND(#REF!,"AAAAAFibybE=")</f>
        <v>#REF!</v>
      </c>
      <c r="FW140" t="e">
        <f>AND(#REF!,"AAAAAFibybI=")</f>
        <v>#REF!</v>
      </c>
      <c r="FX140" t="e">
        <f>AND(#REF!,"AAAAAFibybM=")</f>
        <v>#REF!</v>
      </c>
      <c r="FY140" t="e">
        <f>AND(#REF!,"AAAAAFibybQ=")</f>
        <v>#REF!</v>
      </c>
      <c r="FZ140" t="e">
        <f>AND(#REF!,"AAAAAFibybU=")</f>
        <v>#REF!</v>
      </c>
      <c r="GA140" t="e">
        <f>AND(#REF!,"AAAAAFibybY=")</f>
        <v>#REF!</v>
      </c>
      <c r="GB140" t="e">
        <f>AND(#REF!,"AAAAAFibybc=")</f>
        <v>#REF!</v>
      </c>
      <c r="GC140" t="e">
        <f>AND(#REF!,"AAAAAFibybg=")</f>
        <v>#REF!</v>
      </c>
      <c r="GD140" t="e">
        <f>AND(#REF!,"AAAAAFibybk=")</f>
        <v>#REF!</v>
      </c>
      <c r="GE140" t="e">
        <f>AND(#REF!,"AAAAAFibybo=")</f>
        <v>#REF!</v>
      </c>
      <c r="GF140" t="e">
        <f>AND(#REF!,"AAAAAFibybs=")</f>
        <v>#REF!</v>
      </c>
      <c r="GG140" t="e">
        <f>AND(#REF!,"AAAAAFibybw=")</f>
        <v>#REF!</v>
      </c>
      <c r="GH140" t="e">
        <f>AND(#REF!,"AAAAAFibyb0=")</f>
        <v>#REF!</v>
      </c>
      <c r="GI140" t="e">
        <f>AND(#REF!,"AAAAAFibyb4=")</f>
        <v>#REF!</v>
      </c>
      <c r="GJ140" t="e">
        <f>AND(#REF!,"AAAAAFibyb8=")</f>
        <v>#REF!</v>
      </c>
      <c r="GK140" t="e">
        <f>AND(#REF!,"AAAAAFibycA=")</f>
        <v>#REF!</v>
      </c>
      <c r="GL140" t="e">
        <f>AND(#REF!,"AAAAAFibycE=")</f>
        <v>#REF!</v>
      </c>
      <c r="GM140" t="e">
        <f>AND(#REF!,"AAAAAFibycI=")</f>
        <v>#REF!</v>
      </c>
      <c r="GN140" t="e">
        <f>AND(#REF!,"AAAAAFibycM=")</f>
        <v>#REF!</v>
      </c>
      <c r="GO140" t="e">
        <f>AND(#REF!,"AAAAAFibycQ=")</f>
        <v>#REF!</v>
      </c>
      <c r="GP140" t="e">
        <f>IF(#REF!,"AAAAAFibycU=",0)</f>
        <v>#REF!</v>
      </c>
      <c r="GQ140" t="e">
        <f>AND(#REF!,"AAAAAFibycY=")</f>
        <v>#REF!</v>
      </c>
      <c r="GR140" t="e">
        <f>AND(#REF!,"AAAAAFibycc=")</f>
        <v>#REF!</v>
      </c>
      <c r="GS140" t="e">
        <f>AND(#REF!,"AAAAAFibycg=")</f>
        <v>#REF!</v>
      </c>
      <c r="GT140" t="e">
        <f>AND(#REF!,"AAAAAFibyck=")</f>
        <v>#REF!</v>
      </c>
      <c r="GU140" t="e">
        <f>AND(#REF!,"AAAAAFibyco=")</f>
        <v>#REF!</v>
      </c>
      <c r="GV140" t="e">
        <f>AND(#REF!,"AAAAAFibycs=")</f>
        <v>#REF!</v>
      </c>
      <c r="GW140" t="e">
        <f>AND(#REF!,"AAAAAFibycw=")</f>
        <v>#REF!</v>
      </c>
      <c r="GX140" t="e">
        <f>AND(#REF!,"AAAAAFibyc0=")</f>
        <v>#REF!</v>
      </c>
      <c r="GY140" t="e">
        <f>AND(#REF!,"AAAAAFibyc4=")</f>
        <v>#REF!</v>
      </c>
      <c r="GZ140" t="e">
        <f>AND(#REF!,"AAAAAFibyc8=")</f>
        <v>#REF!</v>
      </c>
      <c r="HA140" t="e">
        <f>AND(#REF!,"AAAAAFibydA=")</f>
        <v>#REF!</v>
      </c>
      <c r="HB140" t="e">
        <f>AND(#REF!,"AAAAAFibydE=")</f>
        <v>#REF!</v>
      </c>
      <c r="HC140" t="e">
        <f>AND(#REF!,"AAAAAFibydI=")</f>
        <v>#REF!</v>
      </c>
      <c r="HD140" t="e">
        <f>AND(#REF!,"AAAAAFibydM=")</f>
        <v>#REF!</v>
      </c>
      <c r="HE140" t="e">
        <f>AND(#REF!,"AAAAAFibydQ=")</f>
        <v>#REF!</v>
      </c>
      <c r="HF140" t="e">
        <f>AND(#REF!,"AAAAAFibydU=")</f>
        <v>#REF!</v>
      </c>
      <c r="HG140" t="e">
        <f>AND(#REF!,"AAAAAFibydY=")</f>
        <v>#REF!</v>
      </c>
      <c r="HH140" t="e">
        <f>AND(#REF!,"AAAAAFibydc=")</f>
        <v>#REF!</v>
      </c>
      <c r="HI140" t="e">
        <f>AND(#REF!,"AAAAAFibydg=")</f>
        <v>#REF!</v>
      </c>
      <c r="HJ140" t="e">
        <f>AND(#REF!,"AAAAAFibydk=")</f>
        <v>#REF!</v>
      </c>
      <c r="HK140" t="e">
        <f>AND(#REF!,"AAAAAFibydo=")</f>
        <v>#REF!</v>
      </c>
      <c r="HL140" t="e">
        <f>IF(#REF!,"AAAAAFibyds=",0)</f>
        <v>#REF!</v>
      </c>
      <c r="HM140" t="e">
        <f>AND(#REF!,"AAAAAFibydw=")</f>
        <v>#REF!</v>
      </c>
      <c r="HN140" t="e">
        <f>AND(#REF!,"AAAAAFibyd0=")</f>
        <v>#REF!</v>
      </c>
      <c r="HO140" t="e">
        <f>AND(#REF!,"AAAAAFibyd4=")</f>
        <v>#REF!</v>
      </c>
      <c r="HP140" t="e">
        <f>AND(#REF!,"AAAAAFibyd8=")</f>
        <v>#REF!</v>
      </c>
      <c r="HQ140" t="e">
        <f>AND(#REF!,"AAAAAFibyeA=")</f>
        <v>#REF!</v>
      </c>
      <c r="HR140" t="e">
        <f>AND(#REF!,"AAAAAFibyeE=")</f>
        <v>#REF!</v>
      </c>
      <c r="HS140" t="e">
        <f>AND(#REF!,"AAAAAFibyeI=")</f>
        <v>#REF!</v>
      </c>
      <c r="HT140" t="e">
        <f>AND(#REF!,"AAAAAFibyeM=")</f>
        <v>#REF!</v>
      </c>
      <c r="HU140" t="e">
        <f>AND(#REF!,"AAAAAFibyeQ=")</f>
        <v>#REF!</v>
      </c>
      <c r="HV140" t="e">
        <f>AND(#REF!,"AAAAAFibyeU=")</f>
        <v>#REF!</v>
      </c>
      <c r="HW140" t="e">
        <f>AND(#REF!,"AAAAAFibyeY=")</f>
        <v>#REF!</v>
      </c>
      <c r="HX140" t="e">
        <f>AND(#REF!,"AAAAAFibyec=")</f>
        <v>#REF!</v>
      </c>
      <c r="HY140" t="e">
        <f>AND(#REF!,"AAAAAFibyeg=")</f>
        <v>#REF!</v>
      </c>
      <c r="HZ140" t="e">
        <f>AND(#REF!,"AAAAAFibyek=")</f>
        <v>#REF!</v>
      </c>
      <c r="IA140" t="e">
        <f>AND(#REF!,"AAAAAFibyeo=")</f>
        <v>#REF!</v>
      </c>
      <c r="IB140" t="e">
        <f>AND(#REF!,"AAAAAFibyes=")</f>
        <v>#REF!</v>
      </c>
      <c r="IC140" t="e">
        <f>AND(#REF!,"AAAAAFibyew=")</f>
        <v>#REF!</v>
      </c>
      <c r="ID140" t="e">
        <f>AND(#REF!,"AAAAAFibye0=")</f>
        <v>#REF!</v>
      </c>
      <c r="IE140" t="e">
        <f>AND(#REF!,"AAAAAFibye4=")</f>
        <v>#REF!</v>
      </c>
      <c r="IF140" t="e">
        <f>AND(#REF!,"AAAAAFibye8=")</f>
        <v>#REF!</v>
      </c>
      <c r="IG140" t="e">
        <f>AND(#REF!,"AAAAAFibyfA=")</f>
        <v>#REF!</v>
      </c>
      <c r="IH140" t="e">
        <f>IF(#REF!,"AAAAAFibyfE=",0)</f>
        <v>#REF!</v>
      </c>
      <c r="II140" t="e">
        <f>AND(#REF!,"AAAAAFibyfI=")</f>
        <v>#REF!</v>
      </c>
      <c r="IJ140" t="e">
        <f>AND(#REF!,"AAAAAFibyfM=")</f>
        <v>#REF!</v>
      </c>
      <c r="IK140" t="e">
        <f>AND(#REF!,"AAAAAFibyfQ=")</f>
        <v>#REF!</v>
      </c>
      <c r="IL140" t="e">
        <f>AND(#REF!,"AAAAAFibyfU=")</f>
        <v>#REF!</v>
      </c>
      <c r="IM140" t="e">
        <f>AND(#REF!,"AAAAAFibyfY=")</f>
        <v>#REF!</v>
      </c>
      <c r="IN140" t="e">
        <f>AND(#REF!,"AAAAAFibyfc=")</f>
        <v>#REF!</v>
      </c>
      <c r="IO140" t="e">
        <f>AND(#REF!,"AAAAAFibyfg=")</f>
        <v>#REF!</v>
      </c>
      <c r="IP140" t="e">
        <f>AND(#REF!,"AAAAAFibyfk=")</f>
        <v>#REF!</v>
      </c>
      <c r="IQ140" t="e">
        <f>AND(#REF!,"AAAAAFibyfo=")</f>
        <v>#REF!</v>
      </c>
      <c r="IR140" t="e">
        <f>AND(#REF!,"AAAAAFibyfs=")</f>
        <v>#REF!</v>
      </c>
      <c r="IS140" t="e">
        <f>AND(#REF!,"AAAAAFibyfw=")</f>
        <v>#REF!</v>
      </c>
      <c r="IT140" t="e">
        <f>AND(#REF!,"AAAAAFibyf0=")</f>
        <v>#REF!</v>
      </c>
      <c r="IU140" t="e">
        <f>AND(#REF!,"AAAAAFibyf4=")</f>
        <v>#REF!</v>
      </c>
      <c r="IV140" t="e">
        <f>AND(#REF!,"AAAAAFibyf8=")</f>
        <v>#REF!</v>
      </c>
    </row>
    <row r="141" spans="1:256" x14ac:dyDescent="0.25">
      <c r="A141" t="e">
        <f>AND(#REF!,"AAAAAH/v9QA=")</f>
        <v>#REF!</v>
      </c>
      <c r="B141" t="e">
        <f>AND(#REF!,"AAAAAH/v9QE=")</f>
        <v>#REF!</v>
      </c>
      <c r="C141" t="e">
        <f>AND(#REF!,"AAAAAH/v9QI=")</f>
        <v>#REF!</v>
      </c>
      <c r="D141" t="e">
        <f>AND(#REF!,"AAAAAH/v9QM=")</f>
        <v>#REF!</v>
      </c>
      <c r="E141" t="e">
        <f>AND(#REF!,"AAAAAH/v9QQ=")</f>
        <v>#REF!</v>
      </c>
      <c r="F141" t="e">
        <f>AND(#REF!,"AAAAAH/v9QU=")</f>
        <v>#REF!</v>
      </c>
      <c r="G141" t="e">
        <f>AND(#REF!,"AAAAAH/v9QY=")</f>
        <v>#REF!</v>
      </c>
      <c r="H141" t="e">
        <f>IF(#REF!,"AAAAAH/v9Qc=",0)</f>
        <v>#REF!</v>
      </c>
      <c r="I141" t="e">
        <f>AND(#REF!,"AAAAAH/v9Qg=")</f>
        <v>#REF!</v>
      </c>
      <c r="J141" t="e">
        <f>AND(#REF!,"AAAAAH/v9Qk=")</f>
        <v>#REF!</v>
      </c>
      <c r="K141" t="e">
        <f>AND(#REF!,"AAAAAH/v9Qo=")</f>
        <v>#REF!</v>
      </c>
      <c r="L141" t="e">
        <f>AND(#REF!,"AAAAAH/v9Qs=")</f>
        <v>#REF!</v>
      </c>
      <c r="M141" t="e">
        <f>AND(#REF!,"AAAAAH/v9Qw=")</f>
        <v>#REF!</v>
      </c>
      <c r="N141" t="e">
        <f>AND(#REF!,"AAAAAH/v9Q0=")</f>
        <v>#REF!</v>
      </c>
      <c r="O141" t="e">
        <f>AND(#REF!,"AAAAAH/v9Q4=")</f>
        <v>#REF!</v>
      </c>
      <c r="P141" t="e">
        <f>AND(#REF!,"AAAAAH/v9Q8=")</f>
        <v>#REF!</v>
      </c>
      <c r="Q141" t="e">
        <f>AND(#REF!,"AAAAAH/v9RA=")</f>
        <v>#REF!</v>
      </c>
      <c r="R141" t="e">
        <f>AND(#REF!,"AAAAAH/v9RE=")</f>
        <v>#REF!</v>
      </c>
      <c r="S141" t="e">
        <f>AND(#REF!,"AAAAAH/v9RI=")</f>
        <v>#REF!</v>
      </c>
      <c r="T141" t="e">
        <f>AND(#REF!,"AAAAAH/v9RM=")</f>
        <v>#REF!</v>
      </c>
      <c r="U141" t="e">
        <f>AND(#REF!,"AAAAAH/v9RQ=")</f>
        <v>#REF!</v>
      </c>
      <c r="V141" t="e">
        <f>AND(#REF!,"AAAAAH/v9RU=")</f>
        <v>#REF!</v>
      </c>
      <c r="W141" t="e">
        <f>AND(#REF!,"AAAAAH/v9RY=")</f>
        <v>#REF!</v>
      </c>
      <c r="X141" t="e">
        <f>AND(#REF!,"AAAAAH/v9Rc=")</f>
        <v>#REF!</v>
      </c>
      <c r="Y141" t="e">
        <f>AND(#REF!,"AAAAAH/v9Rg=")</f>
        <v>#REF!</v>
      </c>
      <c r="Z141" t="e">
        <f>AND(#REF!,"AAAAAH/v9Rk=")</f>
        <v>#REF!</v>
      </c>
      <c r="AA141" t="e">
        <f>AND(#REF!,"AAAAAH/v9Ro=")</f>
        <v>#REF!</v>
      </c>
      <c r="AB141" t="e">
        <f>AND(#REF!,"AAAAAH/v9Rs=")</f>
        <v>#REF!</v>
      </c>
      <c r="AC141" t="e">
        <f>AND(#REF!,"AAAAAH/v9Rw=")</f>
        <v>#REF!</v>
      </c>
      <c r="AD141" t="e">
        <f>IF(#REF!,"AAAAAH/v9R0=",0)</f>
        <v>#REF!</v>
      </c>
      <c r="AE141" t="e">
        <f>AND(#REF!,"AAAAAH/v9R4=")</f>
        <v>#REF!</v>
      </c>
      <c r="AF141" t="e">
        <f>AND(#REF!,"AAAAAH/v9R8=")</f>
        <v>#REF!</v>
      </c>
      <c r="AG141" t="e">
        <f>AND(#REF!,"AAAAAH/v9SA=")</f>
        <v>#REF!</v>
      </c>
      <c r="AH141" t="e">
        <f>AND(#REF!,"AAAAAH/v9SE=")</f>
        <v>#REF!</v>
      </c>
      <c r="AI141" t="e">
        <f>AND(#REF!,"AAAAAH/v9SI=")</f>
        <v>#REF!</v>
      </c>
      <c r="AJ141" t="e">
        <f>AND(#REF!,"AAAAAH/v9SM=")</f>
        <v>#REF!</v>
      </c>
      <c r="AK141" t="e">
        <f>AND(#REF!,"AAAAAH/v9SQ=")</f>
        <v>#REF!</v>
      </c>
      <c r="AL141" t="e">
        <f>AND(#REF!,"AAAAAH/v9SU=")</f>
        <v>#REF!</v>
      </c>
      <c r="AM141" t="e">
        <f>AND(#REF!,"AAAAAH/v9SY=")</f>
        <v>#REF!</v>
      </c>
      <c r="AN141" t="e">
        <f>AND(#REF!,"AAAAAH/v9Sc=")</f>
        <v>#REF!</v>
      </c>
      <c r="AO141" t="e">
        <f>AND(#REF!,"AAAAAH/v9Sg=")</f>
        <v>#REF!</v>
      </c>
      <c r="AP141" t="e">
        <f>AND(#REF!,"AAAAAH/v9Sk=")</f>
        <v>#REF!</v>
      </c>
      <c r="AQ141" t="e">
        <f>AND(#REF!,"AAAAAH/v9So=")</f>
        <v>#REF!</v>
      </c>
      <c r="AR141" t="e">
        <f>AND(#REF!,"AAAAAH/v9Ss=")</f>
        <v>#REF!</v>
      </c>
      <c r="AS141" t="e">
        <f>AND(#REF!,"AAAAAH/v9Sw=")</f>
        <v>#REF!</v>
      </c>
      <c r="AT141" t="e">
        <f>AND(#REF!,"AAAAAH/v9S0=")</f>
        <v>#REF!</v>
      </c>
      <c r="AU141" t="e">
        <f>AND(#REF!,"AAAAAH/v9S4=")</f>
        <v>#REF!</v>
      </c>
      <c r="AV141" t="e">
        <f>AND(#REF!,"AAAAAH/v9S8=")</f>
        <v>#REF!</v>
      </c>
      <c r="AW141" t="e">
        <f>AND(#REF!,"AAAAAH/v9TA=")</f>
        <v>#REF!</v>
      </c>
      <c r="AX141" t="e">
        <f>AND(#REF!,"AAAAAH/v9TE=")</f>
        <v>#REF!</v>
      </c>
      <c r="AY141" t="e">
        <f>AND(#REF!,"AAAAAH/v9TI=")</f>
        <v>#REF!</v>
      </c>
      <c r="AZ141" t="e">
        <f>IF(#REF!,"AAAAAH/v9TM=",0)</f>
        <v>#REF!</v>
      </c>
      <c r="BA141" t="e">
        <f>AND(#REF!,"AAAAAH/v9TQ=")</f>
        <v>#REF!</v>
      </c>
      <c r="BB141" t="e">
        <f>AND(#REF!,"AAAAAH/v9TU=")</f>
        <v>#REF!</v>
      </c>
      <c r="BC141" t="e">
        <f>AND(#REF!,"AAAAAH/v9TY=")</f>
        <v>#REF!</v>
      </c>
      <c r="BD141" t="e">
        <f>AND(#REF!,"AAAAAH/v9Tc=")</f>
        <v>#REF!</v>
      </c>
      <c r="BE141" t="e">
        <f>AND(#REF!,"AAAAAH/v9Tg=")</f>
        <v>#REF!</v>
      </c>
      <c r="BF141" t="e">
        <f>AND(#REF!,"AAAAAH/v9Tk=")</f>
        <v>#REF!</v>
      </c>
      <c r="BG141" t="e">
        <f>AND(#REF!,"AAAAAH/v9To=")</f>
        <v>#REF!</v>
      </c>
      <c r="BH141" t="e">
        <f>AND(#REF!,"AAAAAH/v9Ts=")</f>
        <v>#REF!</v>
      </c>
      <c r="BI141" t="e">
        <f>AND(#REF!,"AAAAAH/v9Tw=")</f>
        <v>#REF!</v>
      </c>
      <c r="BJ141" t="e">
        <f>AND(#REF!,"AAAAAH/v9T0=")</f>
        <v>#REF!</v>
      </c>
      <c r="BK141" t="e">
        <f>AND(#REF!,"AAAAAH/v9T4=")</f>
        <v>#REF!</v>
      </c>
      <c r="BL141" t="e">
        <f>AND(#REF!,"AAAAAH/v9T8=")</f>
        <v>#REF!</v>
      </c>
      <c r="BM141" t="e">
        <f>AND(#REF!,"AAAAAH/v9UA=")</f>
        <v>#REF!</v>
      </c>
      <c r="BN141" t="e">
        <f>AND(#REF!,"AAAAAH/v9UE=")</f>
        <v>#REF!</v>
      </c>
      <c r="BO141" t="e">
        <f>AND(#REF!,"AAAAAH/v9UI=")</f>
        <v>#REF!</v>
      </c>
      <c r="BP141" t="e">
        <f>AND(#REF!,"AAAAAH/v9UM=")</f>
        <v>#REF!</v>
      </c>
      <c r="BQ141" t="e">
        <f>AND(#REF!,"AAAAAH/v9UQ=")</f>
        <v>#REF!</v>
      </c>
      <c r="BR141" t="e">
        <f>AND(#REF!,"AAAAAH/v9UU=")</f>
        <v>#REF!</v>
      </c>
      <c r="BS141" t="e">
        <f>AND(#REF!,"AAAAAH/v9UY=")</f>
        <v>#REF!</v>
      </c>
      <c r="BT141" t="e">
        <f>AND(#REF!,"AAAAAH/v9Uc=")</f>
        <v>#REF!</v>
      </c>
      <c r="BU141" t="e">
        <f>AND(#REF!,"AAAAAH/v9Ug=")</f>
        <v>#REF!</v>
      </c>
      <c r="BV141" t="e">
        <f>IF(#REF!,"AAAAAH/v9Uk=",0)</f>
        <v>#REF!</v>
      </c>
      <c r="BW141" t="e">
        <f>AND(#REF!,"AAAAAH/v9Uo=")</f>
        <v>#REF!</v>
      </c>
      <c r="BX141" t="e">
        <f>AND(#REF!,"AAAAAH/v9Us=")</f>
        <v>#REF!</v>
      </c>
      <c r="BY141" t="e">
        <f>AND(#REF!,"AAAAAH/v9Uw=")</f>
        <v>#REF!</v>
      </c>
      <c r="BZ141" t="e">
        <f>AND(#REF!,"AAAAAH/v9U0=")</f>
        <v>#REF!</v>
      </c>
      <c r="CA141" t="e">
        <f>AND(#REF!,"AAAAAH/v9U4=")</f>
        <v>#REF!</v>
      </c>
      <c r="CB141" t="e">
        <f>AND(#REF!,"AAAAAH/v9U8=")</f>
        <v>#REF!</v>
      </c>
      <c r="CC141" t="e">
        <f>AND(#REF!,"AAAAAH/v9VA=")</f>
        <v>#REF!</v>
      </c>
      <c r="CD141" t="e">
        <f>AND(#REF!,"AAAAAH/v9VE=")</f>
        <v>#REF!</v>
      </c>
      <c r="CE141" t="e">
        <f>AND(#REF!,"AAAAAH/v9VI=")</f>
        <v>#REF!</v>
      </c>
      <c r="CF141" t="e">
        <f>AND(#REF!,"AAAAAH/v9VM=")</f>
        <v>#REF!</v>
      </c>
      <c r="CG141" t="e">
        <f>AND(#REF!,"AAAAAH/v9VQ=")</f>
        <v>#REF!</v>
      </c>
      <c r="CH141" t="e">
        <f>AND(#REF!,"AAAAAH/v9VU=")</f>
        <v>#REF!</v>
      </c>
      <c r="CI141" t="e">
        <f>AND(#REF!,"AAAAAH/v9VY=")</f>
        <v>#REF!</v>
      </c>
      <c r="CJ141" t="e">
        <f>AND(#REF!,"AAAAAH/v9Vc=")</f>
        <v>#REF!</v>
      </c>
      <c r="CK141" t="e">
        <f>AND(#REF!,"AAAAAH/v9Vg=")</f>
        <v>#REF!</v>
      </c>
      <c r="CL141" t="e">
        <f>AND(#REF!,"AAAAAH/v9Vk=")</f>
        <v>#REF!</v>
      </c>
      <c r="CM141" t="e">
        <f>AND(#REF!,"AAAAAH/v9Vo=")</f>
        <v>#REF!</v>
      </c>
      <c r="CN141" t="e">
        <f>AND(#REF!,"AAAAAH/v9Vs=")</f>
        <v>#REF!</v>
      </c>
      <c r="CO141" t="e">
        <f>AND(#REF!,"AAAAAH/v9Vw=")</f>
        <v>#REF!</v>
      </c>
      <c r="CP141" t="e">
        <f>AND(#REF!,"AAAAAH/v9V0=")</f>
        <v>#REF!</v>
      </c>
      <c r="CQ141" t="e">
        <f>AND(#REF!,"AAAAAH/v9V4=")</f>
        <v>#REF!</v>
      </c>
      <c r="CR141" t="e">
        <f>IF(#REF!,"AAAAAH/v9V8=",0)</f>
        <v>#REF!</v>
      </c>
      <c r="CS141" t="e">
        <f>AND(#REF!,"AAAAAH/v9WA=")</f>
        <v>#REF!</v>
      </c>
      <c r="CT141" t="e">
        <f>AND(#REF!,"AAAAAH/v9WE=")</f>
        <v>#REF!</v>
      </c>
      <c r="CU141" t="e">
        <f>AND(#REF!,"AAAAAH/v9WI=")</f>
        <v>#REF!</v>
      </c>
      <c r="CV141" t="e">
        <f>AND(#REF!,"AAAAAH/v9WM=")</f>
        <v>#REF!</v>
      </c>
      <c r="CW141" t="e">
        <f>AND(#REF!,"AAAAAH/v9WQ=")</f>
        <v>#REF!</v>
      </c>
      <c r="CX141" t="e">
        <f>AND(#REF!,"AAAAAH/v9WU=")</f>
        <v>#REF!</v>
      </c>
      <c r="CY141" t="e">
        <f>AND(#REF!,"AAAAAH/v9WY=")</f>
        <v>#REF!</v>
      </c>
      <c r="CZ141" t="e">
        <f>AND(#REF!,"AAAAAH/v9Wc=")</f>
        <v>#REF!</v>
      </c>
      <c r="DA141" t="e">
        <f>AND(#REF!,"AAAAAH/v9Wg=")</f>
        <v>#REF!</v>
      </c>
      <c r="DB141" t="e">
        <f>AND(#REF!,"AAAAAH/v9Wk=")</f>
        <v>#REF!</v>
      </c>
      <c r="DC141" t="e">
        <f>AND(#REF!,"AAAAAH/v9Wo=")</f>
        <v>#REF!</v>
      </c>
      <c r="DD141" t="e">
        <f>AND(#REF!,"AAAAAH/v9Ws=")</f>
        <v>#REF!</v>
      </c>
      <c r="DE141" t="e">
        <f>AND(#REF!,"AAAAAH/v9Ww=")</f>
        <v>#REF!</v>
      </c>
      <c r="DF141" t="e">
        <f>AND(#REF!,"AAAAAH/v9W0=")</f>
        <v>#REF!</v>
      </c>
      <c r="DG141" t="e">
        <f>AND(#REF!,"AAAAAH/v9W4=")</f>
        <v>#REF!</v>
      </c>
      <c r="DH141" t="e">
        <f>AND(#REF!,"AAAAAH/v9W8=")</f>
        <v>#REF!</v>
      </c>
      <c r="DI141" t="e">
        <f>AND(#REF!,"AAAAAH/v9XA=")</f>
        <v>#REF!</v>
      </c>
      <c r="DJ141" t="e">
        <f>AND(#REF!,"AAAAAH/v9XE=")</f>
        <v>#REF!</v>
      </c>
      <c r="DK141" t="e">
        <f>AND(#REF!,"AAAAAH/v9XI=")</f>
        <v>#REF!</v>
      </c>
      <c r="DL141" t="e">
        <f>AND(#REF!,"AAAAAH/v9XM=")</f>
        <v>#REF!</v>
      </c>
      <c r="DM141" t="e">
        <f>AND(#REF!,"AAAAAH/v9XQ=")</f>
        <v>#REF!</v>
      </c>
      <c r="DN141" t="e">
        <f>IF(#REF!,"AAAAAH/v9XU=",0)</f>
        <v>#REF!</v>
      </c>
      <c r="DO141" t="e">
        <f>AND(#REF!,"AAAAAH/v9XY=")</f>
        <v>#REF!</v>
      </c>
      <c r="DP141" t="e">
        <f>AND(#REF!,"AAAAAH/v9Xc=")</f>
        <v>#REF!</v>
      </c>
      <c r="DQ141" t="e">
        <f>AND(#REF!,"AAAAAH/v9Xg=")</f>
        <v>#REF!</v>
      </c>
      <c r="DR141" t="e">
        <f>AND(#REF!,"AAAAAH/v9Xk=")</f>
        <v>#REF!</v>
      </c>
      <c r="DS141" t="e">
        <f>AND(#REF!,"AAAAAH/v9Xo=")</f>
        <v>#REF!</v>
      </c>
      <c r="DT141" t="e">
        <f>AND(#REF!,"AAAAAH/v9Xs=")</f>
        <v>#REF!</v>
      </c>
      <c r="DU141" t="e">
        <f>AND(#REF!,"AAAAAH/v9Xw=")</f>
        <v>#REF!</v>
      </c>
      <c r="DV141" t="e">
        <f>AND(#REF!,"AAAAAH/v9X0=")</f>
        <v>#REF!</v>
      </c>
      <c r="DW141" t="e">
        <f>AND(#REF!,"AAAAAH/v9X4=")</f>
        <v>#REF!</v>
      </c>
      <c r="DX141" t="e">
        <f>AND(#REF!,"AAAAAH/v9X8=")</f>
        <v>#REF!</v>
      </c>
      <c r="DY141" t="e">
        <f>AND(#REF!,"AAAAAH/v9YA=")</f>
        <v>#REF!</v>
      </c>
      <c r="DZ141" t="e">
        <f>AND(#REF!,"AAAAAH/v9YE=")</f>
        <v>#REF!</v>
      </c>
      <c r="EA141" t="e">
        <f>AND(#REF!,"AAAAAH/v9YI=")</f>
        <v>#REF!</v>
      </c>
      <c r="EB141" t="e">
        <f>AND(#REF!,"AAAAAH/v9YM=")</f>
        <v>#REF!</v>
      </c>
      <c r="EC141" t="e">
        <f>AND(#REF!,"AAAAAH/v9YQ=")</f>
        <v>#REF!</v>
      </c>
      <c r="ED141" t="e">
        <f>AND(#REF!,"AAAAAH/v9YU=")</f>
        <v>#REF!</v>
      </c>
      <c r="EE141" t="e">
        <f>AND(#REF!,"AAAAAH/v9YY=")</f>
        <v>#REF!</v>
      </c>
      <c r="EF141" t="e">
        <f>AND(#REF!,"AAAAAH/v9Yc=")</f>
        <v>#REF!</v>
      </c>
      <c r="EG141" t="e">
        <f>AND(#REF!,"AAAAAH/v9Yg=")</f>
        <v>#REF!</v>
      </c>
      <c r="EH141" t="e">
        <f>AND(#REF!,"AAAAAH/v9Yk=")</f>
        <v>#REF!</v>
      </c>
      <c r="EI141" t="e">
        <f>AND(#REF!,"AAAAAH/v9Yo=")</f>
        <v>#REF!</v>
      </c>
      <c r="EJ141" t="e">
        <f>IF(#REF!,"AAAAAH/v9Ys=",0)</f>
        <v>#REF!</v>
      </c>
      <c r="EK141" t="e">
        <f>AND(#REF!,"AAAAAH/v9Yw=")</f>
        <v>#REF!</v>
      </c>
      <c r="EL141" t="e">
        <f>AND(#REF!,"AAAAAH/v9Y0=")</f>
        <v>#REF!</v>
      </c>
      <c r="EM141" t="e">
        <f>AND(#REF!,"AAAAAH/v9Y4=")</f>
        <v>#REF!</v>
      </c>
      <c r="EN141" t="e">
        <f>AND(#REF!,"AAAAAH/v9Y8=")</f>
        <v>#REF!</v>
      </c>
      <c r="EO141" t="e">
        <f>AND(#REF!,"AAAAAH/v9ZA=")</f>
        <v>#REF!</v>
      </c>
      <c r="EP141" t="e">
        <f>AND(#REF!,"AAAAAH/v9ZE=")</f>
        <v>#REF!</v>
      </c>
      <c r="EQ141" t="e">
        <f>AND(#REF!,"AAAAAH/v9ZI=")</f>
        <v>#REF!</v>
      </c>
      <c r="ER141" t="e">
        <f>AND(#REF!,"AAAAAH/v9ZM=")</f>
        <v>#REF!</v>
      </c>
      <c r="ES141" t="e">
        <f>AND(#REF!,"AAAAAH/v9ZQ=")</f>
        <v>#REF!</v>
      </c>
      <c r="ET141" t="e">
        <f>AND(#REF!,"AAAAAH/v9ZU=")</f>
        <v>#REF!</v>
      </c>
      <c r="EU141" t="e">
        <f>AND(#REF!,"AAAAAH/v9ZY=")</f>
        <v>#REF!</v>
      </c>
      <c r="EV141" t="e">
        <f>AND(#REF!,"AAAAAH/v9Zc=")</f>
        <v>#REF!</v>
      </c>
      <c r="EW141" t="e">
        <f>AND(#REF!,"AAAAAH/v9Zg=")</f>
        <v>#REF!</v>
      </c>
      <c r="EX141" t="e">
        <f>AND(#REF!,"AAAAAH/v9Zk=")</f>
        <v>#REF!</v>
      </c>
      <c r="EY141" t="e">
        <f>AND(#REF!,"AAAAAH/v9Zo=")</f>
        <v>#REF!</v>
      </c>
      <c r="EZ141" t="e">
        <f>AND(#REF!,"AAAAAH/v9Zs=")</f>
        <v>#REF!</v>
      </c>
      <c r="FA141" t="e">
        <f>AND(#REF!,"AAAAAH/v9Zw=")</f>
        <v>#REF!</v>
      </c>
      <c r="FB141" t="e">
        <f>AND(#REF!,"AAAAAH/v9Z0=")</f>
        <v>#REF!</v>
      </c>
      <c r="FC141" t="e">
        <f>AND(#REF!,"AAAAAH/v9Z4=")</f>
        <v>#REF!</v>
      </c>
      <c r="FD141" t="e">
        <f>AND(#REF!,"AAAAAH/v9Z8=")</f>
        <v>#REF!</v>
      </c>
      <c r="FE141" t="e">
        <f>AND(#REF!,"AAAAAH/v9aA=")</f>
        <v>#REF!</v>
      </c>
      <c r="FF141" t="e">
        <f>IF(#REF!,"AAAAAH/v9aE=",0)</f>
        <v>#REF!</v>
      </c>
      <c r="FG141" t="e">
        <f>AND(#REF!,"AAAAAH/v9aI=")</f>
        <v>#REF!</v>
      </c>
      <c r="FH141" t="e">
        <f>AND(#REF!,"AAAAAH/v9aM=")</f>
        <v>#REF!</v>
      </c>
      <c r="FI141" t="e">
        <f>AND(#REF!,"AAAAAH/v9aQ=")</f>
        <v>#REF!</v>
      </c>
      <c r="FJ141" t="e">
        <f>AND(#REF!,"AAAAAH/v9aU=")</f>
        <v>#REF!</v>
      </c>
      <c r="FK141" t="e">
        <f>AND(#REF!,"AAAAAH/v9aY=")</f>
        <v>#REF!</v>
      </c>
      <c r="FL141" t="e">
        <f>AND(#REF!,"AAAAAH/v9ac=")</f>
        <v>#REF!</v>
      </c>
      <c r="FM141" t="e">
        <f>AND(#REF!,"AAAAAH/v9ag=")</f>
        <v>#REF!</v>
      </c>
      <c r="FN141" t="e">
        <f>AND(#REF!,"AAAAAH/v9ak=")</f>
        <v>#REF!</v>
      </c>
      <c r="FO141" t="e">
        <f>AND(#REF!,"AAAAAH/v9ao=")</f>
        <v>#REF!</v>
      </c>
      <c r="FP141" t="e">
        <f>AND(#REF!,"AAAAAH/v9as=")</f>
        <v>#REF!</v>
      </c>
      <c r="FQ141" t="e">
        <f>AND(#REF!,"AAAAAH/v9aw=")</f>
        <v>#REF!</v>
      </c>
      <c r="FR141" t="e">
        <f>AND(#REF!,"AAAAAH/v9a0=")</f>
        <v>#REF!</v>
      </c>
      <c r="FS141" t="e">
        <f>AND(#REF!,"AAAAAH/v9a4=")</f>
        <v>#REF!</v>
      </c>
      <c r="FT141" t="e">
        <f>AND(#REF!,"AAAAAH/v9a8=")</f>
        <v>#REF!</v>
      </c>
      <c r="FU141" t="e">
        <f>AND(#REF!,"AAAAAH/v9bA=")</f>
        <v>#REF!</v>
      </c>
      <c r="FV141" t="e">
        <f>AND(#REF!,"AAAAAH/v9bE=")</f>
        <v>#REF!</v>
      </c>
      <c r="FW141" t="e">
        <f>AND(#REF!,"AAAAAH/v9bI=")</f>
        <v>#REF!</v>
      </c>
      <c r="FX141" t="e">
        <f>AND(#REF!,"AAAAAH/v9bM=")</f>
        <v>#REF!</v>
      </c>
      <c r="FY141" t="e">
        <f>AND(#REF!,"AAAAAH/v9bQ=")</f>
        <v>#REF!</v>
      </c>
      <c r="FZ141" t="e">
        <f>AND(#REF!,"AAAAAH/v9bU=")</f>
        <v>#REF!</v>
      </c>
      <c r="GA141" t="e">
        <f>AND(#REF!,"AAAAAH/v9bY=")</f>
        <v>#REF!</v>
      </c>
      <c r="GB141" t="e">
        <f>IF(#REF!,"AAAAAH/v9bc=",0)</f>
        <v>#REF!</v>
      </c>
      <c r="GC141" t="e">
        <f>AND(#REF!,"AAAAAH/v9bg=")</f>
        <v>#REF!</v>
      </c>
      <c r="GD141" t="e">
        <f>AND(#REF!,"AAAAAH/v9bk=")</f>
        <v>#REF!</v>
      </c>
      <c r="GE141" t="e">
        <f>AND(#REF!,"AAAAAH/v9bo=")</f>
        <v>#REF!</v>
      </c>
      <c r="GF141" t="e">
        <f>AND(#REF!,"AAAAAH/v9bs=")</f>
        <v>#REF!</v>
      </c>
      <c r="GG141" t="e">
        <f>AND(#REF!,"AAAAAH/v9bw=")</f>
        <v>#REF!</v>
      </c>
      <c r="GH141" t="e">
        <f>AND(#REF!,"AAAAAH/v9b0=")</f>
        <v>#REF!</v>
      </c>
      <c r="GI141" t="e">
        <f>AND(#REF!,"AAAAAH/v9b4=")</f>
        <v>#REF!</v>
      </c>
      <c r="GJ141" t="e">
        <f>AND(#REF!,"AAAAAH/v9b8=")</f>
        <v>#REF!</v>
      </c>
      <c r="GK141" t="e">
        <f>AND(#REF!,"AAAAAH/v9cA=")</f>
        <v>#REF!</v>
      </c>
      <c r="GL141" t="e">
        <f>AND(#REF!,"AAAAAH/v9cE=")</f>
        <v>#REF!</v>
      </c>
      <c r="GM141" t="e">
        <f>AND(#REF!,"AAAAAH/v9cI=")</f>
        <v>#REF!</v>
      </c>
      <c r="GN141" t="e">
        <f>AND(#REF!,"AAAAAH/v9cM=")</f>
        <v>#REF!</v>
      </c>
      <c r="GO141" t="e">
        <f>AND(#REF!,"AAAAAH/v9cQ=")</f>
        <v>#REF!</v>
      </c>
      <c r="GP141" t="e">
        <f>AND(#REF!,"AAAAAH/v9cU=")</f>
        <v>#REF!</v>
      </c>
      <c r="GQ141" t="e">
        <f>AND(#REF!,"AAAAAH/v9cY=")</f>
        <v>#REF!</v>
      </c>
      <c r="GR141" t="e">
        <f>AND(#REF!,"AAAAAH/v9cc=")</f>
        <v>#REF!</v>
      </c>
      <c r="GS141" t="e">
        <f>AND(#REF!,"AAAAAH/v9cg=")</f>
        <v>#REF!</v>
      </c>
      <c r="GT141" t="e">
        <f>AND(#REF!,"AAAAAH/v9ck=")</f>
        <v>#REF!</v>
      </c>
      <c r="GU141" t="e">
        <f>AND(#REF!,"AAAAAH/v9co=")</f>
        <v>#REF!</v>
      </c>
      <c r="GV141" t="e">
        <f>AND(#REF!,"AAAAAH/v9cs=")</f>
        <v>#REF!</v>
      </c>
      <c r="GW141" t="e">
        <f>AND(#REF!,"AAAAAH/v9cw=")</f>
        <v>#REF!</v>
      </c>
      <c r="GX141" t="e">
        <f>IF(#REF!,"AAAAAH/v9c0=",0)</f>
        <v>#REF!</v>
      </c>
      <c r="GY141" t="e">
        <f>AND(#REF!,"AAAAAH/v9c4=")</f>
        <v>#REF!</v>
      </c>
      <c r="GZ141" t="e">
        <f>AND(#REF!,"AAAAAH/v9c8=")</f>
        <v>#REF!</v>
      </c>
      <c r="HA141" t="e">
        <f>AND(#REF!,"AAAAAH/v9dA=")</f>
        <v>#REF!</v>
      </c>
      <c r="HB141" t="e">
        <f>AND(#REF!,"AAAAAH/v9dE=")</f>
        <v>#REF!</v>
      </c>
      <c r="HC141" t="e">
        <f>AND(#REF!,"AAAAAH/v9dI=")</f>
        <v>#REF!</v>
      </c>
      <c r="HD141" t="e">
        <f>AND(#REF!,"AAAAAH/v9dM=")</f>
        <v>#REF!</v>
      </c>
      <c r="HE141" t="e">
        <f>AND(#REF!,"AAAAAH/v9dQ=")</f>
        <v>#REF!</v>
      </c>
      <c r="HF141" t="e">
        <f>AND(#REF!,"AAAAAH/v9dU=")</f>
        <v>#REF!</v>
      </c>
      <c r="HG141" t="e">
        <f>AND(#REF!,"AAAAAH/v9dY=")</f>
        <v>#REF!</v>
      </c>
      <c r="HH141" t="e">
        <f>AND(#REF!,"AAAAAH/v9dc=")</f>
        <v>#REF!</v>
      </c>
      <c r="HI141" t="e">
        <f>AND(#REF!,"AAAAAH/v9dg=")</f>
        <v>#REF!</v>
      </c>
      <c r="HJ141" t="e">
        <f>AND(#REF!,"AAAAAH/v9dk=")</f>
        <v>#REF!</v>
      </c>
      <c r="HK141" t="e">
        <f>AND(#REF!,"AAAAAH/v9do=")</f>
        <v>#REF!</v>
      </c>
      <c r="HL141" t="e">
        <f>AND(#REF!,"AAAAAH/v9ds=")</f>
        <v>#REF!</v>
      </c>
      <c r="HM141" t="e">
        <f>AND(#REF!,"AAAAAH/v9dw=")</f>
        <v>#REF!</v>
      </c>
      <c r="HN141" t="e">
        <f>AND(#REF!,"AAAAAH/v9d0=")</f>
        <v>#REF!</v>
      </c>
      <c r="HO141" t="e">
        <f>AND(#REF!,"AAAAAH/v9d4=")</f>
        <v>#REF!</v>
      </c>
      <c r="HP141" t="e">
        <f>AND(#REF!,"AAAAAH/v9d8=")</f>
        <v>#REF!</v>
      </c>
      <c r="HQ141" t="e">
        <f>AND(#REF!,"AAAAAH/v9eA=")</f>
        <v>#REF!</v>
      </c>
      <c r="HR141" t="e">
        <f>AND(#REF!,"AAAAAH/v9eE=")</f>
        <v>#REF!</v>
      </c>
      <c r="HS141" t="e">
        <f>AND(#REF!,"AAAAAH/v9eI=")</f>
        <v>#REF!</v>
      </c>
      <c r="HT141" t="e">
        <f>IF(#REF!,"AAAAAH/v9eM=",0)</f>
        <v>#REF!</v>
      </c>
      <c r="HU141" t="e">
        <f>AND(#REF!,"AAAAAH/v9eQ=")</f>
        <v>#REF!</v>
      </c>
      <c r="HV141" t="e">
        <f>AND(#REF!,"AAAAAH/v9eU=")</f>
        <v>#REF!</v>
      </c>
      <c r="HW141" t="e">
        <f>AND(#REF!,"AAAAAH/v9eY=")</f>
        <v>#REF!</v>
      </c>
      <c r="HX141" t="e">
        <f>AND(#REF!,"AAAAAH/v9ec=")</f>
        <v>#REF!</v>
      </c>
      <c r="HY141" t="e">
        <f>AND(#REF!,"AAAAAH/v9eg=")</f>
        <v>#REF!</v>
      </c>
      <c r="HZ141" t="e">
        <f>AND(#REF!,"AAAAAH/v9ek=")</f>
        <v>#REF!</v>
      </c>
      <c r="IA141" t="e">
        <f>AND(#REF!,"AAAAAH/v9eo=")</f>
        <v>#REF!</v>
      </c>
      <c r="IB141" t="e">
        <f>AND(#REF!,"AAAAAH/v9es=")</f>
        <v>#REF!</v>
      </c>
      <c r="IC141" t="e">
        <f>AND(#REF!,"AAAAAH/v9ew=")</f>
        <v>#REF!</v>
      </c>
      <c r="ID141" t="e">
        <f>AND(#REF!,"AAAAAH/v9e0=")</f>
        <v>#REF!</v>
      </c>
      <c r="IE141" t="e">
        <f>AND(#REF!,"AAAAAH/v9e4=")</f>
        <v>#REF!</v>
      </c>
      <c r="IF141" t="e">
        <f>AND(#REF!,"AAAAAH/v9e8=")</f>
        <v>#REF!</v>
      </c>
      <c r="IG141" t="e">
        <f>AND(#REF!,"AAAAAH/v9fA=")</f>
        <v>#REF!</v>
      </c>
      <c r="IH141" t="e">
        <f>AND(#REF!,"AAAAAH/v9fE=")</f>
        <v>#REF!</v>
      </c>
      <c r="II141" t="e">
        <f>AND(#REF!,"AAAAAH/v9fI=")</f>
        <v>#REF!</v>
      </c>
      <c r="IJ141" t="e">
        <f>AND(#REF!,"AAAAAH/v9fM=")</f>
        <v>#REF!</v>
      </c>
      <c r="IK141" t="e">
        <f>AND(#REF!,"AAAAAH/v9fQ=")</f>
        <v>#REF!</v>
      </c>
      <c r="IL141" t="e">
        <f>AND(#REF!,"AAAAAH/v9fU=")</f>
        <v>#REF!</v>
      </c>
      <c r="IM141" t="e">
        <f>AND(#REF!,"AAAAAH/v9fY=")</f>
        <v>#REF!</v>
      </c>
      <c r="IN141" t="e">
        <f>AND(#REF!,"AAAAAH/v9fc=")</f>
        <v>#REF!</v>
      </c>
      <c r="IO141" t="e">
        <f>AND(#REF!,"AAAAAH/v9fg=")</f>
        <v>#REF!</v>
      </c>
      <c r="IP141" t="e">
        <f>IF(#REF!,"AAAAAH/v9fk=",0)</f>
        <v>#REF!</v>
      </c>
      <c r="IQ141" t="e">
        <f>AND(#REF!,"AAAAAH/v9fo=")</f>
        <v>#REF!</v>
      </c>
      <c r="IR141" t="e">
        <f>AND(#REF!,"AAAAAH/v9fs=")</f>
        <v>#REF!</v>
      </c>
      <c r="IS141" t="e">
        <f>AND(#REF!,"AAAAAH/v9fw=")</f>
        <v>#REF!</v>
      </c>
      <c r="IT141" t="e">
        <f>AND(#REF!,"AAAAAH/v9f0=")</f>
        <v>#REF!</v>
      </c>
      <c r="IU141" t="e">
        <f>AND(#REF!,"AAAAAH/v9f4=")</f>
        <v>#REF!</v>
      </c>
      <c r="IV141" t="e">
        <f>AND(#REF!,"AAAAAH/v9f8=")</f>
        <v>#REF!</v>
      </c>
    </row>
    <row r="142" spans="1:256" x14ac:dyDescent="0.25">
      <c r="A142" t="e">
        <f>AND(#REF!,"AAAAAD/f7gA=")</f>
        <v>#REF!</v>
      </c>
      <c r="B142" t="e">
        <f>AND(#REF!,"AAAAAD/f7gE=")</f>
        <v>#REF!</v>
      </c>
      <c r="C142" t="e">
        <f>AND(#REF!,"AAAAAD/f7gI=")</f>
        <v>#REF!</v>
      </c>
      <c r="D142" t="e">
        <f>AND(#REF!,"AAAAAD/f7gM=")</f>
        <v>#REF!</v>
      </c>
      <c r="E142" t="e">
        <f>AND(#REF!,"AAAAAD/f7gQ=")</f>
        <v>#REF!</v>
      </c>
      <c r="F142" t="e">
        <f>AND(#REF!,"AAAAAD/f7gU=")</f>
        <v>#REF!</v>
      </c>
      <c r="G142" t="e">
        <f>AND(#REF!,"AAAAAD/f7gY=")</f>
        <v>#REF!</v>
      </c>
      <c r="H142" t="e">
        <f>AND(#REF!,"AAAAAD/f7gc=")</f>
        <v>#REF!</v>
      </c>
      <c r="I142" t="e">
        <f>AND(#REF!,"AAAAAD/f7gg=")</f>
        <v>#REF!</v>
      </c>
      <c r="J142" t="e">
        <f>AND(#REF!,"AAAAAD/f7gk=")</f>
        <v>#REF!</v>
      </c>
      <c r="K142" t="e">
        <f>AND(#REF!,"AAAAAD/f7go=")</f>
        <v>#REF!</v>
      </c>
      <c r="L142" t="e">
        <f>AND(#REF!,"AAAAAD/f7gs=")</f>
        <v>#REF!</v>
      </c>
      <c r="M142" t="e">
        <f>AND(#REF!,"AAAAAD/f7gw=")</f>
        <v>#REF!</v>
      </c>
      <c r="N142" t="e">
        <f>AND(#REF!,"AAAAAD/f7g0=")</f>
        <v>#REF!</v>
      </c>
      <c r="O142" t="e">
        <f>AND(#REF!,"AAAAAD/f7g4=")</f>
        <v>#REF!</v>
      </c>
      <c r="P142" t="e">
        <f>IF(#REF!,"AAAAAD/f7g8=",0)</f>
        <v>#REF!</v>
      </c>
      <c r="Q142" t="e">
        <f>AND(#REF!,"AAAAAD/f7hA=")</f>
        <v>#REF!</v>
      </c>
      <c r="R142" t="e">
        <f>AND(#REF!,"AAAAAD/f7hE=")</f>
        <v>#REF!</v>
      </c>
      <c r="S142" t="e">
        <f>AND(#REF!,"AAAAAD/f7hI=")</f>
        <v>#REF!</v>
      </c>
      <c r="T142" t="e">
        <f>AND(#REF!,"AAAAAD/f7hM=")</f>
        <v>#REF!</v>
      </c>
      <c r="U142" t="e">
        <f>AND(#REF!,"AAAAAD/f7hQ=")</f>
        <v>#REF!</v>
      </c>
      <c r="V142" t="e">
        <f>AND(#REF!,"AAAAAD/f7hU=")</f>
        <v>#REF!</v>
      </c>
      <c r="W142" t="e">
        <f>AND(#REF!,"AAAAAD/f7hY=")</f>
        <v>#REF!</v>
      </c>
      <c r="X142" t="e">
        <f>AND(#REF!,"AAAAAD/f7hc=")</f>
        <v>#REF!</v>
      </c>
      <c r="Y142" t="e">
        <f>AND(#REF!,"AAAAAD/f7hg=")</f>
        <v>#REF!</v>
      </c>
      <c r="Z142" t="e">
        <f>AND(#REF!,"AAAAAD/f7hk=")</f>
        <v>#REF!</v>
      </c>
      <c r="AA142" t="e">
        <f>AND(#REF!,"AAAAAD/f7ho=")</f>
        <v>#REF!</v>
      </c>
      <c r="AB142" t="e">
        <f>AND(#REF!,"AAAAAD/f7hs=")</f>
        <v>#REF!</v>
      </c>
      <c r="AC142" t="e">
        <f>AND(#REF!,"AAAAAD/f7hw=")</f>
        <v>#REF!</v>
      </c>
      <c r="AD142" t="e">
        <f>AND(#REF!,"AAAAAD/f7h0=")</f>
        <v>#REF!</v>
      </c>
      <c r="AE142" t="e">
        <f>AND(#REF!,"AAAAAD/f7h4=")</f>
        <v>#REF!</v>
      </c>
      <c r="AF142" t="e">
        <f>AND(#REF!,"AAAAAD/f7h8=")</f>
        <v>#REF!</v>
      </c>
      <c r="AG142" t="e">
        <f>AND(#REF!,"AAAAAD/f7iA=")</f>
        <v>#REF!</v>
      </c>
      <c r="AH142" t="e">
        <f>AND(#REF!,"AAAAAD/f7iE=")</f>
        <v>#REF!</v>
      </c>
      <c r="AI142" t="e">
        <f>AND(#REF!,"AAAAAD/f7iI=")</f>
        <v>#REF!</v>
      </c>
      <c r="AJ142" t="e">
        <f>AND(#REF!,"AAAAAD/f7iM=")</f>
        <v>#REF!</v>
      </c>
      <c r="AK142" t="e">
        <f>AND(#REF!,"AAAAAD/f7iQ=")</f>
        <v>#REF!</v>
      </c>
      <c r="AL142" t="e">
        <f>IF(#REF!,"AAAAAD/f7iU=",0)</f>
        <v>#REF!</v>
      </c>
      <c r="AM142" t="e">
        <f>AND(#REF!,"AAAAAD/f7iY=")</f>
        <v>#REF!</v>
      </c>
      <c r="AN142" t="e">
        <f>AND(#REF!,"AAAAAD/f7ic=")</f>
        <v>#REF!</v>
      </c>
      <c r="AO142" t="e">
        <f>AND(#REF!,"AAAAAD/f7ig=")</f>
        <v>#REF!</v>
      </c>
      <c r="AP142" t="e">
        <f>AND(#REF!,"AAAAAD/f7ik=")</f>
        <v>#REF!</v>
      </c>
      <c r="AQ142" t="e">
        <f>AND(#REF!,"AAAAAD/f7io=")</f>
        <v>#REF!</v>
      </c>
      <c r="AR142" t="e">
        <f>AND(#REF!,"AAAAAD/f7is=")</f>
        <v>#REF!</v>
      </c>
      <c r="AS142" t="e">
        <f>AND(#REF!,"AAAAAD/f7iw=")</f>
        <v>#REF!</v>
      </c>
      <c r="AT142" t="e">
        <f>AND(#REF!,"AAAAAD/f7i0=")</f>
        <v>#REF!</v>
      </c>
      <c r="AU142" t="e">
        <f>AND(#REF!,"AAAAAD/f7i4=")</f>
        <v>#REF!</v>
      </c>
      <c r="AV142" t="e">
        <f>AND(#REF!,"AAAAAD/f7i8=")</f>
        <v>#REF!</v>
      </c>
      <c r="AW142" t="e">
        <f>AND(#REF!,"AAAAAD/f7jA=")</f>
        <v>#REF!</v>
      </c>
      <c r="AX142" t="e">
        <f>AND(#REF!,"AAAAAD/f7jE=")</f>
        <v>#REF!</v>
      </c>
      <c r="AY142" t="e">
        <f>AND(#REF!,"AAAAAD/f7jI=")</f>
        <v>#REF!</v>
      </c>
      <c r="AZ142" t="e">
        <f>AND(#REF!,"AAAAAD/f7jM=")</f>
        <v>#REF!</v>
      </c>
      <c r="BA142" t="e">
        <f>AND(#REF!,"AAAAAD/f7jQ=")</f>
        <v>#REF!</v>
      </c>
      <c r="BB142" t="e">
        <f>AND(#REF!,"AAAAAD/f7jU=")</f>
        <v>#REF!</v>
      </c>
      <c r="BC142" t="e">
        <f>AND(#REF!,"AAAAAD/f7jY=")</f>
        <v>#REF!</v>
      </c>
      <c r="BD142" t="e">
        <f>AND(#REF!,"AAAAAD/f7jc=")</f>
        <v>#REF!</v>
      </c>
      <c r="BE142" t="e">
        <f>AND(#REF!,"AAAAAD/f7jg=")</f>
        <v>#REF!</v>
      </c>
      <c r="BF142" t="e">
        <f>AND(#REF!,"AAAAAD/f7jk=")</f>
        <v>#REF!</v>
      </c>
      <c r="BG142" t="e">
        <f>AND(#REF!,"AAAAAD/f7jo=")</f>
        <v>#REF!</v>
      </c>
      <c r="BH142" t="e">
        <f>IF(#REF!,"AAAAAD/f7js=",0)</f>
        <v>#REF!</v>
      </c>
      <c r="BI142" t="e">
        <f>AND(#REF!,"AAAAAD/f7jw=")</f>
        <v>#REF!</v>
      </c>
      <c r="BJ142" t="e">
        <f>AND(#REF!,"AAAAAD/f7j0=")</f>
        <v>#REF!</v>
      </c>
      <c r="BK142" t="e">
        <f>AND(#REF!,"AAAAAD/f7j4=")</f>
        <v>#REF!</v>
      </c>
      <c r="BL142" t="e">
        <f>AND(#REF!,"AAAAAD/f7j8=")</f>
        <v>#REF!</v>
      </c>
      <c r="BM142" t="e">
        <f>AND(#REF!,"AAAAAD/f7kA=")</f>
        <v>#REF!</v>
      </c>
      <c r="BN142" t="e">
        <f>AND(#REF!,"AAAAAD/f7kE=")</f>
        <v>#REF!</v>
      </c>
      <c r="BO142" t="e">
        <f>AND(#REF!,"AAAAAD/f7kI=")</f>
        <v>#REF!</v>
      </c>
      <c r="BP142" t="e">
        <f>AND(#REF!,"AAAAAD/f7kM=")</f>
        <v>#REF!</v>
      </c>
      <c r="BQ142" t="e">
        <f>AND(#REF!,"AAAAAD/f7kQ=")</f>
        <v>#REF!</v>
      </c>
      <c r="BR142" t="e">
        <f>AND(#REF!,"AAAAAD/f7kU=")</f>
        <v>#REF!</v>
      </c>
      <c r="BS142" t="e">
        <f>AND(#REF!,"AAAAAD/f7kY=")</f>
        <v>#REF!</v>
      </c>
      <c r="BT142" t="e">
        <f>AND(#REF!,"AAAAAD/f7kc=")</f>
        <v>#REF!</v>
      </c>
      <c r="BU142" t="e">
        <f>AND(#REF!,"AAAAAD/f7kg=")</f>
        <v>#REF!</v>
      </c>
      <c r="BV142" t="e">
        <f>AND(#REF!,"AAAAAD/f7kk=")</f>
        <v>#REF!</v>
      </c>
      <c r="BW142" t="e">
        <f>AND(#REF!,"AAAAAD/f7ko=")</f>
        <v>#REF!</v>
      </c>
      <c r="BX142" t="e">
        <f>AND(#REF!,"AAAAAD/f7ks=")</f>
        <v>#REF!</v>
      </c>
      <c r="BY142" t="e">
        <f>AND(#REF!,"AAAAAD/f7kw=")</f>
        <v>#REF!</v>
      </c>
      <c r="BZ142" t="e">
        <f>AND(#REF!,"AAAAAD/f7k0=")</f>
        <v>#REF!</v>
      </c>
      <c r="CA142" t="e">
        <f>AND(#REF!,"AAAAAD/f7k4=")</f>
        <v>#REF!</v>
      </c>
      <c r="CB142" t="e">
        <f>AND(#REF!,"AAAAAD/f7k8=")</f>
        <v>#REF!</v>
      </c>
      <c r="CC142" t="e">
        <f>AND(#REF!,"AAAAAD/f7lA=")</f>
        <v>#REF!</v>
      </c>
      <c r="CD142" t="e">
        <f>IF(#REF!,"AAAAAD/f7lE=",0)</f>
        <v>#REF!</v>
      </c>
      <c r="CE142" t="e">
        <f>AND(#REF!,"AAAAAD/f7lI=")</f>
        <v>#REF!</v>
      </c>
      <c r="CF142" t="e">
        <f>AND(#REF!,"AAAAAD/f7lM=")</f>
        <v>#REF!</v>
      </c>
      <c r="CG142" t="e">
        <f>AND(#REF!,"AAAAAD/f7lQ=")</f>
        <v>#REF!</v>
      </c>
      <c r="CH142" t="e">
        <f>AND(#REF!,"AAAAAD/f7lU=")</f>
        <v>#REF!</v>
      </c>
      <c r="CI142" t="e">
        <f>AND(#REF!,"AAAAAD/f7lY=")</f>
        <v>#REF!</v>
      </c>
      <c r="CJ142" t="e">
        <f>AND(#REF!,"AAAAAD/f7lc=")</f>
        <v>#REF!</v>
      </c>
      <c r="CK142" t="e">
        <f>AND(#REF!,"AAAAAD/f7lg=")</f>
        <v>#REF!</v>
      </c>
      <c r="CL142" t="e">
        <f>AND(#REF!,"AAAAAD/f7lk=")</f>
        <v>#REF!</v>
      </c>
      <c r="CM142" t="e">
        <f>AND(#REF!,"AAAAAD/f7lo=")</f>
        <v>#REF!</v>
      </c>
      <c r="CN142" t="e">
        <f>AND(#REF!,"AAAAAD/f7ls=")</f>
        <v>#REF!</v>
      </c>
      <c r="CO142" t="e">
        <f>AND(#REF!,"AAAAAD/f7lw=")</f>
        <v>#REF!</v>
      </c>
      <c r="CP142" t="e">
        <f>AND(#REF!,"AAAAAD/f7l0=")</f>
        <v>#REF!</v>
      </c>
      <c r="CQ142" t="e">
        <f>AND(#REF!,"AAAAAD/f7l4=")</f>
        <v>#REF!</v>
      </c>
      <c r="CR142" t="e">
        <f>AND(#REF!,"AAAAAD/f7l8=")</f>
        <v>#REF!</v>
      </c>
      <c r="CS142" t="e">
        <f>AND(#REF!,"AAAAAD/f7mA=")</f>
        <v>#REF!</v>
      </c>
      <c r="CT142" t="e">
        <f>AND(#REF!,"AAAAAD/f7mE=")</f>
        <v>#REF!</v>
      </c>
      <c r="CU142" t="e">
        <f>AND(#REF!,"AAAAAD/f7mI=")</f>
        <v>#REF!</v>
      </c>
      <c r="CV142" t="e">
        <f>AND(#REF!,"AAAAAD/f7mM=")</f>
        <v>#REF!</v>
      </c>
      <c r="CW142" t="e">
        <f>AND(#REF!,"AAAAAD/f7mQ=")</f>
        <v>#REF!</v>
      </c>
      <c r="CX142" t="e">
        <f>AND(#REF!,"AAAAAD/f7mU=")</f>
        <v>#REF!</v>
      </c>
      <c r="CY142" t="e">
        <f>AND(#REF!,"AAAAAD/f7mY=")</f>
        <v>#REF!</v>
      </c>
      <c r="CZ142" t="e">
        <f>IF(#REF!,"AAAAAD/f7mc=",0)</f>
        <v>#REF!</v>
      </c>
      <c r="DA142" t="e">
        <f>AND(#REF!,"AAAAAD/f7mg=")</f>
        <v>#REF!</v>
      </c>
      <c r="DB142" t="e">
        <f>AND(#REF!,"AAAAAD/f7mk=")</f>
        <v>#REF!</v>
      </c>
      <c r="DC142" t="e">
        <f>AND(#REF!,"AAAAAD/f7mo=")</f>
        <v>#REF!</v>
      </c>
      <c r="DD142" t="e">
        <f>AND(#REF!,"AAAAAD/f7ms=")</f>
        <v>#REF!</v>
      </c>
      <c r="DE142" t="e">
        <f>AND(#REF!,"AAAAAD/f7mw=")</f>
        <v>#REF!</v>
      </c>
      <c r="DF142" t="e">
        <f>AND(#REF!,"AAAAAD/f7m0=")</f>
        <v>#REF!</v>
      </c>
      <c r="DG142" t="e">
        <f>AND(#REF!,"AAAAAD/f7m4=")</f>
        <v>#REF!</v>
      </c>
      <c r="DH142" t="e">
        <f>AND(#REF!,"AAAAAD/f7m8=")</f>
        <v>#REF!</v>
      </c>
      <c r="DI142" t="e">
        <f>AND(#REF!,"AAAAAD/f7nA=")</f>
        <v>#REF!</v>
      </c>
      <c r="DJ142" t="e">
        <f>AND(#REF!,"AAAAAD/f7nE=")</f>
        <v>#REF!</v>
      </c>
      <c r="DK142" t="e">
        <f>AND(#REF!,"AAAAAD/f7nI=")</f>
        <v>#REF!</v>
      </c>
      <c r="DL142" t="e">
        <f>AND(#REF!,"AAAAAD/f7nM=")</f>
        <v>#REF!</v>
      </c>
      <c r="DM142" t="e">
        <f>AND(#REF!,"AAAAAD/f7nQ=")</f>
        <v>#REF!</v>
      </c>
      <c r="DN142" t="e">
        <f>AND(#REF!,"AAAAAD/f7nU=")</f>
        <v>#REF!</v>
      </c>
      <c r="DO142" t="e">
        <f>AND(#REF!,"AAAAAD/f7nY=")</f>
        <v>#REF!</v>
      </c>
      <c r="DP142" t="e">
        <f>AND(#REF!,"AAAAAD/f7nc=")</f>
        <v>#REF!</v>
      </c>
      <c r="DQ142" t="e">
        <f>AND(#REF!,"AAAAAD/f7ng=")</f>
        <v>#REF!</v>
      </c>
      <c r="DR142" t="e">
        <f>AND(#REF!,"AAAAAD/f7nk=")</f>
        <v>#REF!</v>
      </c>
      <c r="DS142" t="e">
        <f>AND(#REF!,"AAAAAD/f7no=")</f>
        <v>#REF!</v>
      </c>
      <c r="DT142" t="e">
        <f>AND(#REF!,"AAAAAD/f7ns=")</f>
        <v>#REF!</v>
      </c>
      <c r="DU142" t="e">
        <f>AND(#REF!,"AAAAAD/f7nw=")</f>
        <v>#REF!</v>
      </c>
      <c r="DV142" t="e">
        <f>IF(#REF!,"AAAAAD/f7n0=",0)</f>
        <v>#REF!</v>
      </c>
      <c r="DW142" t="e">
        <f>AND(#REF!,"AAAAAD/f7n4=")</f>
        <v>#REF!</v>
      </c>
      <c r="DX142" t="e">
        <f>AND(#REF!,"AAAAAD/f7n8=")</f>
        <v>#REF!</v>
      </c>
      <c r="DY142" t="e">
        <f>AND(#REF!,"AAAAAD/f7oA=")</f>
        <v>#REF!</v>
      </c>
      <c r="DZ142" t="e">
        <f>AND(#REF!,"AAAAAD/f7oE=")</f>
        <v>#REF!</v>
      </c>
      <c r="EA142" t="e">
        <f>AND(#REF!,"AAAAAD/f7oI=")</f>
        <v>#REF!</v>
      </c>
      <c r="EB142" t="e">
        <f>AND(#REF!,"AAAAAD/f7oM=")</f>
        <v>#REF!</v>
      </c>
      <c r="EC142" t="e">
        <f>AND(#REF!,"AAAAAD/f7oQ=")</f>
        <v>#REF!</v>
      </c>
      <c r="ED142" t="e">
        <f>AND(#REF!,"AAAAAD/f7oU=")</f>
        <v>#REF!</v>
      </c>
      <c r="EE142" t="e">
        <f>AND(#REF!,"AAAAAD/f7oY=")</f>
        <v>#REF!</v>
      </c>
      <c r="EF142" t="e">
        <f>AND(#REF!,"AAAAAD/f7oc=")</f>
        <v>#REF!</v>
      </c>
      <c r="EG142" t="e">
        <f>AND(#REF!,"AAAAAD/f7og=")</f>
        <v>#REF!</v>
      </c>
      <c r="EH142" t="e">
        <f>AND(#REF!,"AAAAAD/f7ok=")</f>
        <v>#REF!</v>
      </c>
      <c r="EI142" t="e">
        <f>AND(#REF!,"AAAAAD/f7oo=")</f>
        <v>#REF!</v>
      </c>
      <c r="EJ142" t="e">
        <f>AND(#REF!,"AAAAAD/f7os=")</f>
        <v>#REF!</v>
      </c>
      <c r="EK142" t="e">
        <f>AND(#REF!,"AAAAAD/f7ow=")</f>
        <v>#REF!</v>
      </c>
      <c r="EL142" t="e">
        <f>AND(#REF!,"AAAAAD/f7o0=")</f>
        <v>#REF!</v>
      </c>
      <c r="EM142" t="e">
        <f>AND(#REF!,"AAAAAD/f7o4=")</f>
        <v>#REF!</v>
      </c>
      <c r="EN142" t="e">
        <f>AND(#REF!,"AAAAAD/f7o8=")</f>
        <v>#REF!</v>
      </c>
      <c r="EO142" t="e">
        <f>AND(#REF!,"AAAAAD/f7pA=")</f>
        <v>#REF!</v>
      </c>
      <c r="EP142" t="e">
        <f>AND(#REF!,"AAAAAD/f7pE=")</f>
        <v>#REF!</v>
      </c>
      <c r="EQ142" t="e">
        <f>AND(#REF!,"AAAAAD/f7pI=")</f>
        <v>#REF!</v>
      </c>
      <c r="ER142" t="e">
        <f>IF(#REF!,"AAAAAD/f7pM=",0)</f>
        <v>#REF!</v>
      </c>
      <c r="ES142" t="e">
        <f>AND(#REF!,"AAAAAD/f7pQ=")</f>
        <v>#REF!</v>
      </c>
      <c r="ET142" t="e">
        <f>AND(#REF!,"AAAAAD/f7pU=")</f>
        <v>#REF!</v>
      </c>
      <c r="EU142" t="e">
        <f>AND(#REF!,"AAAAAD/f7pY=")</f>
        <v>#REF!</v>
      </c>
      <c r="EV142" t="e">
        <f>AND(#REF!,"AAAAAD/f7pc=")</f>
        <v>#REF!</v>
      </c>
      <c r="EW142" t="e">
        <f>AND(#REF!,"AAAAAD/f7pg=")</f>
        <v>#REF!</v>
      </c>
      <c r="EX142" t="e">
        <f>AND(#REF!,"AAAAAD/f7pk=")</f>
        <v>#REF!</v>
      </c>
      <c r="EY142" t="e">
        <f>AND(#REF!,"AAAAAD/f7po=")</f>
        <v>#REF!</v>
      </c>
      <c r="EZ142" t="e">
        <f>AND(#REF!,"AAAAAD/f7ps=")</f>
        <v>#REF!</v>
      </c>
      <c r="FA142" t="e">
        <f>AND(#REF!,"AAAAAD/f7pw=")</f>
        <v>#REF!</v>
      </c>
      <c r="FB142" t="e">
        <f>AND(#REF!,"AAAAAD/f7p0=")</f>
        <v>#REF!</v>
      </c>
      <c r="FC142" t="e">
        <f>AND(#REF!,"AAAAAD/f7p4=")</f>
        <v>#REF!</v>
      </c>
      <c r="FD142" t="e">
        <f>AND(#REF!,"AAAAAD/f7p8=")</f>
        <v>#REF!</v>
      </c>
      <c r="FE142" t="e">
        <f>AND(#REF!,"AAAAAD/f7qA=")</f>
        <v>#REF!</v>
      </c>
      <c r="FF142" t="e">
        <f>AND(#REF!,"AAAAAD/f7qE=")</f>
        <v>#REF!</v>
      </c>
      <c r="FG142" t="e">
        <f>AND(#REF!,"AAAAAD/f7qI=")</f>
        <v>#REF!</v>
      </c>
      <c r="FH142" t="e">
        <f>AND(#REF!,"AAAAAD/f7qM=")</f>
        <v>#REF!</v>
      </c>
      <c r="FI142" t="e">
        <f>AND(#REF!,"AAAAAD/f7qQ=")</f>
        <v>#REF!</v>
      </c>
      <c r="FJ142" t="e">
        <f>AND(#REF!,"AAAAAD/f7qU=")</f>
        <v>#REF!</v>
      </c>
      <c r="FK142" t="e">
        <f>AND(#REF!,"AAAAAD/f7qY=")</f>
        <v>#REF!</v>
      </c>
      <c r="FL142" t="e">
        <f>AND(#REF!,"AAAAAD/f7qc=")</f>
        <v>#REF!</v>
      </c>
      <c r="FM142" t="e">
        <f>AND(#REF!,"AAAAAD/f7qg=")</f>
        <v>#REF!</v>
      </c>
      <c r="FN142" t="e">
        <f>IF(#REF!,"AAAAAD/f7qk=",0)</f>
        <v>#REF!</v>
      </c>
      <c r="FO142" t="e">
        <f>AND(#REF!,"AAAAAD/f7qo=")</f>
        <v>#REF!</v>
      </c>
      <c r="FP142" t="e">
        <f>AND(#REF!,"AAAAAD/f7qs=")</f>
        <v>#REF!</v>
      </c>
      <c r="FQ142" t="e">
        <f>AND(#REF!,"AAAAAD/f7qw=")</f>
        <v>#REF!</v>
      </c>
      <c r="FR142" t="e">
        <f>AND(#REF!,"AAAAAD/f7q0=")</f>
        <v>#REF!</v>
      </c>
      <c r="FS142" t="e">
        <f>AND(#REF!,"AAAAAD/f7q4=")</f>
        <v>#REF!</v>
      </c>
      <c r="FT142" t="e">
        <f>AND(#REF!,"AAAAAD/f7q8=")</f>
        <v>#REF!</v>
      </c>
      <c r="FU142" t="e">
        <f>AND(#REF!,"AAAAAD/f7rA=")</f>
        <v>#REF!</v>
      </c>
      <c r="FV142" t="e">
        <f>AND(#REF!,"AAAAAD/f7rE=")</f>
        <v>#REF!</v>
      </c>
      <c r="FW142" t="e">
        <f>AND(#REF!,"AAAAAD/f7rI=")</f>
        <v>#REF!</v>
      </c>
      <c r="FX142" t="e">
        <f>AND(#REF!,"AAAAAD/f7rM=")</f>
        <v>#REF!</v>
      </c>
      <c r="FY142" t="e">
        <f>AND(#REF!,"AAAAAD/f7rQ=")</f>
        <v>#REF!</v>
      </c>
      <c r="FZ142" t="e">
        <f>AND(#REF!,"AAAAAD/f7rU=")</f>
        <v>#REF!</v>
      </c>
      <c r="GA142" t="e">
        <f>AND(#REF!,"AAAAAD/f7rY=")</f>
        <v>#REF!</v>
      </c>
      <c r="GB142" t="e">
        <f>AND(#REF!,"AAAAAD/f7rc=")</f>
        <v>#REF!</v>
      </c>
      <c r="GC142" t="e">
        <f>AND(#REF!,"AAAAAD/f7rg=")</f>
        <v>#REF!</v>
      </c>
      <c r="GD142" t="e">
        <f>AND(#REF!,"AAAAAD/f7rk=")</f>
        <v>#REF!</v>
      </c>
      <c r="GE142" t="e">
        <f>AND(#REF!,"AAAAAD/f7ro=")</f>
        <v>#REF!</v>
      </c>
      <c r="GF142" t="e">
        <f>AND(#REF!,"AAAAAD/f7rs=")</f>
        <v>#REF!</v>
      </c>
      <c r="GG142" t="e">
        <f>AND(#REF!,"AAAAAD/f7rw=")</f>
        <v>#REF!</v>
      </c>
      <c r="GH142" t="e">
        <f>AND(#REF!,"AAAAAD/f7r0=")</f>
        <v>#REF!</v>
      </c>
      <c r="GI142" t="e">
        <f>AND(#REF!,"AAAAAD/f7r4=")</f>
        <v>#REF!</v>
      </c>
      <c r="GJ142" t="e">
        <f>IF(#REF!,"AAAAAD/f7r8=",0)</f>
        <v>#REF!</v>
      </c>
      <c r="GK142" t="e">
        <f>AND(#REF!,"AAAAAD/f7sA=")</f>
        <v>#REF!</v>
      </c>
      <c r="GL142" t="e">
        <f>AND(#REF!,"AAAAAD/f7sE=")</f>
        <v>#REF!</v>
      </c>
      <c r="GM142" t="e">
        <f>AND(#REF!,"AAAAAD/f7sI=")</f>
        <v>#REF!</v>
      </c>
      <c r="GN142" t="e">
        <f>AND(#REF!,"AAAAAD/f7sM=")</f>
        <v>#REF!</v>
      </c>
      <c r="GO142" t="e">
        <f>AND(#REF!,"AAAAAD/f7sQ=")</f>
        <v>#REF!</v>
      </c>
      <c r="GP142" t="e">
        <f>AND(#REF!,"AAAAAD/f7sU=")</f>
        <v>#REF!</v>
      </c>
      <c r="GQ142" t="e">
        <f>AND(#REF!,"AAAAAD/f7sY=")</f>
        <v>#REF!</v>
      </c>
      <c r="GR142" t="e">
        <f>AND(#REF!,"AAAAAD/f7sc=")</f>
        <v>#REF!</v>
      </c>
      <c r="GS142" t="e">
        <f>AND(#REF!,"AAAAAD/f7sg=")</f>
        <v>#REF!</v>
      </c>
      <c r="GT142" t="e">
        <f>AND(#REF!,"AAAAAD/f7sk=")</f>
        <v>#REF!</v>
      </c>
      <c r="GU142" t="e">
        <f>AND(#REF!,"AAAAAD/f7so=")</f>
        <v>#REF!</v>
      </c>
      <c r="GV142" t="e">
        <f>AND(#REF!,"AAAAAD/f7ss=")</f>
        <v>#REF!</v>
      </c>
      <c r="GW142" t="e">
        <f>AND(#REF!,"AAAAAD/f7sw=")</f>
        <v>#REF!</v>
      </c>
      <c r="GX142" t="e">
        <f>AND(#REF!,"AAAAAD/f7s0=")</f>
        <v>#REF!</v>
      </c>
      <c r="GY142" t="e">
        <f>AND(#REF!,"AAAAAD/f7s4=")</f>
        <v>#REF!</v>
      </c>
      <c r="GZ142" t="e">
        <f>AND(#REF!,"AAAAAD/f7s8=")</f>
        <v>#REF!</v>
      </c>
      <c r="HA142" t="e">
        <f>AND(#REF!,"AAAAAD/f7tA=")</f>
        <v>#REF!</v>
      </c>
      <c r="HB142" t="e">
        <f>AND(#REF!,"AAAAAD/f7tE=")</f>
        <v>#REF!</v>
      </c>
      <c r="HC142" t="e">
        <f>AND(#REF!,"AAAAAD/f7tI=")</f>
        <v>#REF!</v>
      </c>
      <c r="HD142" t="e">
        <f>AND(#REF!,"AAAAAD/f7tM=")</f>
        <v>#REF!</v>
      </c>
      <c r="HE142" t="e">
        <f>AND(#REF!,"AAAAAD/f7tQ=")</f>
        <v>#REF!</v>
      </c>
      <c r="HF142" t="e">
        <f>IF(#REF!,"AAAAAD/f7tU=",0)</f>
        <v>#REF!</v>
      </c>
      <c r="HG142" t="e">
        <f>AND(#REF!,"AAAAAD/f7tY=")</f>
        <v>#REF!</v>
      </c>
      <c r="HH142" t="e">
        <f>AND(#REF!,"AAAAAD/f7tc=")</f>
        <v>#REF!</v>
      </c>
      <c r="HI142" t="e">
        <f>AND(#REF!,"AAAAAD/f7tg=")</f>
        <v>#REF!</v>
      </c>
      <c r="HJ142" t="e">
        <f>AND(#REF!,"AAAAAD/f7tk=")</f>
        <v>#REF!</v>
      </c>
      <c r="HK142" t="e">
        <f>AND(#REF!,"AAAAAD/f7to=")</f>
        <v>#REF!</v>
      </c>
      <c r="HL142" t="e">
        <f>AND(#REF!,"AAAAAD/f7ts=")</f>
        <v>#REF!</v>
      </c>
      <c r="HM142" t="e">
        <f>AND(#REF!,"AAAAAD/f7tw=")</f>
        <v>#REF!</v>
      </c>
      <c r="HN142" t="e">
        <f>AND(#REF!,"AAAAAD/f7t0=")</f>
        <v>#REF!</v>
      </c>
      <c r="HO142" t="e">
        <f>AND(#REF!,"AAAAAD/f7t4=")</f>
        <v>#REF!</v>
      </c>
      <c r="HP142" t="e">
        <f>AND(#REF!,"AAAAAD/f7t8=")</f>
        <v>#REF!</v>
      </c>
      <c r="HQ142" t="e">
        <f>AND(#REF!,"AAAAAD/f7uA=")</f>
        <v>#REF!</v>
      </c>
      <c r="HR142" t="e">
        <f>AND(#REF!,"AAAAAD/f7uE=")</f>
        <v>#REF!</v>
      </c>
      <c r="HS142" t="e">
        <f>AND(#REF!,"AAAAAD/f7uI=")</f>
        <v>#REF!</v>
      </c>
      <c r="HT142" t="e">
        <f>AND(#REF!,"AAAAAD/f7uM=")</f>
        <v>#REF!</v>
      </c>
      <c r="HU142" t="e">
        <f>AND(#REF!,"AAAAAD/f7uQ=")</f>
        <v>#REF!</v>
      </c>
      <c r="HV142" t="e">
        <f>AND(#REF!,"AAAAAD/f7uU=")</f>
        <v>#REF!</v>
      </c>
      <c r="HW142" t="e">
        <f>AND(#REF!,"AAAAAD/f7uY=")</f>
        <v>#REF!</v>
      </c>
      <c r="HX142" t="e">
        <f>AND(#REF!,"AAAAAD/f7uc=")</f>
        <v>#REF!</v>
      </c>
      <c r="HY142" t="e">
        <f>AND(#REF!,"AAAAAD/f7ug=")</f>
        <v>#REF!</v>
      </c>
      <c r="HZ142" t="e">
        <f>AND(#REF!,"AAAAAD/f7uk=")</f>
        <v>#REF!</v>
      </c>
      <c r="IA142" t="e">
        <f>AND(#REF!,"AAAAAD/f7uo=")</f>
        <v>#REF!</v>
      </c>
      <c r="IB142" t="e">
        <f>IF(#REF!,"AAAAAD/f7us=",0)</f>
        <v>#REF!</v>
      </c>
      <c r="IC142" t="e">
        <f>AND(#REF!,"AAAAAD/f7uw=")</f>
        <v>#REF!</v>
      </c>
      <c r="ID142" t="e">
        <f>AND(#REF!,"AAAAAD/f7u0=")</f>
        <v>#REF!</v>
      </c>
      <c r="IE142" t="e">
        <f>AND(#REF!,"AAAAAD/f7u4=")</f>
        <v>#REF!</v>
      </c>
      <c r="IF142" t="e">
        <f>AND(#REF!,"AAAAAD/f7u8=")</f>
        <v>#REF!</v>
      </c>
      <c r="IG142" t="e">
        <f>AND(#REF!,"AAAAAD/f7vA=")</f>
        <v>#REF!</v>
      </c>
      <c r="IH142" t="e">
        <f>AND(#REF!,"AAAAAD/f7vE=")</f>
        <v>#REF!</v>
      </c>
      <c r="II142" t="e">
        <f>AND(#REF!,"AAAAAD/f7vI=")</f>
        <v>#REF!</v>
      </c>
      <c r="IJ142" t="e">
        <f>AND(#REF!,"AAAAAD/f7vM=")</f>
        <v>#REF!</v>
      </c>
      <c r="IK142" t="e">
        <f>AND(#REF!,"AAAAAD/f7vQ=")</f>
        <v>#REF!</v>
      </c>
      <c r="IL142" t="e">
        <f>AND(#REF!,"AAAAAD/f7vU=")</f>
        <v>#REF!</v>
      </c>
      <c r="IM142" t="e">
        <f>AND(#REF!,"AAAAAD/f7vY=")</f>
        <v>#REF!</v>
      </c>
      <c r="IN142" t="e">
        <f>AND(#REF!,"AAAAAD/f7vc=")</f>
        <v>#REF!</v>
      </c>
      <c r="IO142" t="e">
        <f>AND(#REF!,"AAAAAD/f7vg=")</f>
        <v>#REF!</v>
      </c>
      <c r="IP142" t="e">
        <f>AND(#REF!,"AAAAAD/f7vk=")</f>
        <v>#REF!</v>
      </c>
      <c r="IQ142" t="e">
        <f>AND(#REF!,"AAAAAD/f7vo=")</f>
        <v>#REF!</v>
      </c>
      <c r="IR142" t="e">
        <f>AND(#REF!,"AAAAAD/f7vs=")</f>
        <v>#REF!</v>
      </c>
      <c r="IS142" t="e">
        <f>AND(#REF!,"AAAAAD/f7vw=")</f>
        <v>#REF!</v>
      </c>
      <c r="IT142" t="e">
        <f>AND(#REF!,"AAAAAD/f7v0=")</f>
        <v>#REF!</v>
      </c>
      <c r="IU142" t="e">
        <f>AND(#REF!,"AAAAAD/f7v4=")</f>
        <v>#REF!</v>
      </c>
      <c r="IV142" t="e">
        <f>AND(#REF!,"AAAAAD/f7v8=")</f>
        <v>#REF!</v>
      </c>
    </row>
    <row r="143" spans="1:256" x14ac:dyDescent="0.25">
      <c r="A143" t="e">
        <f>AND(#REF!,"AAAAAGte9wA=")</f>
        <v>#REF!</v>
      </c>
      <c r="B143" t="e">
        <f>IF(#REF!,"AAAAAGte9wE=",0)</f>
        <v>#REF!</v>
      </c>
      <c r="C143" t="e">
        <f>AND(#REF!,"AAAAAGte9wI=")</f>
        <v>#REF!</v>
      </c>
      <c r="D143" t="e">
        <f>AND(#REF!,"AAAAAGte9wM=")</f>
        <v>#REF!</v>
      </c>
      <c r="E143" t="e">
        <f>AND(#REF!,"AAAAAGte9wQ=")</f>
        <v>#REF!</v>
      </c>
      <c r="F143" t="e">
        <f>AND(#REF!,"AAAAAGte9wU=")</f>
        <v>#REF!</v>
      </c>
      <c r="G143" t="e">
        <f>AND(#REF!,"AAAAAGte9wY=")</f>
        <v>#REF!</v>
      </c>
      <c r="H143" t="e">
        <f>AND(#REF!,"AAAAAGte9wc=")</f>
        <v>#REF!</v>
      </c>
      <c r="I143" t="e">
        <f>AND(#REF!,"AAAAAGte9wg=")</f>
        <v>#REF!</v>
      </c>
      <c r="J143" t="e">
        <f>AND(#REF!,"AAAAAGte9wk=")</f>
        <v>#REF!</v>
      </c>
      <c r="K143" t="e">
        <f>AND(#REF!,"AAAAAGte9wo=")</f>
        <v>#REF!</v>
      </c>
      <c r="L143" t="e">
        <f>AND(#REF!,"AAAAAGte9ws=")</f>
        <v>#REF!</v>
      </c>
      <c r="M143" t="e">
        <f>AND(#REF!,"AAAAAGte9ww=")</f>
        <v>#REF!</v>
      </c>
      <c r="N143" t="e">
        <f>AND(#REF!,"AAAAAGte9w0=")</f>
        <v>#REF!</v>
      </c>
      <c r="O143" t="e">
        <f>AND(#REF!,"AAAAAGte9w4=")</f>
        <v>#REF!</v>
      </c>
      <c r="P143" t="e">
        <f>AND(#REF!,"AAAAAGte9w8=")</f>
        <v>#REF!</v>
      </c>
      <c r="Q143" t="e">
        <f>AND(#REF!,"AAAAAGte9xA=")</f>
        <v>#REF!</v>
      </c>
      <c r="R143" t="e">
        <f>AND(#REF!,"AAAAAGte9xE=")</f>
        <v>#REF!</v>
      </c>
      <c r="S143" t="e">
        <f>AND(#REF!,"AAAAAGte9xI=")</f>
        <v>#REF!</v>
      </c>
      <c r="T143" t="e">
        <f>AND(#REF!,"AAAAAGte9xM=")</f>
        <v>#REF!</v>
      </c>
      <c r="U143" t="e">
        <f>AND(#REF!,"AAAAAGte9xQ=")</f>
        <v>#REF!</v>
      </c>
      <c r="V143" t="e">
        <f>AND(#REF!,"AAAAAGte9xU=")</f>
        <v>#REF!</v>
      </c>
      <c r="W143" t="e">
        <f>AND(#REF!,"AAAAAGte9xY=")</f>
        <v>#REF!</v>
      </c>
      <c r="X143" t="e">
        <f>IF(#REF!,"AAAAAGte9xc=",0)</f>
        <v>#REF!</v>
      </c>
      <c r="Y143" t="e">
        <f>AND(#REF!,"AAAAAGte9xg=")</f>
        <v>#REF!</v>
      </c>
      <c r="Z143" t="e">
        <f>AND(#REF!,"AAAAAGte9xk=")</f>
        <v>#REF!</v>
      </c>
      <c r="AA143" t="e">
        <f>AND(#REF!,"AAAAAGte9xo=")</f>
        <v>#REF!</v>
      </c>
      <c r="AB143" t="e">
        <f>AND(#REF!,"AAAAAGte9xs=")</f>
        <v>#REF!</v>
      </c>
      <c r="AC143" t="e">
        <f>AND(#REF!,"AAAAAGte9xw=")</f>
        <v>#REF!</v>
      </c>
      <c r="AD143" t="e">
        <f>AND(#REF!,"AAAAAGte9x0=")</f>
        <v>#REF!</v>
      </c>
      <c r="AE143" t="e">
        <f>AND(#REF!,"AAAAAGte9x4=")</f>
        <v>#REF!</v>
      </c>
      <c r="AF143" t="e">
        <f>AND(#REF!,"AAAAAGte9x8=")</f>
        <v>#REF!</v>
      </c>
      <c r="AG143" t="e">
        <f>AND(#REF!,"AAAAAGte9yA=")</f>
        <v>#REF!</v>
      </c>
      <c r="AH143" t="e">
        <f>AND(#REF!,"AAAAAGte9yE=")</f>
        <v>#REF!</v>
      </c>
      <c r="AI143" t="e">
        <f>AND(#REF!,"AAAAAGte9yI=")</f>
        <v>#REF!</v>
      </c>
      <c r="AJ143" t="e">
        <f>AND(#REF!,"AAAAAGte9yM=")</f>
        <v>#REF!</v>
      </c>
      <c r="AK143" t="e">
        <f>AND(#REF!,"AAAAAGte9yQ=")</f>
        <v>#REF!</v>
      </c>
      <c r="AL143" t="e">
        <f>AND(#REF!,"AAAAAGte9yU=")</f>
        <v>#REF!</v>
      </c>
      <c r="AM143" t="e">
        <f>AND(#REF!,"AAAAAGte9yY=")</f>
        <v>#REF!</v>
      </c>
      <c r="AN143" t="e">
        <f>AND(#REF!,"AAAAAGte9yc=")</f>
        <v>#REF!</v>
      </c>
      <c r="AO143" t="e">
        <f>AND(#REF!,"AAAAAGte9yg=")</f>
        <v>#REF!</v>
      </c>
      <c r="AP143" t="e">
        <f>AND(#REF!,"AAAAAGte9yk=")</f>
        <v>#REF!</v>
      </c>
      <c r="AQ143" t="e">
        <f>AND(#REF!,"AAAAAGte9yo=")</f>
        <v>#REF!</v>
      </c>
      <c r="AR143" t="e">
        <f>AND(#REF!,"AAAAAGte9ys=")</f>
        <v>#REF!</v>
      </c>
      <c r="AS143" t="e">
        <f>AND(#REF!,"AAAAAGte9yw=")</f>
        <v>#REF!</v>
      </c>
      <c r="AT143" t="e">
        <f>IF(#REF!,"AAAAAGte9y0=",0)</f>
        <v>#REF!</v>
      </c>
      <c r="AU143" t="e">
        <f>AND(#REF!,"AAAAAGte9y4=")</f>
        <v>#REF!</v>
      </c>
      <c r="AV143" t="e">
        <f>AND(#REF!,"AAAAAGte9y8=")</f>
        <v>#REF!</v>
      </c>
      <c r="AW143" t="e">
        <f>AND(#REF!,"AAAAAGte9zA=")</f>
        <v>#REF!</v>
      </c>
      <c r="AX143" t="e">
        <f>AND(#REF!,"AAAAAGte9zE=")</f>
        <v>#REF!</v>
      </c>
      <c r="AY143" t="e">
        <f>AND(#REF!,"AAAAAGte9zI=")</f>
        <v>#REF!</v>
      </c>
      <c r="AZ143" t="e">
        <f>AND(#REF!,"AAAAAGte9zM=")</f>
        <v>#REF!</v>
      </c>
      <c r="BA143" t="e">
        <f>AND(#REF!,"AAAAAGte9zQ=")</f>
        <v>#REF!</v>
      </c>
      <c r="BB143" t="e">
        <f>AND(#REF!,"AAAAAGte9zU=")</f>
        <v>#REF!</v>
      </c>
      <c r="BC143" t="e">
        <f>AND(#REF!,"AAAAAGte9zY=")</f>
        <v>#REF!</v>
      </c>
      <c r="BD143" t="e">
        <f>AND(#REF!,"AAAAAGte9zc=")</f>
        <v>#REF!</v>
      </c>
      <c r="BE143" t="e">
        <f>AND(#REF!,"AAAAAGte9zg=")</f>
        <v>#REF!</v>
      </c>
      <c r="BF143" t="e">
        <f>AND(#REF!,"AAAAAGte9zk=")</f>
        <v>#REF!</v>
      </c>
      <c r="BG143" t="e">
        <f>AND(#REF!,"AAAAAGte9zo=")</f>
        <v>#REF!</v>
      </c>
      <c r="BH143" t="e">
        <f>AND(#REF!,"AAAAAGte9zs=")</f>
        <v>#REF!</v>
      </c>
      <c r="BI143" t="e">
        <f>AND(#REF!,"AAAAAGte9zw=")</f>
        <v>#REF!</v>
      </c>
      <c r="BJ143" t="e">
        <f>AND(#REF!,"AAAAAGte9z0=")</f>
        <v>#REF!</v>
      </c>
      <c r="BK143" t="e">
        <f>AND(#REF!,"AAAAAGte9z4=")</f>
        <v>#REF!</v>
      </c>
      <c r="BL143" t="e">
        <f>AND(#REF!,"AAAAAGte9z8=")</f>
        <v>#REF!</v>
      </c>
      <c r="BM143" t="e">
        <f>AND(#REF!,"AAAAAGte90A=")</f>
        <v>#REF!</v>
      </c>
      <c r="BN143" t="e">
        <f>AND(#REF!,"AAAAAGte90E=")</f>
        <v>#REF!</v>
      </c>
      <c r="BO143" t="e">
        <f>AND(#REF!,"AAAAAGte90I=")</f>
        <v>#REF!</v>
      </c>
      <c r="BP143" t="e">
        <f>IF(#REF!,"AAAAAGte90M=",0)</f>
        <v>#REF!</v>
      </c>
      <c r="BQ143" t="e">
        <f>AND(#REF!,"AAAAAGte90Q=")</f>
        <v>#REF!</v>
      </c>
      <c r="BR143" t="e">
        <f>AND(#REF!,"AAAAAGte90U=")</f>
        <v>#REF!</v>
      </c>
      <c r="BS143" t="e">
        <f>AND(#REF!,"AAAAAGte90Y=")</f>
        <v>#REF!</v>
      </c>
      <c r="BT143" t="e">
        <f>AND(#REF!,"AAAAAGte90c=")</f>
        <v>#REF!</v>
      </c>
      <c r="BU143" t="e">
        <f>AND(#REF!,"AAAAAGte90g=")</f>
        <v>#REF!</v>
      </c>
      <c r="BV143" t="e">
        <f>AND(#REF!,"AAAAAGte90k=")</f>
        <v>#REF!</v>
      </c>
      <c r="BW143" t="e">
        <f>AND(#REF!,"AAAAAGte90o=")</f>
        <v>#REF!</v>
      </c>
      <c r="BX143" t="e">
        <f>AND(#REF!,"AAAAAGte90s=")</f>
        <v>#REF!</v>
      </c>
      <c r="BY143" t="e">
        <f>AND(#REF!,"AAAAAGte90w=")</f>
        <v>#REF!</v>
      </c>
      <c r="BZ143" t="e">
        <f>AND(#REF!,"AAAAAGte900=")</f>
        <v>#REF!</v>
      </c>
      <c r="CA143" t="e">
        <f>AND(#REF!,"AAAAAGte904=")</f>
        <v>#REF!</v>
      </c>
      <c r="CB143" t="e">
        <f>AND(#REF!,"AAAAAGte908=")</f>
        <v>#REF!</v>
      </c>
      <c r="CC143" t="e">
        <f>AND(#REF!,"AAAAAGte91A=")</f>
        <v>#REF!</v>
      </c>
      <c r="CD143" t="e">
        <f>AND(#REF!,"AAAAAGte91E=")</f>
        <v>#REF!</v>
      </c>
      <c r="CE143" t="e">
        <f>AND(#REF!,"AAAAAGte91I=")</f>
        <v>#REF!</v>
      </c>
      <c r="CF143" t="e">
        <f>AND(#REF!,"AAAAAGte91M=")</f>
        <v>#REF!</v>
      </c>
      <c r="CG143" t="e">
        <f>AND(#REF!,"AAAAAGte91Q=")</f>
        <v>#REF!</v>
      </c>
      <c r="CH143" t="e">
        <f>AND(#REF!,"AAAAAGte91U=")</f>
        <v>#REF!</v>
      </c>
      <c r="CI143" t="e">
        <f>AND(#REF!,"AAAAAGte91Y=")</f>
        <v>#REF!</v>
      </c>
      <c r="CJ143" t="e">
        <f>AND(#REF!,"AAAAAGte91c=")</f>
        <v>#REF!</v>
      </c>
      <c r="CK143" t="e">
        <f>AND(#REF!,"AAAAAGte91g=")</f>
        <v>#REF!</v>
      </c>
      <c r="CL143" t="e">
        <f>IF(#REF!,"AAAAAGte91k=",0)</f>
        <v>#REF!</v>
      </c>
      <c r="CM143" t="e">
        <f>IF(#REF!,"AAAAAGte91o=",0)</f>
        <v>#REF!</v>
      </c>
      <c r="CN143" t="e">
        <f>IF(#REF!,"AAAAAGte91s=",0)</f>
        <v>#REF!</v>
      </c>
      <c r="CO143" t="e">
        <f>IF(#REF!,"AAAAAGte91w=",0)</f>
        <v>#REF!</v>
      </c>
      <c r="CP143" t="e">
        <f>IF(#REF!,"AAAAAGte910=",0)</f>
        <v>#REF!</v>
      </c>
      <c r="CQ143" t="e">
        <f>IF(#REF!,"AAAAAGte914=",0)</f>
        <v>#REF!</v>
      </c>
      <c r="CR143" t="e">
        <f>IF(#REF!,"AAAAAGte918=",0)</f>
        <v>#REF!</v>
      </c>
      <c r="CS143" t="e">
        <f>IF(#REF!,"AAAAAGte92A=",0)</f>
        <v>#REF!</v>
      </c>
      <c r="CT143" t="e">
        <f>IF(#REF!,"AAAAAGte92E=",0)</f>
        <v>#REF!</v>
      </c>
      <c r="CU143" t="e">
        <f>IF(#REF!,"AAAAAGte92I=",0)</f>
        <v>#REF!</v>
      </c>
      <c r="CV143" t="e">
        <f>IF(#REF!,"AAAAAGte92M=",0)</f>
        <v>#REF!</v>
      </c>
      <c r="CW143" t="e">
        <f>IF(#REF!,"AAAAAGte92Q=",0)</f>
        <v>#REF!</v>
      </c>
      <c r="CX143" t="e">
        <f>IF(#REF!,"AAAAAGte92U=",0)</f>
        <v>#REF!</v>
      </c>
      <c r="CY143" t="e">
        <f>IF(#REF!,"AAAAAGte92Y=",0)</f>
        <v>#REF!</v>
      </c>
      <c r="CZ143" t="e">
        <f>IF(#REF!,"AAAAAGte92c=",0)</f>
        <v>#REF!</v>
      </c>
      <c r="DA143" t="e">
        <f>IF(#REF!,"AAAAAGte92g=",0)</f>
        <v>#REF!</v>
      </c>
      <c r="DB143" t="e">
        <f>IF(#REF!,"AAAAAGte92k=",0)</f>
        <v>#REF!</v>
      </c>
      <c r="DC143" t="e">
        <f>IF(#REF!,"AAAAAGte92o=",0)</f>
        <v>#REF!</v>
      </c>
      <c r="DD143" t="e">
        <f>IF(#REF!,"AAAAAGte92s=",0)</f>
        <v>#REF!</v>
      </c>
      <c r="DE143" t="e">
        <f>IF(#REF!,"AAAAAGte92w=",0)</f>
        <v>#REF!</v>
      </c>
      <c r="DF143" t="e">
        <f>IF(#REF!,"AAAAAGte920=",0)</f>
        <v>#REF!</v>
      </c>
      <c r="DG143" t="e">
        <f>IF(#REF!,"AAAAAGte924=",0)</f>
        <v>#REF!</v>
      </c>
      <c r="DH143" t="e">
        <f>AND(#REF!,"AAAAAGte928=")</f>
        <v>#REF!</v>
      </c>
      <c r="DI143" t="e">
        <f>AND(#REF!,"AAAAAGte93A=")</f>
        <v>#REF!</v>
      </c>
      <c r="DJ143" t="e">
        <f>AND(#REF!,"AAAAAGte93E=")</f>
        <v>#REF!</v>
      </c>
      <c r="DK143" t="e">
        <f>AND(#REF!,"AAAAAGte93I=")</f>
        <v>#REF!</v>
      </c>
      <c r="DL143" t="e">
        <f>AND(#REF!,"AAAAAGte93M=")</f>
        <v>#REF!</v>
      </c>
      <c r="DM143" t="e">
        <f>AND(#REF!,"AAAAAGte93Q=")</f>
        <v>#REF!</v>
      </c>
      <c r="DN143" t="e">
        <f>AND(#REF!,"AAAAAGte93U=")</f>
        <v>#REF!</v>
      </c>
      <c r="DO143" t="e">
        <f>AND(#REF!,"AAAAAGte93Y=")</f>
        <v>#REF!</v>
      </c>
      <c r="DP143" t="e">
        <f>AND(#REF!,"AAAAAGte93c=")</f>
        <v>#REF!</v>
      </c>
      <c r="DQ143" t="e">
        <f>AND(#REF!,"AAAAAGte93g=")</f>
        <v>#REF!</v>
      </c>
      <c r="DR143" t="e">
        <f>AND(#REF!,"AAAAAGte93k=")</f>
        <v>#REF!</v>
      </c>
      <c r="DS143" t="e">
        <f>AND(#REF!,"AAAAAGte93o=")</f>
        <v>#REF!</v>
      </c>
      <c r="DT143" t="e">
        <f>AND(#REF!,"AAAAAGte93s=")</f>
        <v>#REF!</v>
      </c>
      <c r="DU143" t="e">
        <f>AND(#REF!,"AAAAAGte93w=")</f>
        <v>#REF!</v>
      </c>
      <c r="DV143" t="e">
        <f>AND(#REF!,"AAAAAGte930=")</f>
        <v>#REF!</v>
      </c>
      <c r="DW143" t="e">
        <f>AND(#REF!,"AAAAAGte934=")</f>
        <v>#REF!</v>
      </c>
      <c r="DX143" t="e">
        <f>AND(#REF!,"AAAAAGte938=")</f>
        <v>#REF!</v>
      </c>
      <c r="DY143" t="e">
        <f>AND(#REF!,"AAAAAGte94A=")</f>
        <v>#REF!</v>
      </c>
      <c r="DZ143" t="e">
        <f>AND(#REF!,"AAAAAGte94E=")</f>
        <v>#REF!</v>
      </c>
      <c r="EA143" t="e">
        <f>AND(#REF!,"AAAAAGte94I=")</f>
        <v>#REF!</v>
      </c>
      <c r="EB143" t="e">
        <f>AND(#REF!,"AAAAAGte94M=")</f>
        <v>#REF!</v>
      </c>
      <c r="EC143" t="e">
        <f>IF(#REF!,"AAAAAGte94Q=",0)</f>
        <v>#REF!</v>
      </c>
      <c r="ED143" t="e">
        <f>AND(#REF!,"AAAAAGte94U=")</f>
        <v>#REF!</v>
      </c>
      <c r="EE143" t="e">
        <f>AND(#REF!,"AAAAAGte94Y=")</f>
        <v>#REF!</v>
      </c>
      <c r="EF143" t="e">
        <f>AND(#REF!,"AAAAAGte94c=")</f>
        <v>#REF!</v>
      </c>
      <c r="EG143" t="e">
        <f>AND(#REF!,"AAAAAGte94g=")</f>
        <v>#REF!</v>
      </c>
      <c r="EH143" t="e">
        <f>AND(#REF!,"AAAAAGte94k=")</f>
        <v>#REF!</v>
      </c>
      <c r="EI143" t="e">
        <f>AND(#REF!,"AAAAAGte94o=")</f>
        <v>#REF!</v>
      </c>
      <c r="EJ143" t="e">
        <f>AND(#REF!,"AAAAAGte94s=")</f>
        <v>#REF!</v>
      </c>
      <c r="EK143" t="e">
        <f>AND(#REF!,"AAAAAGte94w=")</f>
        <v>#REF!</v>
      </c>
      <c r="EL143" t="e">
        <f>AND(#REF!,"AAAAAGte940=")</f>
        <v>#REF!</v>
      </c>
      <c r="EM143" t="e">
        <f>AND(#REF!,"AAAAAGte944=")</f>
        <v>#REF!</v>
      </c>
      <c r="EN143" t="e">
        <f>AND(#REF!,"AAAAAGte948=")</f>
        <v>#REF!</v>
      </c>
      <c r="EO143" t="e">
        <f>AND(#REF!,"AAAAAGte95A=")</f>
        <v>#REF!</v>
      </c>
      <c r="EP143" t="e">
        <f>AND(#REF!,"AAAAAGte95E=")</f>
        <v>#REF!</v>
      </c>
      <c r="EQ143" t="e">
        <f>AND(#REF!,"AAAAAGte95I=")</f>
        <v>#REF!</v>
      </c>
      <c r="ER143" t="e">
        <f>AND(#REF!,"AAAAAGte95M=")</f>
        <v>#REF!</v>
      </c>
      <c r="ES143" t="e">
        <f>AND(#REF!,"AAAAAGte95Q=")</f>
        <v>#REF!</v>
      </c>
      <c r="ET143" t="e">
        <f>AND(#REF!,"AAAAAGte95U=")</f>
        <v>#REF!</v>
      </c>
      <c r="EU143" t="e">
        <f>AND(#REF!,"AAAAAGte95Y=")</f>
        <v>#REF!</v>
      </c>
      <c r="EV143" t="e">
        <f>AND(#REF!,"AAAAAGte95c=")</f>
        <v>#REF!</v>
      </c>
      <c r="EW143" t="e">
        <f>AND(#REF!,"AAAAAGte95g=")</f>
        <v>#REF!</v>
      </c>
      <c r="EX143" t="e">
        <f>AND(#REF!,"AAAAAGte95k=")</f>
        <v>#REF!</v>
      </c>
      <c r="EY143" t="e">
        <f>IF(#REF!,"AAAAAGte95o=",0)</f>
        <v>#REF!</v>
      </c>
      <c r="EZ143" t="e">
        <f>AND(#REF!,"AAAAAGte95s=")</f>
        <v>#REF!</v>
      </c>
      <c r="FA143" t="e">
        <f>AND(#REF!,"AAAAAGte95w=")</f>
        <v>#REF!</v>
      </c>
      <c r="FB143" t="e">
        <f>AND(#REF!,"AAAAAGte950=")</f>
        <v>#REF!</v>
      </c>
      <c r="FC143" t="e">
        <f>AND(#REF!,"AAAAAGte954=")</f>
        <v>#REF!</v>
      </c>
      <c r="FD143" t="e">
        <f>AND(#REF!,"AAAAAGte958=")</f>
        <v>#REF!</v>
      </c>
      <c r="FE143" t="e">
        <f>AND(#REF!,"AAAAAGte96A=")</f>
        <v>#REF!</v>
      </c>
      <c r="FF143" t="e">
        <f>AND(#REF!,"AAAAAGte96E=")</f>
        <v>#REF!</v>
      </c>
      <c r="FG143" t="e">
        <f>AND(#REF!,"AAAAAGte96I=")</f>
        <v>#REF!</v>
      </c>
      <c r="FH143" t="e">
        <f>AND(#REF!,"AAAAAGte96M=")</f>
        <v>#REF!</v>
      </c>
      <c r="FI143" t="e">
        <f>AND(#REF!,"AAAAAGte96Q=")</f>
        <v>#REF!</v>
      </c>
      <c r="FJ143" t="e">
        <f>AND(#REF!,"AAAAAGte96U=")</f>
        <v>#REF!</v>
      </c>
      <c r="FK143" t="e">
        <f>AND(#REF!,"AAAAAGte96Y=")</f>
        <v>#REF!</v>
      </c>
      <c r="FL143" t="e">
        <f>AND(#REF!,"AAAAAGte96c=")</f>
        <v>#REF!</v>
      </c>
      <c r="FM143" t="e">
        <f>AND(#REF!,"AAAAAGte96g=")</f>
        <v>#REF!</v>
      </c>
      <c r="FN143" t="e">
        <f>AND(#REF!,"AAAAAGte96k=")</f>
        <v>#REF!</v>
      </c>
      <c r="FO143" t="e">
        <f>AND(#REF!,"AAAAAGte96o=")</f>
        <v>#REF!</v>
      </c>
      <c r="FP143" t="e">
        <f>AND(#REF!,"AAAAAGte96s=")</f>
        <v>#REF!</v>
      </c>
      <c r="FQ143" t="e">
        <f>AND(#REF!,"AAAAAGte96w=")</f>
        <v>#REF!</v>
      </c>
      <c r="FR143" t="e">
        <f>AND(#REF!,"AAAAAGte960=")</f>
        <v>#REF!</v>
      </c>
      <c r="FS143" t="e">
        <f>AND(#REF!,"AAAAAGte964=")</f>
        <v>#REF!</v>
      </c>
      <c r="FT143" t="e">
        <f>AND(#REF!,"AAAAAGte968=")</f>
        <v>#REF!</v>
      </c>
      <c r="FU143" t="e">
        <f>IF(#REF!,"AAAAAGte97A=",0)</f>
        <v>#REF!</v>
      </c>
      <c r="FV143" t="e">
        <f>AND(#REF!,"AAAAAGte97E=")</f>
        <v>#REF!</v>
      </c>
      <c r="FW143" t="e">
        <f>AND(#REF!,"AAAAAGte97I=")</f>
        <v>#REF!</v>
      </c>
      <c r="FX143" t="e">
        <f>AND(#REF!,"AAAAAGte97M=")</f>
        <v>#REF!</v>
      </c>
      <c r="FY143" t="e">
        <f>AND(#REF!,"AAAAAGte97Q=")</f>
        <v>#REF!</v>
      </c>
      <c r="FZ143" t="e">
        <f>AND(#REF!,"AAAAAGte97U=")</f>
        <v>#REF!</v>
      </c>
      <c r="GA143" t="e">
        <f>AND(#REF!,"AAAAAGte97Y=")</f>
        <v>#REF!</v>
      </c>
      <c r="GB143" t="e">
        <f>AND(#REF!,"AAAAAGte97c=")</f>
        <v>#REF!</v>
      </c>
      <c r="GC143" t="e">
        <f>AND(#REF!,"AAAAAGte97g=")</f>
        <v>#REF!</v>
      </c>
      <c r="GD143" t="e">
        <f>AND(#REF!,"AAAAAGte97k=")</f>
        <v>#REF!</v>
      </c>
      <c r="GE143" t="e">
        <f>AND(#REF!,"AAAAAGte97o=")</f>
        <v>#REF!</v>
      </c>
      <c r="GF143" t="e">
        <f>AND(#REF!,"AAAAAGte97s=")</f>
        <v>#REF!</v>
      </c>
      <c r="GG143" t="e">
        <f>AND(#REF!,"AAAAAGte97w=")</f>
        <v>#REF!</v>
      </c>
      <c r="GH143" t="e">
        <f>AND(#REF!,"AAAAAGte970=")</f>
        <v>#REF!</v>
      </c>
      <c r="GI143" t="e">
        <f>AND(#REF!,"AAAAAGte974=")</f>
        <v>#REF!</v>
      </c>
      <c r="GJ143" t="e">
        <f>AND(#REF!,"AAAAAGte978=")</f>
        <v>#REF!</v>
      </c>
      <c r="GK143" t="e">
        <f>AND(#REF!,"AAAAAGte98A=")</f>
        <v>#REF!</v>
      </c>
      <c r="GL143" t="e">
        <f>AND(#REF!,"AAAAAGte98E=")</f>
        <v>#REF!</v>
      </c>
      <c r="GM143" t="e">
        <f>AND(#REF!,"AAAAAGte98I=")</f>
        <v>#REF!</v>
      </c>
      <c r="GN143" t="e">
        <f>AND(#REF!,"AAAAAGte98M=")</f>
        <v>#REF!</v>
      </c>
      <c r="GO143" t="e">
        <f>AND(#REF!,"AAAAAGte98Q=")</f>
        <v>#REF!</v>
      </c>
      <c r="GP143" t="e">
        <f>AND(#REF!,"AAAAAGte98U=")</f>
        <v>#REF!</v>
      </c>
      <c r="GQ143" t="e">
        <f>IF(#REF!,"AAAAAGte98Y=",0)</f>
        <v>#REF!</v>
      </c>
      <c r="GR143" t="e">
        <f>AND(#REF!,"AAAAAGte98c=")</f>
        <v>#REF!</v>
      </c>
      <c r="GS143" t="e">
        <f>AND(#REF!,"AAAAAGte98g=")</f>
        <v>#REF!</v>
      </c>
      <c r="GT143" t="e">
        <f>AND(#REF!,"AAAAAGte98k=")</f>
        <v>#REF!</v>
      </c>
      <c r="GU143" t="e">
        <f>AND(#REF!,"AAAAAGte98o=")</f>
        <v>#REF!</v>
      </c>
      <c r="GV143" t="e">
        <f>AND(#REF!,"AAAAAGte98s=")</f>
        <v>#REF!</v>
      </c>
      <c r="GW143" t="e">
        <f>AND(#REF!,"AAAAAGte98w=")</f>
        <v>#REF!</v>
      </c>
      <c r="GX143" t="e">
        <f>AND(#REF!,"AAAAAGte980=")</f>
        <v>#REF!</v>
      </c>
      <c r="GY143" t="e">
        <f>AND(#REF!,"AAAAAGte984=")</f>
        <v>#REF!</v>
      </c>
      <c r="GZ143" t="e">
        <f>AND(#REF!,"AAAAAGte988=")</f>
        <v>#REF!</v>
      </c>
      <c r="HA143" t="e">
        <f>AND(#REF!,"AAAAAGte99A=")</f>
        <v>#REF!</v>
      </c>
      <c r="HB143" t="e">
        <f>AND(#REF!,"AAAAAGte99E=")</f>
        <v>#REF!</v>
      </c>
      <c r="HC143" t="e">
        <f>AND(#REF!,"AAAAAGte99I=")</f>
        <v>#REF!</v>
      </c>
      <c r="HD143" t="e">
        <f>AND(#REF!,"AAAAAGte99M=")</f>
        <v>#REF!</v>
      </c>
      <c r="HE143" t="e">
        <f>AND(#REF!,"AAAAAGte99Q=")</f>
        <v>#REF!</v>
      </c>
      <c r="HF143" t="e">
        <f>AND(#REF!,"AAAAAGte99U=")</f>
        <v>#REF!</v>
      </c>
      <c r="HG143" t="e">
        <f>AND(#REF!,"AAAAAGte99Y=")</f>
        <v>#REF!</v>
      </c>
      <c r="HH143" t="e">
        <f>AND(#REF!,"AAAAAGte99c=")</f>
        <v>#REF!</v>
      </c>
      <c r="HI143" t="e">
        <f>AND(#REF!,"AAAAAGte99g=")</f>
        <v>#REF!</v>
      </c>
      <c r="HJ143" t="e">
        <f>AND(#REF!,"AAAAAGte99k=")</f>
        <v>#REF!</v>
      </c>
      <c r="HK143" t="e">
        <f>AND(#REF!,"AAAAAGte99o=")</f>
        <v>#REF!</v>
      </c>
      <c r="HL143" t="e">
        <f>AND(#REF!,"AAAAAGte99s=")</f>
        <v>#REF!</v>
      </c>
      <c r="HM143" t="e">
        <f>IF(#REF!,"AAAAAGte99w=",0)</f>
        <v>#REF!</v>
      </c>
      <c r="HN143" t="e">
        <f>AND(#REF!,"AAAAAGte990=")</f>
        <v>#REF!</v>
      </c>
      <c r="HO143" t="e">
        <f>AND(#REF!,"AAAAAGte994=")</f>
        <v>#REF!</v>
      </c>
      <c r="HP143" t="e">
        <f>AND(#REF!,"AAAAAGte998=")</f>
        <v>#REF!</v>
      </c>
      <c r="HQ143" t="e">
        <f>AND(#REF!,"AAAAAGte9+A=")</f>
        <v>#REF!</v>
      </c>
      <c r="HR143" t="e">
        <f>AND(#REF!,"AAAAAGte9+E=")</f>
        <v>#REF!</v>
      </c>
      <c r="HS143" t="e">
        <f>AND(#REF!,"AAAAAGte9+I=")</f>
        <v>#REF!</v>
      </c>
      <c r="HT143" t="e">
        <f>AND(#REF!,"AAAAAGte9+M=")</f>
        <v>#REF!</v>
      </c>
      <c r="HU143" t="e">
        <f>AND(#REF!,"AAAAAGte9+Q=")</f>
        <v>#REF!</v>
      </c>
      <c r="HV143" t="e">
        <f>AND(#REF!,"AAAAAGte9+U=")</f>
        <v>#REF!</v>
      </c>
      <c r="HW143" t="e">
        <f>AND(#REF!,"AAAAAGte9+Y=")</f>
        <v>#REF!</v>
      </c>
      <c r="HX143" t="e">
        <f>AND(#REF!,"AAAAAGte9+c=")</f>
        <v>#REF!</v>
      </c>
      <c r="HY143" t="e">
        <f>AND(#REF!,"AAAAAGte9+g=")</f>
        <v>#REF!</v>
      </c>
      <c r="HZ143" t="e">
        <f>AND(#REF!,"AAAAAGte9+k=")</f>
        <v>#REF!</v>
      </c>
      <c r="IA143" t="e">
        <f>AND(#REF!,"AAAAAGte9+o=")</f>
        <v>#REF!</v>
      </c>
      <c r="IB143" t="e">
        <f>AND(#REF!,"AAAAAGte9+s=")</f>
        <v>#REF!</v>
      </c>
      <c r="IC143" t="e">
        <f>AND(#REF!,"AAAAAGte9+w=")</f>
        <v>#REF!</v>
      </c>
      <c r="ID143" t="e">
        <f>AND(#REF!,"AAAAAGte9+0=")</f>
        <v>#REF!</v>
      </c>
      <c r="IE143" t="e">
        <f>AND(#REF!,"AAAAAGte9+4=")</f>
        <v>#REF!</v>
      </c>
      <c r="IF143" t="e">
        <f>AND(#REF!,"AAAAAGte9+8=")</f>
        <v>#REF!</v>
      </c>
      <c r="IG143" t="e">
        <f>AND(#REF!,"AAAAAGte9/A=")</f>
        <v>#REF!</v>
      </c>
      <c r="IH143" t="e">
        <f>AND(#REF!,"AAAAAGte9/E=")</f>
        <v>#REF!</v>
      </c>
      <c r="II143" t="e">
        <f>IF(#REF!,"AAAAAGte9/I=",0)</f>
        <v>#REF!</v>
      </c>
      <c r="IJ143" t="e">
        <f>AND(#REF!,"AAAAAGte9/M=")</f>
        <v>#REF!</v>
      </c>
      <c r="IK143" t="e">
        <f>AND(#REF!,"AAAAAGte9/Q=")</f>
        <v>#REF!</v>
      </c>
      <c r="IL143" t="e">
        <f>AND(#REF!,"AAAAAGte9/U=")</f>
        <v>#REF!</v>
      </c>
      <c r="IM143" t="e">
        <f>AND(#REF!,"AAAAAGte9/Y=")</f>
        <v>#REF!</v>
      </c>
      <c r="IN143" t="e">
        <f>AND(#REF!,"AAAAAGte9/c=")</f>
        <v>#REF!</v>
      </c>
      <c r="IO143" t="e">
        <f>AND(#REF!,"AAAAAGte9/g=")</f>
        <v>#REF!</v>
      </c>
      <c r="IP143" t="e">
        <f>AND(#REF!,"AAAAAGte9/k=")</f>
        <v>#REF!</v>
      </c>
      <c r="IQ143" t="e">
        <f>AND(#REF!,"AAAAAGte9/o=")</f>
        <v>#REF!</v>
      </c>
      <c r="IR143" t="e">
        <f>AND(#REF!,"AAAAAGte9/s=")</f>
        <v>#REF!</v>
      </c>
      <c r="IS143" t="e">
        <f>AND(#REF!,"AAAAAGte9/w=")</f>
        <v>#REF!</v>
      </c>
      <c r="IT143" t="e">
        <f>AND(#REF!,"AAAAAGte9/0=")</f>
        <v>#REF!</v>
      </c>
      <c r="IU143" t="e">
        <f>AND(#REF!,"AAAAAGte9/4=")</f>
        <v>#REF!</v>
      </c>
      <c r="IV143" t="e">
        <f>AND(#REF!,"AAAAAGte9/8=")</f>
        <v>#REF!</v>
      </c>
    </row>
    <row r="144" spans="1:256" x14ac:dyDescent="0.25">
      <c r="A144" t="e">
        <f>AND(#REF!,"AAAAAHn/KwA=")</f>
        <v>#REF!</v>
      </c>
      <c r="B144" t="e">
        <f>AND(#REF!,"AAAAAHn/KwE=")</f>
        <v>#REF!</v>
      </c>
      <c r="C144" t="e">
        <f>AND(#REF!,"AAAAAHn/KwI=")</f>
        <v>#REF!</v>
      </c>
      <c r="D144" t="e">
        <f>AND(#REF!,"AAAAAHn/KwM=")</f>
        <v>#REF!</v>
      </c>
      <c r="E144" t="e">
        <f>AND(#REF!,"AAAAAHn/KwQ=")</f>
        <v>#REF!</v>
      </c>
      <c r="F144" t="e">
        <f>AND(#REF!,"AAAAAHn/KwU=")</f>
        <v>#REF!</v>
      </c>
      <c r="G144" t="e">
        <f>AND(#REF!,"AAAAAHn/KwY=")</f>
        <v>#REF!</v>
      </c>
      <c r="H144" t="e">
        <f>AND(#REF!,"AAAAAHn/Kwc=")</f>
        <v>#REF!</v>
      </c>
      <c r="I144" t="e">
        <f>IF(#REF!,"AAAAAHn/Kwg=",0)</f>
        <v>#REF!</v>
      </c>
      <c r="J144" t="e">
        <f>AND(#REF!,"AAAAAHn/Kwk=")</f>
        <v>#REF!</v>
      </c>
      <c r="K144" t="e">
        <f>AND(#REF!,"AAAAAHn/Kwo=")</f>
        <v>#REF!</v>
      </c>
      <c r="L144" t="e">
        <f>AND(#REF!,"AAAAAHn/Kws=")</f>
        <v>#REF!</v>
      </c>
      <c r="M144" t="e">
        <f>AND(#REF!,"AAAAAHn/Kww=")</f>
        <v>#REF!</v>
      </c>
      <c r="N144" t="e">
        <f>AND(#REF!,"AAAAAHn/Kw0=")</f>
        <v>#REF!</v>
      </c>
      <c r="O144" t="e">
        <f>AND(#REF!,"AAAAAHn/Kw4=")</f>
        <v>#REF!</v>
      </c>
      <c r="P144" t="e">
        <f>AND(#REF!,"AAAAAHn/Kw8=")</f>
        <v>#REF!</v>
      </c>
      <c r="Q144" t="e">
        <f>AND(#REF!,"AAAAAHn/KxA=")</f>
        <v>#REF!</v>
      </c>
      <c r="R144" t="e">
        <f>AND(#REF!,"AAAAAHn/KxE=")</f>
        <v>#REF!</v>
      </c>
      <c r="S144" t="e">
        <f>AND(#REF!,"AAAAAHn/KxI=")</f>
        <v>#REF!</v>
      </c>
      <c r="T144" t="e">
        <f>AND(#REF!,"AAAAAHn/KxM=")</f>
        <v>#REF!</v>
      </c>
      <c r="U144" t="e">
        <f>AND(#REF!,"AAAAAHn/KxQ=")</f>
        <v>#REF!</v>
      </c>
      <c r="V144" t="e">
        <f>AND(#REF!,"AAAAAHn/KxU=")</f>
        <v>#REF!</v>
      </c>
      <c r="W144" t="e">
        <f>AND(#REF!,"AAAAAHn/KxY=")</f>
        <v>#REF!</v>
      </c>
      <c r="X144" t="e">
        <f>AND(#REF!,"AAAAAHn/Kxc=")</f>
        <v>#REF!</v>
      </c>
      <c r="Y144" t="e">
        <f>AND(#REF!,"AAAAAHn/Kxg=")</f>
        <v>#REF!</v>
      </c>
      <c r="Z144" t="e">
        <f>AND(#REF!,"AAAAAHn/Kxk=")</f>
        <v>#REF!</v>
      </c>
      <c r="AA144" t="e">
        <f>AND(#REF!,"AAAAAHn/Kxo=")</f>
        <v>#REF!</v>
      </c>
      <c r="AB144" t="e">
        <f>AND(#REF!,"AAAAAHn/Kxs=")</f>
        <v>#REF!</v>
      </c>
      <c r="AC144" t="e">
        <f>AND(#REF!,"AAAAAHn/Kxw=")</f>
        <v>#REF!</v>
      </c>
      <c r="AD144" t="e">
        <f>AND(#REF!,"AAAAAHn/Kx0=")</f>
        <v>#REF!</v>
      </c>
      <c r="AE144" t="e">
        <f>IF(#REF!,"AAAAAHn/Kx4=",0)</f>
        <v>#REF!</v>
      </c>
      <c r="AF144" t="e">
        <f>AND(#REF!,"AAAAAHn/Kx8=")</f>
        <v>#REF!</v>
      </c>
      <c r="AG144" t="e">
        <f>AND(#REF!,"AAAAAHn/KyA=")</f>
        <v>#REF!</v>
      </c>
      <c r="AH144" t="e">
        <f>AND(#REF!,"AAAAAHn/KyE=")</f>
        <v>#REF!</v>
      </c>
      <c r="AI144" t="e">
        <f>AND(#REF!,"AAAAAHn/KyI=")</f>
        <v>#REF!</v>
      </c>
      <c r="AJ144" t="e">
        <f>AND(#REF!,"AAAAAHn/KyM=")</f>
        <v>#REF!</v>
      </c>
      <c r="AK144" t="e">
        <f>AND(#REF!,"AAAAAHn/KyQ=")</f>
        <v>#REF!</v>
      </c>
      <c r="AL144" t="e">
        <f>AND(#REF!,"AAAAAHn/KyU=")</f>
        <v>#REF!</v>
      </c>
      <c r="AM144" t="e">
        <f>AND(#REF!,"AAAAAHn/KyY=")</f>
        <v>#REF!</v>
      </c>
      <c r="AN144" t="e">
        <f>AND(#REF!,"AAAAAHn/Kyc=")</f>
        <v>#REF!</v>
      </c>
      <c r="AO144" t="e">
        <f>AND(#REF!,"AAAAAHn/Kyg=")</f>
        <v>#REF!</v>
      </c>
      <c r="AP144" t="e">
        <f>AND(#REF!,"AAAAAHn/Kyk=")</f>
        <v>#REF!</v>
      </c>
      <c r="AQ144" t="e">
        <f>AND(#REF!,"AAAAAHn/Kyo=")</f>
        <v>#REF!</v>
      </c>
      <c r="AR144" t="e">
        <f>AND(#REF!,"AAAAAHn/Kys=")</f>
        <v>#REF!</v>
      </c>
      <c r="AS144" t="e">
        <f>AND(#REF!,"AAAAAHn/Kyw=")</f>
        <v>#REF!</v>
      </c>
      <c r="AT144" t="e">
        <f>AND(#REF!,"AAAAAHn/Ky0=")</f>
        <v>#REF!</v>
      </c>
      <c r="AU144" t="e">
        <f>AND(#REF!,"AAAAAHn/Ky4=")</f>
        <v>#REF!</v>
      </c>
      <c r="AV144" t="e">
        <f>AND(#REF!,"AAAAAHn/Ky8=")</f>
        <v>#REF!</v>
      </c>
      <c r="AW144" t="e">
        <f>AND(#REF!,"AAAAAHn/KzA=")</f>
        <v>#REF!</v>
      </c>
      <c r="AX144" t="e">
        <f>AND(#REF!,"AAAAAHn/KzE=")</f>
        <v>#REF!</v>
      </c>
      <c r="AY144" t="e">
        <f>AND(#REF!,"AAAAAHn/KzI=")</f>
        <v>#REF!</v>
      </c>
      <c r="AZ144" t="e">
        <f>AND(#REF!,"AAAAAHn/KzM=")</f>
        <v>#REF!</v>
      </c>
      <c r="BA144" t="e">
        <f>IF(#REF!,"AAAAAHn/KzQ=",0)</f>
        <v>#REF!</v>
      </c>
      <c r="BB144" t="e">
        <f>AND(#REF!,"AAAAAHn/KzU=")</f>
        <v>#REF!</v>
      </c>
      <c r="BC144" t="e">
        <f>AND(#REF!,"AAAAAHn/KzY=")</f>
        <v>#REF!</v>
      </c>
      <c r="BD144" t="e">
        <f>AND(#REF!,"AAAAAHn/Kzc=")</f>
        <v>#REF!</v>
      </c>
      <c r="BE144" t="e">
        <f>AND(#REF!,"AAAAAHn/Kzg=")</f>
        <v>#REF!</v>
      </c>
      <c r="BF144" t="e">
        <f>AND(#REF!,"AAAAAHn/Kzk=")</f>
        <v>#REF!</v>
      </c>
      <c r="BG144" t="e">
        <f>AND(#REF!,"AAAAAHn/Kzo=")</f>
        <v>#REF!</v>
      </c>
      <c r="BH144" t="e">
        <f>AND(#REF!,"AAAAAHn/Kzs=")</f>
        <v>#REF!</v>
      </c>
      <c r="BI144" t="e">
        <f>AND(#REF!,"AAAAAHn/Kzw=")</f>
        <v>#REF!</v>
      </c>
      <c r="BJ144" t="e">
        <f>AND(#REF!,"AAAAAHn/Kz0=")</f>
        <v>#REF!</v>
      </c>
      <c r="BK144" t="e">
        <f>AND(#REF!,"AAAAAHn/Kz4=")</f>
        <v>#REF!</v>
      </c>
      <c r="BL144" t="e">
        <f>AND(#REF!,"AAAAAHn/Kz8=")</f>
        <v>#REF!</v>
      </c>
      <c r="BM144" t="e">
        <f>AND(#REF!,"AAAAAHn/K0A=")</f>
        <v>#REF!</v>
      </c>
      <c r="BN144" t="e">
        <f>AND(#REF!,"AAAAAHn/K0E=")</f>
        <v>#REF!</v>
      </c>
      <c r="BO144" t="e">
        <f>AND(#REF!,"AAAAAHn/K0I=")</f>
        <v>#REF!</v>
      </c>
      <c r="BP144" t="e">
        <f>AND(#REF!,"AAAAAHn/K0M=")</f>
        <v>#REF!</v>
      </c>
      <c r="BQ144" t="e">
        <f>AND(#REF!,"AAAAAHn/K0Q=")</f>
        <v>#REF!</v>
      </c>
      <c r="BR144" t="e">
        <f>AND(#REF!,"AAAAAHn/K0U=")</f>
        <v>#REF!</v>
      </c>
      <c r="BS144" t="e">
        <f>AND(#REF!,"AAAAAHn/K0Y=")</f>
        <v>#REF!</v>
      </c>
      <c r="BT144" t="e">
        <f>AND(#REF!,"AAAAAHn/K0c=")</f>
        <v>#REF!</v>
      </c>
      <c r="BU144" t="e">
        <f>AND(#REF!,"AAAAAHn/K0g=")</f>
        <v>#REF!</v>
      </c>
      <c r="BV144" t="e">
        <f>AND(#REF!,"AAAAAHn/K0k=")</f>
        <v>#REF!</v>
      </c>
      <c r="BW144" t="e">
        <f>IF(#REF!,"AAAAAHn/K0o=",0)</f>
        <v>#REF!</v>
      </c>
      <c r="BX144" t="e">
        <f>AND(#REF!,"AAAAAHn/K0s=")</f>
        <v>#REF!</v>
      </c>
      <c r="BY144" t="e">
        <f>AND(#REF!,"AAAAAHn/K0w=")</f>
        <v>#REF!</v>
      </c>
      <c r="BZ144" t="e">
        <f>AND(#REF!,"AAAAAHn/K00=")</f>
        <v>#REF!</v>
      </c>
      <c r="CA144" t="e">
        <f>AND(#REF!,"AAAAAHn/K04=")</f>
        <v>#REF!</v>
      </c>
      <c r="CB144" t="e">
        <f>AND(#REF!,"AAAAAHn/K08=")</f>
        <v>#REF!</v>
      </c>
      <c r="CC144" t="e">
        <f>AND(#REF!,"AAAAAHn/K1A=")</f>
        <v>#REF!</v>
      </c>
      <c r="CD144" t="e">
        <f>AND(#REF!,"AAAAAHn/K1E=")</f>
        <v>#REF!</v>
      </c>
      <c r="CE144" t="e">
        <f>AND(#REF!,"AAAAAHn/K1I=")</f>
        <v>#REF!</v>
      </c>
      <c r="CF144" t="e">
        <f>AND(#REF!,"AAAAAHn/K1M=")</f>
        <v>#REF!</v>
      </c>
      <c r="CG144" t="e">
        <f>AND(#REF!,"AAAAAHn/K1Q=")</f>
        <v>#REF!</v>
      </c>
      <c r="CH144" t="e">
        <f>AND(#REF!,"AAAAAHn/K1U=")</f>
        <v>#REF!</v>
      </c>
      <c r="CI144" t="e">
        <f>AND(#REF!,"AAAAAHn/K1Y=")</f>
        <v>#REF!</v>
      </c>
      <c r="CJ144" t="e">
        <f>AND(#REF!,"AAAAAHn/K1c=")</f>
        <v>#REF!</v>
      </c>
      <c r="CK144" t="e">
        <f>AND(#REF!,"AAAAAHn/K1g=")</f>
        <v>#REF!</v>
      </c>
      <c r="CL144" t="e">
        <f>AND(#REF!,"AAAAAHn/K1k=")</f>
        <v>#REF!</v>
      </c>
      <c r="CM144" t="e">
        <f>AND(#REF!,"AAAAAHn/K1o=")</f>
        <v>#REF!</v>
      </c>
      <c r="CN144" t="e">
        <f>AND(#REF!,"AAAAAHn/K1s=")</f>
        <v>#REF!</v>
      </c>
      <c r="CO144" t="e">
        <f>AND(#REF!,"AAAAAHn/K1w=")</f>
        <v>#REF!</v>
      </c>
      <c r="CP144" t="e">
        <f>AND(#REF!,"AAAAAHn/K10=")</f>
        <v>#REF!</v>
      </c>
      <c r="CQ144" t="e">
        <f>AND(#REF!,"AAAAAHn/K14=")</f>
        <v>#REF!</v>
      </c>
      <c r="CR144" t="e">
        <f>AND(#REF!,"AAAAAHn/K18=")</f>
        <v>#REF!</v>
      </c>
      <c r="CS144" t="e">
        <f>IF(#REF!,"AAAAAHn/K2A=",0)</f>
        <v>#REF!</v>
      </c>
      <c r="CT144" t="e">
        <f>AND(#REF!,"AAAAAHn/K2E=")</f>
        <v>#REF!</v>
      </c>
      <c r="CU144" t="e">
        <f>AND(#REF!,"AAAAAHn/K2I=")</f>
        <v>#REF!</v>
      </c>
      <c r="CV144" t="e">
        <f>AND(#REF!,"AAAAAHn/K2M=")</f>
        <v>#REF!</v>
      </c>
      <c r="CW144" t="e">
        <f>AND(#REF!,"AAAAAHn/K2Q=")</f>
        <v>#REF!</v>
      </c>
      <c r="CX144" t="e">
        <f>AND(#REF!,"AAAAAHn/K2U=")</f>
        <v>#REF!</v>
      </c>
      <c r="CY144" t="e">
        <f>AND(#REF!,"AAAAAHn/K2Y=")</f>
        <v>#REF!</v>
      </c>
      <c r="CZ144" t="e">
        <f>AND(#REF!,"AAAAAHn/K2c=")</f>
        <v>#REF!</v>
      </c>
      <c r="DA144" t="e">
        <f>AND(#REF!,"AAAAAHn/K2g=")</f>
        <v>#REF!</v>
      </c>
      <c r="DB144" t="e">
        <f>AND(#REF!,"AAAAAHn/K2k=")</f>
        <v>#REF!</v>
      </c>
      <c r="DC144" t="e">
        <f>AND(#REF!,"AAAAAHn/K2o=")</f>
        <v>#REF!</v>
      </c>
      <c r="DD144" t="e">
        <f>AND(#REF!,"AAAAAHn/K2s=")</f>
        <v>#REF!</v>
      </c>
      <c r="DE144" t="e">
        <f>AND(#REF!,"AAAAAHn/K2w=")</f>
        <v>#REF!</v>
      </c>
      <c r="DF144" t="e">
        <f>AND(#REF!,"AAAAAHn/K20=")</f>
        <v>#REF!</v>
      </c>
      <c r="DG144" t="e">
        <f>AND(#REF!,"AAAAAHn/K24=")</f>
        <v>#REF!</v>
      </c>
      <c r="DH144" t="e">
        <f>AND(#REF!,"AAAAAHn/K28=")</f>
        <v>#REF!</v>
      </c>
      <c r="DI144" t="e">
        <f>AND(#REF!,"AAAAAHn/K3A=")</f>
        <v>#REF!</v>
      </c>
      <c r="DJ144" t="e">
        <f>AND(#REF!,"AAAAAHn/K3E=")</f>
        <v>#REF!</v>
      </c>
      <c r="DK144" t="e">
        <f>AND(#REF!,"AAAAAHn/K3I=")</f>
        <v>#REF!</v>
      </c>
      <c r="DL144" t="e">
        <f>AND(#REF!,"AAAAAHn/K3M=")</f>
        <v>#REF!</v>
      </c>
      <c r="DM144" t="e">
        <f>AND(#REF!,"AAAAAHn/K3Q=")</f>
        <v>#REF!</v>
      </c>
      <c r="DN144" t="e">
        <f>AND(#REF!,"AAAAAHn/K3U=")</f>
        <v>#REF!</v>
      </c>
      <c r="DO144" t="e">
        <f>IF(#REF!,"AAAAAHn/K3Y=",0)</f>
        <v>#REF!</v>
      </c>
      <c r="DP144" t="e">
        <f>AND(#REF!,"AAAAAHn/K3c=")</f>
        <v>#REF!</v>
      </c>
      <c r="DQ144" t="e">
        <f>AND(#REF!,"AAAAAHn/K3g=")</f>
        <v>#REF!</v>
      </c>
      <c r="DR144" t="e">
        <f>AND(#REF!,"AAAAAHn/K3k=")</f>
        <v>#REF!</v>
      </c>
      <c r="DS144" t="e">
        <f>AND(#REF!,"AAAAAHn/K3o=")</f>
        <v>#REF!</v>
      </c>
      <c r="DT144" t="e">
        <f>AND(#REF!,"AAAAAHn/K3s=")</f>
        <v>#REF!</v>
      </c>
      <c r="DU144" t="e">
        <f>AND(#REF!,"AAAAAHn/K3w=")</f>
        <v>#REF!</v>
      </c>
      <c r="DV144" t="e">
        <f>AND(#REF!,"AAAAAHn/K30=")</f>
        <v>#REF!</v>
      </c>
      <c r="DW144" t="e">
        <f>AND(#REF!,"AAAAAHn/K34=")</f>
        <v>#REF!</v>
      </c>
      <c r="DX144" t="e">
        <f>AND(#REF!,"AAAAAHn/K38=")</f>
        <v>#REF!</v>
      </c>
      <c r="DY144" t="e">
        <f>AND(#REF!,"AAAAAHn/K4A=")</f>
        <v>#REF!</v>
      </c>
      <c r="DZ144" t="e">
        <f>AND(#REF!,"AAAAAHn/K4E=")</f>
        <v>#REF!</v>
      </c>
      <c r="EA144" t="e">
        <f>AND(#REF!,"AAAAAHn/K4I=")</f>
        <v>#REF!</v>
      </c>
      <c r="EB144" t="e">
        <f>AND(#REF!,"AAAAAHn/K4M=")</f>
        <v>#REF!</v>
      </c>
      <c r="EC144" t="e">
        <f>AND(#REF!,"AAAAAHn/K4Q=")</f>
        <v>#REF!</v>
      </c>
      <c r="ED144" t="e">
        <f>AND(#REF!,"AAAAAHn/K4U=")</f>
        <v>#REF!</v>
      </c>
      <c r="EE144" t="e">
        <f>AND(#REF!,"AAAAAHn/K4Y=")</f>
        <v>#REF!</v>
      </c>
      <c r="EF144" t="e">
        <f>AND(#REF!,"AAAAAHn/K4c=")</f>
        <v>#REF!</v>
      </c>
      <c r="EG144" t="e">
        <f>AND(#REF!,"AAAAAHn/K4g=")</f>
        <v>#REF!</v>
      </c>
      <c r="EH144" t="e">
        <f>AND(#REF!,"AAAAAHn/K4k=")</f>
        <v>#REF!</v>
      </c>
      <c r="EI144" t="e">
        <f>AND(#REF!,"AAAAAHn/K4o=")</f>
        <v>#REF!</v>
      </c>
      <c r="EJ144" t="e">
        <f>AND(#REF!,"AAAAAHn/K4s=")</f>
        <v>#REF!</v>
      </c>
      <c r="EK144" t="e">
        <f>IF(#REF!,"AAAAAHn/K4w=",0)</f>
        <v>#REF!</v>
      </c>
      <c r="EL144" t="e">
        <f>AND(#REF!,"AAAAAHn/K40=")</f>
        <v>#REF!</v>
      </c>
      <c r="EM144" t="e">
        <f>AND(#REF!,"AAAAAHn/K44=")</f>
        <v>#REF!</v>
      </c>
      <c r="EN144" t="e">
        <f>AND(#REF!,"AAAAAHn/K48=")</f>
        <v>#REF!</v>
      </c>
      <c r="EO144" t="e">
        <f>AND(#REF!,"AAAAAHn/K5A=")</f>
        <v>#REF!</v>
      </c>
      <c r="EP144" t="e">
        <f>AND(#REF!,"AAAAAHn/K5E=")</f>
        <v>#REF!</v>
      </c>
      <c r="EQ144" t="e">
        <f>AND(#REF!,"AAAAAHn/K5I=")</f>
        <v>#REF!</v>
      </c>
      <c r="ER144" t="e">
        <f>AND(#REF!,"AAAAAHn/K5M=")</f>
        <v>#REF!</v>
      </c>
      <c r="ES144" t="e">
        <f>AND(#REF!,"AAAAAHn/K5Q=")</f>
        <v>#REF!</v>
      </c>
      <c r="ET144" t="e">
        <f>AND(#REF!,"AAAAAHn/K5U=")</f>
        <v>#REF!</v>
      </c>
      <c r="EU144" t="e">
        <f>AND(#REF!,"AAAAAHn/K5Y=")</f>
        <v>#REF!</v>
      </c>
      <c r="EV144" t="e">
        <f>AND(#REF!,"AAAAAHn/K5c=")</f>
        <v>#REF!</v>
      </c>
      <c r="EW144" t="e">
        <f>AND(#REF!,"AAAAAHn/K5g=")</f>
        <v>#REF!</v>
      </c>
      <c r="EX144" t="e">
        <f>AND(#REF!,"AAAAAHn/K5k=")</f>
        <v>#REF!</v>
      </c>
      <c r="EY144" t="e">
        <f>AND(#REF!,"AAAAAHn/K5o=")</f>
        <v>#REF!</v>
      </c>
      <c r="EZ144" t="e">
        <f>AND(#REF!,"AAAAAHn/K5s=")</f>
        <v>#REF!</v>
      </c>
      <c r="FA144" t="e">
        <f>AND(#REF!,"AAAAAHn/K5w=")</f>
        <v>#REF!</v>
      </c>
      <c r="FB144" t="e">
        <f>AND(#REF!,"AAAAAHn/K50=")</f>
        <v>#REF!</v>
      </c>
      <c r="FC144" t="e">
        <f>AND(#REF!,"AAAAAHn/K54=")</f>
        <v>#REF!</v>
      </c>
      <c r="FD144" t="e">
        <f>AND(#REF!,"AAAAAHn/K58=")</f>
        <v>#REF!</v>
      </c>
      <c r="FE144" t="e">
        <f>AND(#REF!,"AAAAAHn/K6A=")</f>
        <v>#REF!</v>
      </c>
      <c r="FF144" t="e">
        <f>AND(#REF!,"AAAAAHn/K6E=")</f>
        <v>#REF!</v>
      </c>
      <c r="FG144" t="e">
        <f>IF(#REF!,"AAAAAHn/K6I=",0)</f>
        <v>#REF!</v>
      </c>
      <c r="FH144" t="e">
        <f>AND(#REF!,"AAAAAHn/K6M=")</f>
        <v>#REF!</v>
      </c>
      <c r="FI144" t="e">
        <f>AND(#REF!,"AAAAAHn/K6Q=")</f>
        <v>#REF!</v>
      </c>
      <c r="FJ144" t="e">
        <f>AND(#REF!,"AAAAAHn/K6U=")</f>
        <v>#REF!</v>
      </c>
      <c r="FK144" t="e">
        <f>AND(#REF!,"AAAAAHn/K6Y=")</f>
        <v>#REF!</v>
      </c>
      <c r="FL144" t="e">
        <f>AND(#REF!,"AAAAAHn/K6c=")</f>
        <v>#REF!</v>
      </c>
      <c r="FM144" t="e">
        <f>AND(#REF!,"AAAAAHn/K6g=")</f>
        <v>#REF!</v>
      </c>
      <c r="FN144" t="e">
        <f>AND(#REF!,"AAAAAHn/K6k=")</f>
        <v>#REF!</v>
      </c>
      <c r="FO144" t="e">
        <f>AND(#REF!,"AAAAAHn/K6o=")</f>
        <v>#REF!</v>
      </c>
      <c r="FP144" t="e">
        <f>AND(#REF!,"AAAAAHn/K6s=")</f>
        <v>#REF!</v>
      </c>
      <c r="FQ144" t="e">
        <f>AND(#REF!,"AAAAAHn/K6w=")</f>
        <v>#REF!</v>
      </c>
      <c r="FR144" t="e">
        <f>AND(#REF!,"AAAAAHn/K60=")</f>
        <v>#REF!</v>
      </c>
      <c r="FS144" t="e">
        <f>AND(#REF!,"AAAAAHn/K64=")</f>
        <v>#REF!</v>
      </c>
      <c r="FT144" t="e">
        <f>AND(#REF!,"AAAAAHn/K68=")</f>
        <v>#REF!</v>
      </c>
      <c r="FU144" t="e">
        <f>AND(#REF!,"AAAAAHn/K7A=")</f>
        <v>#REF!</v>
      </c>
      <c r="FV144" t="e">
        <f>AND(#REF!,"AAAAAHn/K7E=")</f>
        <v>#REF!</v>
      </c>
      <c r="FW144" t="e">
        <f>AND(#REF!,"AAAAAHn/K7I=")</f>
        <v>#REF!</v>
      </c>
      <c r="FX144" t="e">
        <f>AND(#REF!,"AAAAAHn/K7M=")</f>
        <v>#REF!</v>
      </c>
      <c r="FY144" t="e">
        <f>AND(#REF!,"AAAAAHn/K7Q=")</f>
        <v>#REF!</v>
      </c>
      <c r="FZ144" t="e">
        <f>AND(#REF!,"AAAAAHn/K7U=")</f>
        <v>#REF!</v>
      </c>
      <c r="GA144" t="e">
        <f>AND(#REF!,"AAAAAHn/K7Y=")</f>
        <v>#REF!</v>
      </c>
      <c r="GB144" t="e">
        <f>AND(#REF!,"AAAAAHn/K7c=")</f>
        <v>#REF!</v>
      </c>
      <c r="GC144" t="e">
        <f>IF(#REF!,"AAAAAHn/K7g=",0)</f>
        <v>#REF!</v>
      </c>
      <c r="GD144" t="e">
        <f>AND(#REF!,"AAAAAHn/K7k=")</f>
        <v>#REF!</v>
      </c>
      <c r="GE144" t="e">
        <f>AND(#REF!,"AAAAAHn/K7o=")</f>
        <v>#REF!</v>
      </c>
      <c r="GF144" t="e">
        <f>AND(#REF!,"AAAAAHn/K7s=")</f>
        <v>#REF!</v>
      </c>
      <c r="GG144" t="e">
        <f>AND(#REF!,"AAAAAHn/K7w=")</f>
        <v>#REF!</v>
      </c>
      <c r="GH144" t="e">
        <f>AND(#REF!,"AAAAAHn/K70=")</f>
        <v>#REF!</v>
      </c>
      <c r="GI144" t="e">
        <f>AND(#REF!,"AAAAAHn/K74=")</f>
        <v>#REF!</v>
      </c>
      <c r="GJ144" t="e">
        <f>AND(#REF!,"AAAAAHn/K78=")</f>
        <v>#REF!</v>
      </c>
      <c r="GK144" t="e">
        <f>AND(#REF!,"AAAAAHn/K8A=")</f>
        <v>#REF!</v>
      </c>
      <c r="GL144" t="e">
        <f>AND(#REF!,"AAAAAHn/K8E=")</f>
        <v>#REF!</v>
      </c>
      <c r="GM144" t="e">
        <f>AND(#REF!,"AAAAAHn/K8I=")</f>
        <v>#REF!</v>
      </c>
      <c r="GN144" t="e">
        <f>AND(#REF!,"AAAAAHn/K8M=")</f>
        <v>#REF!</v>
      </c>
      <c r="GO144" t="e">
        <f>AND(#REF!,"AAAAAHn/K8Q=")</f>
        <v>#REF!</v>
      </c>
      <c r="GP144" t="e">
        <f>AND(#REF!,"AAAAAHn/K8U=")</f>
        <v>#REF!</v>
      </c>
      <c r="GQ144" t="e">
        <f>AND(#REF!,"AAAAAHn/K8Y=")</f>
        <v>#REF!</v>
      </c>
      <c r="GR144" t="e">
        <f>AND(#REF!,"AAAAAHn/K8c=")</f>
        <v>#REF!</v>
      </c>
      <c r="GS144" t="e">
        <f>AND(#REF!,"AAAAAHn/K8g=")</f>
        <v>#REF!</v>
      </c>
      <c r="GT144" t="e">
        <f>AND(#REF!,"AAAAAHn/K8k=")</f>
        <v>#REF!</v>
      </c>
      <c r="GU144" t="e">
        <f>AND(#REF!,"AAAAAHn/K8o=")</f>
        <v>#REF!</v>
      </c>
      <c r="GV144" t="e">
        <f>AND(#REF!,"AAAAAHn/K8s=")</f>
        <v>#REF!</v>
      </c>
      <c r="GW144" t="e">
        <f>AND(#REF!,"AAAAAHn/K8w=")</f>
        <v>#REF!</v>
      </c>
      <c r="GX144" t="e">
        <f>AND(#REF!,"AAAAAHn/K80=")</f>
        <v>#REF!</v>
      </c>
      <c r="GY144" t="e">
        <f>IF(#REF!,"AAAAAHn/K84=",0)</f>
        <v>#REF!</v>
      </c>
      <c r="GZ144" t="e">
        <f>AND(#REF!,"AAAAAHn/K88=")</f>
        <v>#REF!</v>
      </c>
      <c r="HA144" t="e">
        <f>AND(#REF!,"AAAAAHn/K9A=")</f>
        <v>#REF!</v>
      </c>
      <c r="HB144" t="e">
        <f>AND(#REF!,"AAAAAHn/K9E=")</f>
        <v>#REF!</v>
      </c>
      <c r="HC144" t="e">
        <f>AND(#REF!,"AAAAAHn/K9I=")</f>
        <v>#REF!</v>
      </c>
      <c r="HD144" t="e">
        <f>AND(#REF!,"AAAAAHn/K9M=")</f>
        <v>#REF!</v>
      </c>
      <c r="HE144" t="e">
        <f>AND(#REF!,"AAAAAHn/K9Q=")</f>
        <v>#REF!</v>
      </c>
      <c r="HF144" t="e">
        <f>AND(#REF!,"AAAAAHn/K9U=")</f>
        <v>#REF!</v>
      </c>
      <c r="HG144" t="e">
        <f>AND(#REF!,"AAAAAHn/K9Y=")</f>
        <v>#REF!</v>
      </c>
      <c r="HH144" t="e">
        <f>AND(#REF!,"AAAAAHn/K9c=")</f>
        <v>#REF!</v>
      </c>
      <c r="HI144" t="e">
        <f>AND(#REF!,"AAAAAHn/K9g=")</f>
        <v>#REF!</v>
      </c>
      <c r="HJ144" t="e">
        <f>AND(#REF!,"AAAAAHn/K9k=")</f>
        <v>#REF!</v>
      </c>
      <c r="HK144" t="e">
        <f>AND(#REF!,"AAAAAHn/K9o=")</f>
        <v>#REF!</v>
      </c>
      <c r="HL144" t="e">
        <f>AND(#REF!,"AAAAAHn/K9s=")</f>
        <v>#REF!</v>
      </c>
      <c r="HM144" t="e">
        <f>AND(#REF!,"AAAAAHn/K9w=")</f>
        <v>#REF!</v>
      </c>
      <c r="HN144" t="e">
        <f>AND(#REF!,"AAAAAHn/K90=")</f>
        <v>#REF!</v>
      </c>
      <c r="HO144" t="e">
        <f>AND(#REF!,"AAAAAHn/K94=")</f>
        <v>#REF!</v>
      </c>
      <c r="HP144" t="e">
        <f>AND(#REF!,"AAAAAHn/K98=")</f>
        <v>#REF!</v>
      </c>
      <c r="HQ144" t="e">
        <f>AND(#REF!,"AAAAAHn/K+A=")</f>
        <v>#REF!</v>
      </c>
      <c r="HR144" t="e">
        <f>AND(#REF!,"AAAAAHn/K+E=")</f>
        <v>#REF!</v>
      </c>
      <c r="HS144" t="e">
        <f>AND(#REF!,"AAAAAHn/K+I=")</f>
        <v>#REF!</v>
      </c>
      <c r="HT144" t="e">
        <f>AND(#REF!,"AAAAAHn/K+M=")</f>
        <v>#REF!</v>
      </c>
      <c r="HU144" t="e">
        <f>IF(#REF!,"AAAAAHn/K+Q=",0)</f>
        <v>#REF!</v>
      </c>
      <c r="HV144" t="e">
        <f>AND(#REF!,"AAAAAHn/K+U=")</f>
        <v>#REF!</v>
      </c>
      <c r="HW144" t="e">
        <f>AND(#REF!,"AAAAAHn/K+Y=")</f>
        <v>#REF!</v>
      </c>
      <c r="HX144" t="e">
        <f>AND(#REF!,"AAAAAHn/K+c=")</f>
        <v>#REF!</v>
      </c>
      <c r="HY144" t="e">
        <f>AND(#REF!,"AAAAAHn/K+g=")</f>
        <v>#REF!</v>
      </c>
      <c r="HZ144" t="e">
        <f>AND(#REF!,"AAAAAHn/K+k=")</f>
        <v>#REF!</v>
      </c>
      <c r="IA144" t="e">
        <f>AND(#REF!,"AAAAAHn/K+o=")</f>
        <v>#REF!</v>
      </c>
      <c r="IB144" t="e">
        <f>AND(#REF!,"AAAAAHn/K+s=")</f>
        <v>#REF!</v>
      </c>
      <c r="IC144" t="e">
        <f>AND(#REF!,"AAAAAHn/K+w=")</f>
        <v>#REF!</v>
      </c>
      <c r="ID144" t="e">
        <f>AND(#REF!,"AAAAAHn/K+0=")</f>
        <v>#REF!</v>
      </c>
      <c r="IE144" t="e">
        <f>AND(#REF!,"AAAAAHn/K+4=")</f>
        <v>#REF!</v>
      </c>
      <c r="IF144" t="e">
        <f>AND(#REF!,"AAAAAHn/K+8=")</f>
        <v>#REF!</v>
      </c>
      <c r="IG144" t="e">
        <f>AND(#REF!,"AAAAAHn/K/A=")</f>
        <v>#REF!</v>
      </c>
      <c r="IH144" t="e">
        <f>AND(#REF!,"AAAAAHn/K/E=")</f>
        <v>#REF!</v>
      </c>
      <c r="II144" t="e">
        <f>AND(#REF!,"AAAAAHn/K/I=")</f>
        <v>#REF!</v>
      </c>
      <c r="IJ144" t="e">
        <f>AND(#REF!,"AAAAAHn/K/M=")</f>
        <v>#REF!</v>
      </c>
      <c r="IK144" t="e">
        <f>AND(#REF!,"AAAAAHn/K/Q=")</f>
        <v>#REF!</v>
      </c>
      <c r="IL144" t="e">
        <f>AND(#REF!,"AAAAAHn/K/U=")</f>
        <v>#REF!</v>
      </c>
      <c r="IM144" t="e">
        <f>AND(#REF!,"AAAAAHn/K/Y=")</f>
        <v>#REF!</v>
      </c>
      <c r="IN144" t="e">
        <f>AND(#REF!,"AAAAAHn/K/c=")</f>
        <v>#REF!</v>
      </c>
      <c r="IO144" t="e">
        <f>AND(#REF!,"AAAAAHn/K/g=")</f>
        <v>#REF!</v>
      </c>
      <c r="IP144" t="e">
        <f>AND(#REF!,"AAAAAHn/K/k=")</f>
        <v>#REF!</v>
      </c>
      <c r="IQ144" t="e">
        <f>IF(#REF!,"AAAAAHn/K/o=",0)</f>
        <v>#REF!</v>
      </c>
      <c r="IR144" t="e">
        <f>AND(#REF!,"AAAAAHn/K/s=")</f>
        <v>#REF!</v>
      </c>
      <c r="IS144" t="e">
        <f>AND(#REF!,"AAAAAHn/K/w=")</f>
        <v>#REF!</v>
      </c>
      <c r="IT144" t="e">
        <f>AND(#REF!,"AAAAAHn/K/0=")</f>
        <v>#REF!</v>
      </c>
      <c r="IU144" t="e">
        <f>AND(#REF!,"AAAAAHn/K/4=")</f>
        <v>#REF!</v>
      </c>
      <c r="IV144" t="e">
        <f>AND(#REF!,"AAAAAHn/K/8=")</f>
        <v>#REF!</v>
      </c>
    </row>
    <row r="145" spans="1:256" x14ac:dyDescent="0.25">
      <c r="A145" t="e">
        <f>AND(#REF!,"AAAAAHvsfwA=")</f>
        <v>#REF!</v>
      </c>
      <c r="B145" t="e">
        <f>AND(#REF!,"AAAAAHvsfwE=")</f>
        <v>#REF!</v>
      </c>
      <c r="C145" t="e">
        <f>AND(#REF!,"AAAAAHvsfwI=")</f>
        <v>#REF!</v>
      </c>
      <c r="D145" t="e">
        <f>AND(#REF!,"AAAAAHvsfwM=")</f>
        <v>#REF!</v>
      </c>
      <c r="E145" t="e">
        <f>AND(#REF!,"AAAAAHvsfwQ=")</f>
        <v>#REF!</v>
      </c>
      <c r="F145" t="e">
        <f>AND(#REF!,"AAAAAHvsfwU=")</f>
        <v>#REF!</v>
      </c>
      <c r="G145" t="e">
        <f>AND(#REF!,"AAAAAHvsfwY=")</f>
        <v>#REF!</v>
      </c>
      <c r="H145" t="e">
        <f>AND(#REF!,"AAAAAHvsfwc=")</f>
        <v>#REF!</v>
      </c>
      <c r="I145" t="e">
        <f>AND(#REF!,"AAAAAHvsfwg=")</f>
        <v>#REF!</v>
      </c>
      <c r="J145" t="e">
        <f>AND(#REF!,"AAAAAHvsfwk=")</f>
        <v>#REF!</v>
      </c>
      <c r="K145" t="e">
        <f>AND(#REF!,"AAAAAHvsfwo=")</f>
        <v>#REF!</v>
      </c>
      <c r="L145" t="e">
        <f>AND(#REF!,"AAAAAHvsfws=")</f>
        <v>#REF!</v>
      </c>
      <c r="M145" t="e">
        <f>AND(#REF!,"AAAAAHvsfww=")</f>
        <v>#REF!</v>
      </c>
      <c r="N145" t="e">
        <f>AND(#REF!,"AAAAAHvsfw0=")</f>
        <v>#REF!</v>
      </c>
      <c r="O145" t="e">
        <f>AND(#REF!,"AAAAAHvsfw4=")</f>
        <v>#REF!</v>
      </c>
      <c r="P145" t="e">
        <f>AND(#REF!,"AAAAAHvsfw8=")</f>
        <v>#REF!</v>
      </c>
      <c r="Q145" t="e">
        <f>IF(#REF!,"AAAAAHvsfxA=",0)</f>
        <v>#REF!</v>
      </c>
      <c r="R145" t="e">
        <f>AND(#REF!,"AAAAAHvsfxE=")</f>
        <v>#REF!</v>
      </c>
      <c r="S145" t="e">
        <f>AND(#REF!,"AAAAAHvsfxI=")</f>
        <v>#REF!</v>
      </c>
      <c r="T145" t="e">
        <f>AND(#REF!,"AAAAAHvsfxM=")</f>
        <v>#REF!</v>
      </c>
      <c r="U145" t="e">
        <f>AND(#REF!,"AAAAAHvsfxQ=")</f>
        <v>#REF!</v>
      </c>
      <c r="V145" t="e">
        <f>AND(#REF!,"AAAAAHvsfxU=")</f>
        <v>#REF!</v>
      </c>
      <c r="W145" t="e">
        <f>AND(#REF!,"AAAAAHvsfxY=")</f>
        <v>#REF!</v>
      </c>
      <c r="X145" t="e">
        <f>AND(#REF!,"AAAAAHvsfxc=")</f>
        <v>#REF!</v>
      </c>
      <c r="Y145" t="e">
        <f>AND(#REF!,"AAAAAHvsfxg=")</f>
        <v>#REF!</v>
      </c>
      <c r="Z145" t="e">
        <f>AND(#REF!,"AAAAAHvsfxk=")</f>
        <v>#REF!</v>
      </c>
      <c r="AA145" t="e">
        <f>AND(#REF!,"AAAAAHvsfxo=")</f>
        <v>#REF!</v>
      </c>
      <c r="AB145" t="e">
        <f>AND(#REF!,"AAAAAHvsfxs=")</f>
        <v>#REF!</v>
      </c>
      <c r="AC145" t="e">
        <f>AND(#REF!,"AAAAAHvsfxw=")</f>
        <v>#REF!</v>
      </c>
      <c r="AD145" t="e">
        <f>AND(#REF!,"AAAAAHvsfx0=")</f>
        <v>#REF!</v>
      </c>
      <c r="AE145" t="e">
        <f>AND(#REF!,"AAAAAHvsfx4=")</f>
        <v>#REF!</v>
      </c>
      <c r="AF145" t="e">
        <f>AND(#REF!,"AAAAAHvsfx8=")</f>
        <v>#REF!</v>
      </c>
      <c r="AG145" t="e">
        <f>AND(#REF!,"AAAAAHvsfyA=")</f>
        <v>#REF!</v>
      </c>
      <c r="AH145" t="e">
        <f>AND(#REF!,"AAAAAHvsfyE=")</f>
        <v>#REF!</v>
      </c>
      <c r="AI145" t="e">
        <f>AND(#REF!,"AAAAAHvsfyI=")</f>
        <v>#REF!</v>
      </c>
      <c r="AJ145" t="e">
        <f>AND(#REF!,"AAAAAHvsfyM=")</f>
        <v>#REF!</v>
      </c>
      <c r="AK145" t="e">
        <f>AND(#REF!,"AAAAAHvsfyQ=")</f>
        <v>#REF!</v>
      </c>
      <c r="AL145" t="e">
        <f>AND(#REF!,"AAAAAHvsfyU=")</f>
        <v>#REF!</v>
      </c>
      <c r="AM145" t="e">
        <f>IF(#REF!,"AAAAAHvsfyY=",0)</f>
        <v>#REF!</v>
      </c>
      <c r="AN145" t="e">
        <f>AND(#REF!,"AAAAAHvsfyc=")</f>
        <v>#REF!</v>
      </c>
      <c r="AO145" t="e">
        <f>AND(#REF!,"AAAAAHvsfyg=")</f>
        <v>#REF!</v>
      </c>
      <c r="AP145" t="e">
        <f>AND(#REF!,"AAAAAHvsfyk=")</f>
        <v>#REF!</v>
      </c>
      <c r="AQ145" t="e">
        <f>AND(#REF!,"AAAAAHvsfyo=")</f>
        <v>#REF!</v>
      </c>
      <c r="AR145" t="e">
        <f>AND(#REF!,"AAAAAHvsfys=")</f>
        <v>#REF!</v>
      </c>
      <c r="AS145" t="e">
        <f>AND(#REF!,"AAAAAHvsfyw=")</f>
        <v>#REF!</v>
      </c>
      <c r="AT145" t="e">
        <f>AND(#REF!,"AAAAAHvsfy0=")</f>
        <v>#REF!</v>
      </c>
      <c r="AU145" t="e">
        <f>AND(#REF!,"AAAAAHvsfy4=")</f>
        <v>#REF!</v>
      </c>
      <c r="AV145" t="e">
        <f>AND(#REF!,"AAAAAHvsfy8=")</f>
        <v>#REF!</v>
      </c>
      <c r="AW145" t="e">
        <f>AND(#REF!,"AAAAAHvsfzA=")</f>
        <v>#REF!</v>
      </c>
      <c r="AX145" t="e">
        <f>AND(#REF!,"AAAAAHvsfzE=")</f>
        <v>#REF!</v>
      </c>
      <c r="AY145" t="e">
        <f>AND(#REF!,"AAAAAHvsfzI=")</f>
        <v>#REF!</v>
      </c>
      <c r="AZ145" t="e">
        <f>AND(#REF!,"AAAAAHvsfzM=")</f>
        <v>#REF!</v>
      </c>
      <c r="BA145" t="e">
        <f>AND(#REF!,"AAAAAHvsfzQ=")</f>
        <v>#REF!</v>
      </c>
      <c r="BB145" t="e">
        <f>AND(#REF!,"AAAAAHvsfzU=")</f>
        <v>#REF!</v>
      </c>
      <c r="BC145" t="e">
        <f>AND(#REF!,"AAAAAHvsfzY=")</f>
        <v>#REF!</v>
      </c>
      <c r="BD145" t="e">
        <f>AND(#REF!,"AAAAAHvsfzc=")</f>
        <v>#REF!</v>
      </c>
      <c r="BE145" t="e">
        <f>AND(#REF!,"AAAAAHvsfzg=")</f>
        <v>#REF!</v>
      </c>
      <c r="BF145" t="e">
        <f>AND(#REF!,"AAAAAHvsfzk=")</f>
        <v>#REF!</v>
      </c>
      <c r="BG145" t="e">
        <f>AND(#REF!,"AAAAAHvsfzo=")</f>
        <v>#REF!</v>
      </c>
      <c r="BH145" t="e">
        <f>AND(#REF!,"AAAAAHvsfzs=")</f>
        <v>#REF!</v>
      </c>
      <c r="BI145" t="e">
        <f>IF(#REF!,"AAAAAHvsfzw=",0)</f>
        <v>#REF!</v>
      </c>
      <c r="BJ145" t="e">
        <f>AND(#REF!,"AAAAAHvsfz0=")</f>
        <v>#REF!</v>
      </c>
      <c r="BK145" t="e">
        <f>AND(#REF!,"AAAAAHvsfz4=")</f>
        <v>#REF!</v>
      </c>
      <c r="BL145" t="e">
        <f>AND(#REF!,"AAAAAHvsfz8=")</f>
        <v>#REF!</v>
      </c>
      <c r="BM145" t="e">
        <f>AND(#REF!,"AAAAAHvsf0A=")</f>
        <v>#REF!</v>
      </c>
      <c r="BN145" t="e">
        <f>AND(#REF!,"AAAAAHvsf0E=")</f>
        <v>#REF!</v>
      </c>
      <c r="BO145" t="e">
        <f>AND(#REF!,"AAAAAHvsf0I=")</f>
        <v>#REF!</v>
      </c>
      <c r="BP145" t="e">
        <f>AND(#REF!,"AAAAAHvsf0M=")</f>
        <v>#REF!</v>
      </c>
      <c r="BQ145" t="e">
        <f>AND(#REF!,"AAAAAHvsf0Q=")</f>
        <v>#REF!</v>
      </c>
      <c r="BR145" t="e">
        <f>AND(#REF!,"AAAAAHvsf0U=")</f>
        <v>#REF!</v>
      </c>
      <c r="BS145" t="e">
        <f>AND(#REF!,"AAAAAHvsf0Y=")</f>
        <v>#REF!</v>
      </c>
      <c r="BT145" t="e">
        <f>AND(#REF!,"AAAAAHvsf0c=")</f>
        <v>#REF!</v>
      </c>
      <c r="BU145" t="e">
        <f>AND(#REF!,"AAAAAHvsf0g=")</f>
        <v>#REF!</v>
      </c>
      <c r="BV145" t="e">
        <f>AND(#REF!,"AAAAAHvsf0k=")</f>
        <v>#REF!</v>
      </c>
      <c r="BW145" t="e">
        <f>AND(#REF!,"AAAAAHvsf0o=")</f>
        <v>#REF!</v>
      </c>
      <c r="BX145" t="e">
        <f>AND(#REF!,"AAAAAHvsf0s=")</f>
        <v>#REF!</v>
      </c>
      <c r="BY145" t="e">
        <f>AND(#REF!,"AAAAAHvsf0w=")</f>
        <v>#REF!</v>
      </c>
      <c r="BZ145" t="e">
        <f>AND(#REF!,"AAAAAHvsf00=")</f>
        <v>#REF!</v>
      </c>
      <c r="CA145" t="e">
        <f>AND(#REF!,"AAAAAHvsf04=")</f>
        <v>#REF!</v>
      </c>
      <c r="CB145" t="e">
        <f>AND(#REF!,"AAAAAHvsf08=")</f>
        <v>#REF!</v>
      </c>
      <c r="CC145" t="e">
        <f>AND(#REF!,"AAAAAHvsf1A=")</f>
        <v>#REF!</v>
      </c>
      <c r="CD145" t="e">
        <f>AND(#REF!,"AAAAAHvsf1E=")</f>
        <v>#REF!</v>
      </c>
      <c r="CE145" t="e">
        <f>IF(#REF!,"AAAAAHvsf1I=",0)</f>
        <v>#REF!</v>
      </c>
      <c r="CF145" t="e">
        <f>AND(#REF!,"AAAAAHvsf1M=")</f>
        <v>#REF!</v>
      </c>
      <c r="CG145" t="e">
        <f>AND(#REF!,"AAAAAHvsf1Q=")</f>
        <v>#REF!</v>
      </c>
      <c r="CH145" t="e">
        <f>AND(#REF!,"AAAAAHvsf1U=")</f>
        <v>#REF!</v>
      </c>
      <c r="CI145" t="e">
        <f>AND(#REF!,"AAAAAHvsf1Y=")</f>
        <v>#REF!</v>
      </c>
      <c r="CJ145" t="e">
        <f>AND(#REF!,"AAAAAHvsf1c=")</f>
        <v>#REF!</v>
      </c>
      <c r="CK145" t="e">
        <f>AND(#REF!,"AAAAAHvsf1g=")</f>
        <v>#REF!</v>
      </c>
      <c r="CL145" t="e">
        <f>AND(#REF!,"AAAAAHvsf1k=")</f>
        <v>#REF!</v>
      </c>
      <c r="CM145" t="e">
        <f>AND(#REF!,"AAAAAHvsf1o=")</f>
        <v>#REF!</v>
      </c>
      <c r="CN145" t="e">
        <f>AND(#REF!,"AAAAAHvsf1s=")</f>
        <v>#REF!</v>
      </c>
      <c r="CO145" t="e">
        <f>AND(#REF!,"AAAAAHvsf1w=")</f>
        <v>#REF!</v>
      </c>
      <c r="CP145" t="e">
        <f>AND(#REF!,"AAAAAHvsf10=")</f>
        <v>#REF!</v>
      </c>
      <c r="CQ145" t="e">
        <f>AND(#REF!,"AAAAAHvsf14=")</f>
        <v>#REF!</v>
      </c>
      <c r="CR145" t="e">
        <f>AND(#REF!,"AAAAAHvsf18=")</f>
        <v>#REF!</v>
      </c>
      <c r="CS145" t="e">
        <f>AND(#REF!,"AAAAAHvsf2A=")</f>
        <v>#REF!</v>
      </c>
      <c r="CT145" t="e">
        <f>AND(#REF!,"AAAAAHvsf2E=")</f>
        <v>#REF!</v>
      </c>
      <c r="CU145" t="e">
        <f>AND(#REF!,"AAAAAHvsf2I=")</f>
        <v>#REF!</v>
      </c>
      <c r="CV145" t="e">
        <f>AND(#REF!,"AAAAAHvsf2M=")</f>
        <v>#REF!</v>
      </c>
      <c r="CW145" t="e">
        <f>AND(#REF!,"AAAAAHvsf2Q=")</f>
        <v>#REF!</v>
      </c>
      <c r="CX145" t="e">
        <f>AND(#REF!,"AAAAAHvsf2U=")</f>
        <v>#REF!</v>
      </c>
      <c r="CY145" t="e">
        <f>AND(#REF!,"AAAAAHvsf2Y=")</f>
        <v>#REF!</v>
      </c>
      <c r="CZ145" t="e">
        <f>AND(#REF!,"AAAAAHvsf2c=")</f>
        <v>#REF!</v>
      </c>
      <c r="DA145" t="e">
        <f>IF(#REF!,"AAAAAHvsf2g=",0)</f>
        <v>#REF!</v>
      </c>
      <c r="DB145" t="e">
        <f>AND(#REF!,"AAAAAHvsf2k=")</f>
        <v>#REF!</v>
      </c>
      <c r="DC145" t="e">
        <f>AND(#REF!,"AAAAAHvsf2o=")</f>
        <v>#REF!</v>
      </c>
      <c r="DD145" t="e">
        <f>AND(#REF!,"AAAAAHvsf2s=")</f>
        <v>#REF!</v>
      </c>
      <c r="DE145" t="e">
        <f>AND(#REF!,"AAAAAHvsf2w=")</f>
        <v>#REF!</v>
      </c>
      <c r="DF145" t="e">
        <f>AND(#REF!,"AAAAAHvsf20=")</f>
        <v>#REF!</v>
      </c>
      <c r="DG145" t="e">
        <f>AND(#REF!,"AAAAAHvsf24=")</f>
        <v>#REF!</v>
      </c>
      <c r="DH145" t="e">
        <f>AND(#REF!,"AAAAAHvsf28=")</f>
        <v>#REF!</v>
      </c>
      <c r="DI145" t="e">
        <f>AND(#REF!,"AAAAAHvsf3A=")</f>
        <v>#REF!</v>
      </c>
      <c r="DJ145" t="e">
        <f>AND(#REF!,"AAAAAHvsf3E=")</f>
        <v>#REF!</v>
      </c>
      <c r="DK145" t="e">
        <f>AND(#REF!,"AAAAAHvsf3I=")</f>
        <v>#REF!</v>
      </c>
      <c r="DL145" t="e">
        <f>AND(#REF!,"AAAAAHvsf3M=")</f>
        <v>#REF!</v>
      </c>
      <c r="DM145" t="e">
        <f>AND(#REF!,"AAAAAHvsf3Q=")</f>
        <v>#REF!</v>
      </c>
      <c r="DN145" t="e">
        <f>AND(#REF!,"AAAAAHvsf3U=")</f>
        <v>#REF!</v>
      </c>
      <c r="DO145" t="e">
        <f>AND(#REF!,"AAAAAHvsf3Y=")</f>
        <v>#REF!</v>
      </c>
      <c r="DP145" t="e">
        <f>AND(#REF!,"AAAAAHvsf3c=")</f>
        <v>#REF!</v>
      </c>
      <c r="DQ145" t="e">
        <f>AND(#REF!,"AAAAAHvsf3g=")</f>
        <v>#REF!</v>
      </c>
      <c r="DR145" t="e">
        <f>AND(#REF!,"AAAAAHvsf3k=")</f>
        <v>#REF!</v>
      </c>
      <c r="DS145" t="e">
        <f>AND(#REF!,"AAAAAHvsf3o=")</f>
        <v>#REF!</v>
      </c>
      <c r="DT145" t="e">
        <f>AND(#REF!,"AAAAAHvsf3s=")</f>
        <v>#REF!</v>
      </c>
      <c r="DU145" t="e">
        <f>AND(#REF!,"AAAAAHvsf3w=")</f>
        <v>#REF!</v>
      </c>
      <c r="DV145" t="e">
        <f>AND(#REF!,"AAAAAHvsf30=")</f>
        <v>#REF!</v>
      </c>
      <c r="DW145" t="e">
        <f>IF(#REF!,"AAAAAHvsf34=",0)</f>
        <v>#REF!</v>
      </c>
      <c r="DX145" t="e">
        <f>AND(#REF!,"AAAAAHvsf38=")</f>
        <v>#REF!</v>
      </c>
      <c r="DY145" t="e">
        <f>AND(#REF!,"AAAAAHvsf4A=")</f>
        <v>#REF!</v>
      </c>
      <c r="DZ145" t="e">
        <f>AND(#REF!,"AAAAAHvsf4E=")</f>
        <v>#REF!</v>
      </c>
      <c r="EA145" t="e">
        <f>AND(#REF!,"AAAAAHvsf4I=")</f>
        <v>#REF!</v>
      </c>
      <c r="EB145" t="e">
        <f>AND(#REF!,"AAAAAHvsf4M=")</f>
        <v>#REF!</v>
      </c>
      <c r="EC145" t="e">
        <f>AND(#REF!,"AAAAAHvsf4Q=")</f>
        <v>#REF!</v>
      </c>
      <c r="ED145" t="e">
        <f>AND(#REF!,"AAAAAHvsf4U=")</f>
        <v>#REF!</v>
      </c>
      <c r="EE145" t="e">
        <f>AND(#REF!,"AAAAAHvsf4Y=")</f>
        <v>#REF!</v>
      </c>
      <c r="EF145" t="e">
        <f>AND(#REF!,"AAAAAHvsf4c=")</f>
        <v>#REF!</v>
      </c>
      <c r="EG145" t="e">
        <f>AND(#REF!,"AAAAAHvsf4g=")</f>
        <v>#REF!</v>
      </c>
      <c r="EH145" t="e">
        <f>AND(#REF!,"AAAAAHvsf4k=")</f>
        <v>#REF!</v>
      </c>
      <c r="EI145" t="e">
        <f>AND(#REF!,"AAAAAHvsf4o=")</f>
        <v>#REF!</v>
      </c>
      <c r="EJ145" t="e">
        <f>AND(#REF!,"AAAAAHvsf4s=")</f>
        <v>#REF!</v>
      </c>
      <c r="EK145" t="e">
        <f>AND(#REF!,"AAAAAHvsf4w=")</f>
        <v>#REF!</v>
      </c>
      <c r="EL145" t="e">
        <f>AND(#REF!,"AAAAAHvsf40=")</f>
        <v>#REF!</v>
      </c>
      <c r="EM145" t="e">
        <f>AND(#REF!,"AAAAAHvsf44=")</f>
        <v>#REF!</v>
      </c>
      <c r="EN145" t="e">
        <f>AND(#REF!,"AAAAAHvsf48=")</f>
        <v>#REF!</v>
      </c>
      <c r="EO145" t="e">
        <f>AND(#REF!,"AAAAAHvsf5A=")</f>
        <v>#REF!</v>
      </c>
      <c r="EP145" t="e">
        <f>AND(#REF!,"AAAAAHvsf5E=")</f>
        <v>#REF!</v>
      </c>
      <c r="EQ145" t="e">
        <f>AND(#REF!,"AAAAAHvsf5I=")</f>
        <v>#REF!</v>
      </c>
      <c r="ER145" t="e">
        <f>AND(#REF!,"AAAAAHvsf5M=")</f>
        <v>#REF!</v>
      </c>
      <c r="ES145" t="e">
        <f>IF(#REF!,"AAAAAHvsf5Q=",0)</f>
        <v>#REF!</v>
      </c>
      <c r="ET145" t="e">
        <f>AND(#REF!,"AAAAAHvsf5U=")</f>
        <v>#REF!</v>
      </c>
      <c r="EU145" t="e">
        <f>AND(#REF!,"AAAAAHvsf5Y=")</f>
        <v>#REF!</v>
      </c>
      <c r="EV145" t="e">
        <f>AND(#REF!,"AAAAAHvsf5c=")</f>
        <v>#REF!</v>
      </c>
      <c r="EW145" t="e">
        <f>AND(#REF!,"AAAAAHvsf5g=")</f>
        <v>#REF!</v>
      </c>
      <c r="EX145" t="e">
        <f>AND(#REF!,"AAAAAHvsf5k=")</f>
        <v>#REF!</v>
      </c>
      <c r="EY145" t="e">
        <f>AND(#REF!,"AAAAAHvsf5o=")</f>
        <v>#REF!</v>
      </c>
      <c r="EZ145" t="e">
        <f>AND(#REF!,"AAAAAHvsf5s=")</f>
        <v>#REF!</v>
      </c>
      <c r="FA145" t="e">
        <f>AND(#REF!,"AAAAAHvsf5w=")</f>
        <v>#REF!</v>
      </c>
      <c r="FB145" t="e">
        <f>AND(#REF!,"AAAAAHvsf50=")</f>
        <v>#REF!</v>
      </c>
      <c r="FC145" t="e">
        <f>AND(#REF!,"AAAAAHvsf54=")</f>
        <v>#REF!</v>
      </c>
      <c r="FD145" t="e">
        <f>AND(#REF!,"AAAAAHvsf58=")</f>
        <v>#REF!</v>
      </c>
      <c r="FE145" t="e">
        <f>AND(#REF!,"AAAAAHvsf6A=")</f>
        <v>#REF!</v>
      </c>
      <c r="FF145" t="e">
        <f>AND(#REF!,"AAAAAHvsf6E=")</f>
        <v>#REF!</v>
      </c>
      <c r="FG145" t="e">
        <f>AND(#REF!,"AAAAAHvsf6I=")</f>
        <v>#REF!</v>
      </c>
      <c r="FH145" t="e">
        <f>AND(#REF!,"AAAAAHvsf6M=")</f>
        <v>#REF!</v>
      </c>
      <c r="FI145" t="e">
        <f>AND(#REF!,"AAAAAHvsf6Q=")</f>
        <v>#REF!</v>
      </c>
      <c r="FJ145" t="e">
        <f>AND(#REF!,"AAAAAHvsf6U=")</f>
        <v>#REF!</v>
      </c>
      <c r="FK145" t="e">
        <f>AND(#REF!,"AAAAAHvsf6Y=")</f>
        <v>#REF!</v>
      </c>
      <c r="FL145" t="e">
        <f>AND(#REF!,"AAAAAHvsf6c=")</f>
        <v>#REF!</v>
      </c>
      <c r="FM145" t="e">
        <f>AND(#REF!,"AAAAAHvsf6g=")</f>
        <v>#REF!</v>
      </c>
      <c r="FN145" t="e">
        <f>AND(#REF!,"AAAAAHvsf6k=")</f>
        <v>#REF!</v>
      </c>
      <c r="FO145" t="e">
        <f>IF(#REF!,"AAAAAHvsf6o=",0)</f>
        <v>#REF!</v>
      </c>
      <c r="FP145" t="e">
        <f>AND(#REF!,"AAAAAHvsf6s=")</f>
        <v>#REF!</v>
      </c>
      <c r="FQ145" t="e">
        <f>AND(#REF!,"AAAAAHvsf6w=")</f>
        <v>#REF!</v>
      </c>
      <c r="FR145" t="e">
        <f>AND(#REF!,"AAAAAHvsf60=")</f>
        <v>#REF!</v>
      </c>
      <c r="FS145" t="e">
        <f>AND(#REF!,"AAAAAHvsf64=")</f>
        <v>#REF!</v>
      </c>
      <c r="FT145" t="e">
        <f>AND(#REF!,"AAAAAHvsf68=")</f>
        <v>#REF!</v>
      </c>
      <c r="FU145" t="e">
        <f>AND(#REF!,"AAAAAHvsf7A=")</f>
        <v>#REF!</v>
      </c>
      <c r="FV145" t="e">
        <f>AND(#REF!,"AAAAAHvsf7E=")</f>
        <v>#REF!</v>
      </c>
      <c r="FW145" t="e">
        <f>AND(#REF!,"AAAAAHvsf7I=")</f>
        <v>#REF!</v>
      </c>
      <c r="FX145" t="e">
        <f>AND(#REF!,"AAAAAHvsf7M=")</f>
        <v>#REF!</v>
      </c>
      <c r="FY145" t="e">
        <f>AND(#REF!,"AAAAAHvsf7Q=")</f>
        <v>#REF!</v>
      </c>
      <c r="FZ145" t="e">
        <f>AND(#REF!,"AAAAAHvsf7U=")</f>
        <v>#REF!</v>
      </c>
      <c r="GA145" t="e">
        <f>AND(#REF!,"AAAAAHvsf7Y=")</f>
        <v>#REF!</v>
      </c>
      <c r="GB145" t="e">
        <f>AND(#REF!,"AAAAAHvsf7c=")</f>
        <v>#REF!</v>
      </c>
      <c r="GC145" t="e">
        <f>AND(#REF!,"AAAAAHvsf7g=")</f>
        <v>#REF!</v>
      </c>
      <c r="GD145" t="e">
        <f>AND(#REF!,"AAAAAHvsf7k=")</f>
        <v>#REF!</v>
      </c>
      <c r="GE145" t="e">
        <f>AND(#REF!,"AAAAAHvsf7o=")</f>
        <v>#REF!</v>
      </c>
      <c r="GF145" t="e">
        <f>AND(#REF!,"AAAAAHvsf7s=")</f>
        <v>#REF!</v>
      </c>
      <c r="GG145" t="e">
        <f>AND(#REF!,"AAAAAHvsf7w=")</f>
        <v>#REF!</v>
      </c>
      <c r="GH145" t="e">
        <f>AND(#REF!,"AAAAAHvsf70=")</f>
        <v>#REF!</v>
      </c>
      <c r="GI145" t="e">
        <f>AND(#REF!,"AAAAAHvsf74=")</f>
        <v>#REF!</v>
      </c>
      <c r="GJ145" t="e">
        <f>AND(#REF!,"AAAAAHvsf78=")</f>
        <v>#REF!</v>
      </c>
      <c r="GK145" t="e">
        <f>IF(#REF!,"AAAAAHvsf8A=",0)</f>
        <v>#REF!</v>
      </c>
      <c r="GL145" t="e">
        <f>AND(#REF!,"AAAAAHvsf8E=")</f>
        <v>#REF!</v>
      </c>
      <c r="GM145" t="e">
        <f>AND(#REF!,"AAAAAHvsf8I=")</f>
        <v>#REF!</v>
      </c>
      <c r="GN145" t="e">
        <f>AND(#REF!,"AAAAAHvsf8M=")</f>
        <v>#REF!</v>
      </c>
      <c r="GO145" t="e">
        <f>AND(#REF!,"AAAAAHvsf8Q=")</f>
        <v>#REF!</v>
      </c>
      <c r="GP145" t="e">
        <f>AND(#REF!,"AAAAAHvsf8U=")</f>
        <v>#REF!</v>
      </c>
      <c r="GQ145" t="e">
        <f>AND(#REF!,"AAAAAHvsf8Y=")</f>
        <v>#REF!</v>
      </c>
      <c r="GR145" t="e">
        <f>AND(#REF!,"AAAAAHvsf8c=")</f>
        <v>#REF!</v>
      </c>
      <c r="GS145" t="e">
        <f>AND(#REF!,"AAAAAHvsf8g=")</f>
        <v>#REF!</v>
      </c>
      <c r="GT145" t="e">
        <f>AND(#REF!,"AAAAAHvsf8k=")</f>
        <v>#REF!</v>
      </c>
      <c r="GU145" t="e">
        <f>AND(#REF!,"AAAAAHvsf8o=")</f>
        <v>#REF!</v>
      </c>
      <c r="GV145" t="e">
        <f>AND(#REF!,"AAAAAHvsf8s=")</f>
        <v>#REF!</v>
      </c>
      <c r="GW145" t="e">
        <f>AND(#REF!,"AAAAAHvsf8w=")</f>
        <v>#REF!</v>
      </c>
      <c r="GX145" t="e">
        <f>AND(#REF!,"AAAAAHvsf80=")</f>
        <v>#REF!</v>
      </c>
      <c r="GY145" t="e">
        <f>AND(#REF!,"AAAAAHvsf84=")</f>
        <v>#REF!</v>
      </c>
      <c r="GZ145" t="e">
        <f>AND(#REF!,"AAAAAHvsf88=")</f>
        <v>#REF!</v>
      </c>
      <c r="HA145" t="e">
        <f>AND(#REF!,"AAAAAHvsf9A=")</f>
        <v>#REF!</v>
      </c>
      <c r="HB145" t="e">
        <f>AND(#REF!,"AAAAAHvsf9E=")</f>
        <v>#REF!</v>
      </c>
      <c r="HC145" t="e">
        <f>AND(#REF!,"AAAAAHvsf9I=")</f>
        <v>#REF!</v>
      </c>
      <c r="HD145" t="e">
        <f>AND(#REF!,"AAAAAHvsf9M=")</f>
        <v>#REF!</v>
      </c>
      <c r="HE145" t="e">
        <f>AND(#REF!,"AAAAAHvsf9Q=")</f>
        <v>#REF!</v>
      </c>
      <c r="HF145" t="e">
        <f>AND(#REF!,"AAAAAHvsf9U=")</f>
        <v>#REF!</v>
      </c>
      <c r="HG145" t="e">
        <f>IF(#REF!,"AAAAAHvsf9Y=",0)</f>
        <v>#REF!</v>
      </c>
      <c r="HH145" t="e">
        <f>AND(#REF!,"AAAAAHvsf9c=")</f>
        <v>#REF!</v>
      </c>
      <c r="HI145" t="e">
        <f>AND(#REF!,"AAAAAHvsf9g=")</f>
        <v>#REF!</v>
      </c>
      <c r="HJ145" t="e">
        <f>AND(#REF!,"AAAAAHvsf9k=")</f>
        <v>#REF!</v>
      </c>
      <c r="HK145" t="e">
        <f>AND(#REF!,"AAAAAHvsf9o=")</f>
        <v>#REF!</v>
      </c>
      <c r="HL145" t="e">
        <f>AND(#REF!,"AAAAAHvsf9s=")</f>
        <v>#REF!</v>
      </c>
      <c r="HM145" t="e">
        <f>AND(#REF!,"AAAAAHvsf9w=")</f>
        <v>#REF!</v>
      </c>
      <c r="HN145" t="e">
        <f>AND(#REF!,"AAAAAHvsf90=")</f>
        <v>#REF!</v>
      </c>
      <c r="HO145" t="e">
        <f>AND(#REF!,"AAAAAHvsf94=")</f>
        <v>#REF!</v>
      </c>
      <c r="HP145" t="e">
        <f>AND(#REF!,"AAAAAHvsf98=")</f>
        <v>#REF!</v>
      </c>
      <c r="HQ145" t="e">
        <f>AND(#REF!,"AAAAAHvsf+A=")</f>
        <v>#REF!</v>
      </c>
      <c r="HR145" t="e">
        <f>AND(#REF!,"AAAAAHvsf+E=")</f>
        <v>#REF!</v>
      </c>
      <c r="HS145" t="e">
        <f>AND(#REF!,"AAAAAHvsf+I=")</f>
        <v>#REF!</v>
      </c>
      <c r="HT145" t="e">
        <f>AND(#REF!,"AAAAAHvsf+M=")</f>
        <v>#REF!</v>
      </c>
      <c r="HU145" t="e">
        <f>AND(#REF!,"AAAAAHvsf+Q=")</f>
        <v>#REF!</v>
      </c>
      <c r="HV145" t="e">
        <f>AND(#REF!,"AAAAAHvsf+U=")</f>
        <v>#REF!</v>
      </c>
      <c r="HW145" t="e">
        <f>AND(#REF!,"AAAAAHvsf+Y=")</f>
        <v>#REF!</v>
      </c>
      <c r="HX145" t="e">
        <f>AND(#REF!,"AAAAAHvsf+c=")</f>
        <v>#REF!</v>
      </c>
      <c r="HY145" t="e">
        <f>AND(#REF!,"AAAAAHvsf+g=")</f>
        <v>#REF!</v>
      </c>
      <c r="HZ145" t="e">
        <f>AND(#REF!,"AAAAAHvsf+k=")</f>
        <v>#REF!</v>
      </c>
      <c r="IA145" t="e">
        <f>AND(#REF!,"AAAAAHvsf+o=")</f>
        <v>#REF!</v>
      </c>
      <c r="IB145" t="e">
        <f>AND(#REF!,"AAAAAHvsf+s=")</f>
        <v>#REF!</v>
      </c>
      <c r="IC145" t="e">
        <f>IF(#REF!,"AAAAAHvsf+w=",0)</f>
        <v>#REF!</v>
      </c>
      <c r="ID145" t="e">
        <f>AND(#REF!,"AAAAAHvsf+0=")</f>
        <v>#REF!</v>
      </c>
      <c r="IE145" t="e">
        <f>AND(#REF!,"AAAAAHvsf+4=")</f>
        <v>#REF!</v>
      </c>
      <c r="IF145" t="e">
        <f>AND(#REF!,"AAAAAHvsf+8=")</f>
        <v>#REF!</v>
      </c>
      <c r="IG145" t="e">
        <f>AND(#REF!,"AAAAAHvsf/A=")</f>
        <v>#REF!</v>
      </c>
      <c r="IH145" t="e">
        <f>AND(#REF!,"AAAAAHvsf/E=")</f>
        <v>#REF!</v>
      </c>
      <c r="II145" t="e">
        <f>AND(#REF!,"AAAAAHvsf/I=")</f>
        <v>#REF!</v>
      </c>
      <c r="IJ145" t="e">
        <f>AND(#REF!,"AAAAAHvsf/M=")</f>
        <v>#REF!</v>
      </c>
      <c r="IK145" t="e">
        <f>AND(#REF!,"AAAAAHvsf/Q=")</f>
        <v>#REF!</v>
      </c>
      <c r="IL145" t="e">
        <f>AND(#REF!,"AAAAAHvsf/U=")</f>
        <v>#REF!</v>
      </c>
      <c r="IM145" t="e">
        <f>AND(#REF!,"AAAAAHvsf/Y=")</f>
        <v>#REF!</v>
      </c>
      <c r="IN145" t="e">
        <f>AND(#REF!,"AAAAAHvsf/c=")</f>
        <v>#REF!</v>
      </c>
      <c r="IO145" t="e">
        <f>AND(#REF!,"AAAAAHvsf/g=")</f>
        <v>#REF!</v>
      </c>
      <c r="IP145" t="e">
        <f>AND(#REF!,"AAAAAHvsf/k=")</f>
        <v>#REF!</v>
      </c>
      <c r="IQ145" t="e">
        <f>AND(#REF!,"AAAAAHvsf/o=")</f>
        <v>#REF!</v>
      </c>
      <c r="IR145" t="e">
        <f>AND(#REF!,"AAAAAHvsf/s=")</f>
        <v>#REF!</v>
      </c>
      <c r="IS145" t="e">
        <f>AND(#REF!,"AAAAAHvsf/w=")</f>
        <v>#REF!</v>
      </c>
      <c r="IT145" t="e">
        <f>AND(#REF!,"AAAAAHvsf/0=")</f>
        <v>#REF!</v>
      </c>
      <c r="IU145" t="e">
        <f>AND(#REF!,"AAAAAHvsf/4=")</f>
        <v>#REF!</v>
      </c>
      <c r="IV145" t="e">
        <f>AND(#REF!,"AAAAAHvsf/8=")</f>
        <v>#REF!</v>
      </c>
    </row>
    <row r="146" spans="1:256" x14ac:dyDescent="0.25">
      <c r="A146" t="e">
        <f>AND(#REF!,"AAAAADvZ5QA=")</f>
        <v>#REF!</v>
      </c>
      <c r="B146" t="e">
        <f>AND(#REF!,"AAAAADvZ5QE=")</f>
        <v>#REF!</v>
      </c>
      <c r="C146" t="e">
        <f>IF(#REF!,"AAAAADvZ5QI=",0)</f>
        <v>#REF!</v>
      </c>
      <c r="D146" t="e">
        <f>AND(#REF!,"AAAAADvZ5QM=")</f>
        <v>#REF!</v>
      </c>
      <c r="E146" t="e">
        <f>AND(#REF!,"AAAAADvZ5QQ=")</f>
        <v>#REF!</v>
      </c>
      <c r="F146" t="e">
        <f>AND(#REF!,"AAAAADvZ5QU=")</f>
        <v>#REF!</v>
      </c>
      <c r="G146" t="e">
        <f>AND(#REF!,"AAAAADvZ5QY=")</f>
        <v>#REF!</v>
      </c>
      <c r="H146" t="e">
        <f>AND(#REF!,"AAAAADvZ5Qc=")</f>
        <v>#REF!</v>
      </c>
      <c r="I146" t="e">
        <f>AND(#REF!,"AAAAADvZ5Qg=")</f>
        <v>#REF!</v>
      </c>
      <c r="J146" t="e">
        <f>AND(#REF!,"AAAAADvZ5Qk=")</f>
        <v>#REF!</v>
      </c>
      <c r="K146" t="e">
        <f>AND(#REF!,"AAAAADvZ5Qo=")</f>
        <v>#REF!</v>
      </c>
      <c r="L146" t="e">
        <f>AND(#REF!,"AAAAADvZ5Qs=")</f>
        <v>#REF!</v>
      </c>
      <c r="M146" t="e">
        <f>AND(#REF!,"AAAAADvZ5Qw=")</f>
        <v>#REF!</v>
      </c>
      <c r="N146" t="e">
        <f>AND(#REF!,"AAAAADvZ5Q0=")</f>
        <v>#REF!</v>
      </c>
      <c r="O146" t="e">
        <f>AND(#REF!,"AAAAADvZ5Q4=")</f>
        <v>#REF!</v>
      </c>
      <c r="P146" t="e">
        <f>AND(#REF!,"AAAAADvZ5Q8=")</f>
        <v>#REF!</v>
      </c>
      <c r="Q146" t="e">
        <f>AND(#REF!,"AAAAADvZ5RA=")</f>
        <v>#REF!</v>
      </c>
      <c r="R146" t="e">
        <f>AND(#REF!,"AAAAADvZ5RE=")</f>
        <v>#REF!</v>
      </c>
      <c r="S146" t="e">
        <f>AND(#REF!,"AAAAADvZ5RI=")</f>
        <v>#REF!</v>
      </c>
      <c r="T146" t="e">
        <f>AND(#REF!,"AAAAADvZ5RM=")</f>
        <v>#REF!</v>
      </c>
      <c r="U146" t="e">
        <f>AND(#REF!,"AAAAADvZ5RQ=")</f>
        <v>#REF!</v>
      </c>
      <c r="V146" t="e">
        <f>AND(#REF!,"AAAAADvZ5RU=")</f>
        <v>#REF!</v>
      </c>
      <c r="W146" t="e">
        <f>AND(#REF!,"AAAAADvZ5RY=")</f>
        <v>#REF!</v>
      </c>
      <c r="X146" t="e">
        <f>AND(#REF!,"AAAAADvZ5Rc=")</f>
        <v>#REF!</v>
      </c>
      <c r="Y146" t="e">
        <f>IF(#REF!,"AAAAADvZ5Rg=",0)</f>
        <v>#REF!</v>
      </c>
      <c r="Z146" t="e">
        <f>AND(#REF!,"AAAAADvZ5Rk=")</f>
        <v>#REF!</v>
      </c>
      <c r="AA146" t="e">
        <f>AND(#REF!,"AAAAADvZ5Ro=")</f>
        <v>#REF!</v>
      </c>
      <c r="AB146" t="e">
        <f>AND(#REF!,"AAAAADvZ5Rs=")</f>
        <v>#REF!</v>
      </c>
      <c r="AC146" t="e">
        <f>AND(#REF!,"AAAAADvZ5Rw=")</f>
        <v>#REF!</v>
      </c>
      <c r="AD146" t="e">
        <f>AND(#REF!,"AAAAADvZ5R0=")</f>
        <v>#REF!</v>
      </c>
      <c r="AE146" t="e">
        <f>AND(#REF!,"AAAAADvZ5R4=")</f>
        <v>#REF!</v>
      </c>
      <c r="AF146" t="e">
        <f>AND(#REF!,"AAAAADvZ5R8=")</f>
        <v>#REF!</v>
      </c>
      <c r="AG146" t="e">
        <f>AND(#REF!,"AAAAADvZ5SA=")</f>
        <v>#REF!</v>
      </c>
      <c r="AH146" t="e">
        <f>AND(#REF!,"AAAAADvZ5SE=")</f>
        <v>#REF!</v>
      </c>
      <c r="AI146" t="e">
        <f>AND(#REF!,"AAAAADvZ5SI=")</f>
        <v>#REF!</v>
      </c>
      <c r="AJ146" t="e">
        <f>AND(#REF!,"AAAAADvZ5SM=")</f>
        <v>#REF!</v>
      </c>
      <c r="AK146" t="e">
        <f>AND(#REF!,"AAAAADvZ5SQ=")</f>
        <v>#REF!</v>
      </c>
      <c r="AL146" t="e">
        <f>AND(#REF!,"AAAAADvZ5SU=")</f>
        <v>#REF!</v>
      </c>
      <c r="AM146" t="e">
        <f>AND(#REF!,"AAAAADvZ5SY=")</f>
        <v>#REF!</v>
      </c>
      <c r="AN146" t="e">
        <f>AND(#REF!,"AAAAADvZ5Sc=")</f>
        <v>#REF!</v>
      </c>
      <c r="AO146" t="e">
        <f>AND(#REF!,"AAAAADvZ5Sg=")</f>
        <v>#REF!</v>
      </c>
      <c r="AP146" t="e">
        <f>AND(#REF!,"AAAAADvZ5Sk=")</f>
        <v>#REF!</v>
      </c>
      <c r="AQ146" t="e">
        <f>AND(#REF!,"AAAAADvZ5So=")</f>
        <v>#REF!</v>
      </c>
      <c r="AR146" t="e">
        <f>AND(#REF!,"AAAAADvZ5Ss=")</f>
        <v>#REF!</v>
      </c>
      <c r="AS146" t="e">
        <f>AND(#REF!,"AAAAADvZ5Sw=")</f>
        <v>#REF!</v>
      </c>
      <c r="AT146" t="e">
        <f>AND(#REF!,"AAAAADvZ5S0=")</f>
        <v>#REF!</v>
      </c>
      <c r="AU146" t="e">
        <f>IF(#REF!,"AAAAADvZ5S4=",0)</f>
        <v>#REF!</v>
      </c>
      <c r="AV146" t="e">
        <f>AND(#REF!,"AAAAADvZ5S8=")</f>
        <v>#REF!</v>
      </c>
      <c r="AW146" t="e">
        <f>AND(#REF!,"AAAAADvZ5TA=")</f>
        <v>#REF!</v>
      </c>
      <c r="AX146" t="e">
        <f>AND(#REF!,"AAAAADvZ5TE=")</f>
        <v>#REF!</v>
      </c>
      <c r="AY146" t="e">
        <f>AND(#REF!,"AAAAADvZ5TI=")</f>
        <v>#REF!</v>
      </c>
      <c r="AZ146" t="e">
        <f>AND(#REF!,"AAAAADvZ5TM=")</f>
        <v>#REF!</v>
      </c>
      <c r="BA146" t="e">
        <f>AND(#REF!,"AAAAADvZ5TQ=")</f>
        <v>#REF!</v>
      </c>
      <c r="BB146" t="e">
        <f>AND(#REF!,"AAAAADvZ5TU=")</f>
        <v>#REF!</v>
      </c>
      <c r="BC146" t="e">
        <f>AND(#REF!,"AAAAADvZ5TY=")</f>
        <v>#REF!</v>
      </c>
      <c r="BD146" t="e">
        <f>AND(#REF!,"AAAAADvZ5Tc=")</f>
        <v>#REF!</v>
      </c>
      <c r="BE146" t="e">
        <f>AND(#REF!,"AAAAADvZ5Tg=")</f>
        <v>#REF!</v>
      </c>
      <c r="BF146" t="e">
        <f>AND(#REF!,"AAAAADvZ5Tk=")</f>
        <v>#REF!</v>
      </c>
      <c r="BG146" t="e">
        <f>AND(#REF!,"AAAAADvZ5To=")</f>
        <v>#REF!</v>
      </c>
      <c r="BH146" t="e">
        <f>AND(#REF!,"AAAAADvZ5Ts=")</f>
        <v>#REF!</v>
      </c>
      <c r="BI146" t="e">
        <f>AND(#REF!,"AAAAADvZ5Tw=")</f>
        <v>#REF!</v>
      </c>
      <c r="BJ146" t="e">
        <f>AND(#REF!,"AAAAADvZ5T0=")</f>
        <v>#REF!</v>
      </c>
      <c r="BK146" t="e">
        <f>AND(#REF!,"AAAAADvZ5T4=")</f>
        <v>#REF!</v>
      </c>
      <c r="BL146" t="e">
        <f>AND(#REF!,"AAAAADvZ5T8=")</f>
        <v>#REF!</v>
      </c>
      <c r="BM146" t="e">
        <f>AND(#REF!,"AAAAADvZ5UA=")</f>
        <v>#REF!</v>
      </c>
      <c r="BN146" t="e">
        <f>AND(#REF!,"AAAAADvZ5UE=")</f>
        <v>#REF!</v>
      </c>
      <c r="BO146" t="e">
        <f>AND(#REF!,"AAAAADvZ5UI=")</f>
        <v>#REF!</v>
      </c>
      <c r="BP146" t="e">
        <f>AND(#REF!,"AAAAADvZ5UM=")</f>
        <v>#REF!</v>
      </c>
      <c r="BQ146" t="e">
        <f>IF(#REF!,"AAAAADvZ5UQ=",0)</f>
        <v>#REF!</v>
      </c>
      <c r="BR146" t="e">
        <f>AND(#REF!,"AAAAADvZ5UU=")</f>
        <v>#REF!</v>
      </c>
      <c r="BS146" t="e">
        <f>AND(#REF!,"AAAAADvZ5UY=")</f>
        <v>#REF!</v>
      </c>
      <c r="BT146" t="e">
        <f>AND(#REF!,"AAAAADvZ5Uc=")</f>
        <v>#REF!</v>
      </c>
      <c r="BU146" t="e">
        <f>AND(#REF!,"AAAAADvZ5Ug=")</f>
        <v>#REF!</v>
      </c>
      <c r="BV146" t="e">
        <f>AND(#REF!,"AAAAADvZ5Uk=")</f>
        <v>#REF!</v>
      </c>
      <c r="BW146" t="e">
        <f>AND(#REF!,"AAAAADvZ5Uo=")</f>
        <v>#REF!</v>
      </c>
      <c r="BX146" t="e">
        <f>AND(#REF!,"AAAAADvZ5Us=")</f>
        <v>#REF!</v>
      </c>
      <c r="BY146" t="e">
        <f>AND(#REF!,"AAAAADvZ5Uw=")</f>
        <v>#REF!</v>
      </c>
      <c r="BZ146" t="e">
        <f>AND(#REF!,"AAAAADvZ5U0=")</f>
        <v>#REF!</v>
      </c>
      <c r="CA146" t="e">
        <f>AND(#REF!,"AAAAADvZ5U4=")</f>
        <v>#REF!</v>
      </c>
      <c r="CB146" t="e">
        <f>AND(#REF!,"AAAAADvZ5U8=")</f>
        <v>#REF!</v>
      </c>
      <c r="CC146" t="e">
        <f>AND(#REF!,"AAAAADvZ5VA=")</f>
        <v>#REF!</v>
      </c>
      <c r="CD146" t="e">
        <f>AND(#REF!,"AAAAADvZ5VE=")</f>
        <v>#REF!</v>
      </c>
      <c r="CE146" t="e">
        <f>AND(#REF!,"AAAAADvZ5VI=")</f>
        <v>#REF!</v>
      </c>
      <c r="CF146" t="e">
        <f>AND(#REF!,"AAAAADvZ5VM=")</f>
        <v>#REF!</v>
      </c>
      <c r="CG146" t="e">
        <f>AND(#REF!,"AAAAADvZ5VQ=")</f>
        <v>#REF!</v>
      </c>
      <c r="CH146" t="e">
        <f>AND(#REF!,"AAAAADvZ5VU=")</f>
        <v>#REF!</v>
      </c>
      <c r="CI146" t="e">
        <f>AND(#REF!,"AAAAADvZ5VY=")</f>
        <v>#REF!</v>
      </c>
      <c r="CJ146" t="e">
        <f>AND(#REF!,"AAAAADvZ5Vc=")</f>
        <v>#REF!</v>
      </c>
      <c r="CK146" t="e">
        <f>AND(#REF!,"AAAAADvZ5Vg=")</f>
        <v>#REF!</v>
      </c>
      <c r="CL146" t="e">
        <f>AND(#REF!,"AAAAADvZ5Vk=")</f>
        <v>#REF!</v>
      </c>
      <c r="CM146" t="e">
        <f>IF(#REF!,"AAAAADvZ5Vo=",0)</f>
        <v>#REF!</v>
      </c>
      <c r="CN146" t="e">
        <f>IF(#REF!,"AAAAADvZ5Vs=",0)</f>
        <v>#REF!</v>
      </c>
      <c r="CO146" t="e">
        <f>IF(#REF!,"AAAAADvZ5Vw=",0)</f>
        <v>#REF!</v>
      </c>
      <c r="CP146" t="e">
        <f>IF(#REF!,"AAAAADvZ5V0=",0)</f>
        <v>#REF!</v>
      </c>
      <c r="CQ146" t="e">
        <f>IF(#REF!,"AAAAADvZ5V4=",0)</f>
        <v>#REF!</v>
      </c>
      <c r="CR146" t="e">
        <f>IF(#REF!,"AAAAADvZ5V8=",0)</f>
        <v>#REF!</v>
      </c>
      <c r="CS146" t="e">
        <f>IF(#REF!,"AAAAADvZ5WA=",0)</f>
        <v>#REF!</v>
      </c>
      <c r="CT146" t="e">
        <f>IF(#REF!,"AAAAADvZ5WE=",0)</f>
        <v>#REF!</v>
      </c>
      <c r="CU146" t="e">
        <f>IF(#REF!,"AAAAADvZ5WI=",0)</f>
        <v>#REF!</v>
      </c>
      <c r="CV146" t="e">
        <f>IF(#REF!,"AAAAADvZ5WM=",0)</f>
        <v>#REF!</v>
      </c>
      <c r="CW146" t="e">
        <f>IF(#REF!,"AAAAADvZ5WQ=",0)</f>
        <v>#REF!</v>
      </c>
      <c r="CX146" t="e">
        <f>IF(#REF!,"AAAAADvZ5WU=",0)</f>
        <v>#REF!</v>
      </c>
      <c r="CY146" t="e">
        <f>IF(#REF!,"AAAAADvZ5WY=",0)</f>
        <v>#REF!</v>
      </c>
      <c r="CZ146" t="e">
        <f>IF(#REF!,"AAAAADvZ5Wc=",0)</f>
        <v>#REF!</v>
      </c>
      <c r="DA146" t="e">
        <f>IF(#REF!,"AAAAADvZ5Wg=",0)</f>
        <v>#REF!</v>
      </c>
      <c r="DB146" t="e">
        <f>IF(#REF!,"AAAAADvZ5Wk=",0)</f>
        <v>#REF!</v>
      </c>
      <c r="DC146" t="e">
        <f>IF(#REF!,"AAAAADvZ5Wo=",0)</f>
        <v>#REF!</v>
      </c>
      <c r="DD146" t="e">
        <f>IF(#REF!,"AAAAADvZ5Ws=",0)</f>
        <v>#REF!</v>
      </c>
      <c r="DE146" t="e">
        <f>IF(#REF!,"AAAAADvZ5Ww=",0)</f>
        <v>#REF!</v>
      </c>
      <c r="DF146" t="e">
        <f>IF(#REF!,"AAAAADvZ5W0=",0)</f>
        <v>#REF!</v>
      </c>
      <c r="DG146" t="e">
        <f>IF(#REF!,"AAAAADvZ5W4=",0)</f>
        <v>#REF!</v>
      </c>
      <c r="DH146" t="e">
        <f>IF(#REF!,"AAAAADvZ5W8=",0)</f>
        <v>#REF!</v>
      </c>
      <c r="DI146" t="e">
        <f>AND(#REF!,"AAAAADvZ5XA=")</f>
        <v>#REF!</v>
      </c>
      <c r="DJ146" t="e">
        <f>AND(#REF!,"AAAAADvZ5XE=")</f>
        <v>#REF!</v>
      </c>
      <c r="DK146" t="e">
        <f>AND(#REF!,"AAAAADvZ5XI=")</f>
        <v>#REF!</v>
      </c>
      <c r="DL146" t="e">
        <f>AND(#REF!,"AAAAADvZ5XM=")</f>
        <v>#REF!</v>
      </c>
      <c r="DM146" t="e">
        <f>AND(#REF!,"AAAAADvZ5XQ=")</f>
        <v>#REF!</v>
      </c>
      <c r="DN146" t="e">
        <f>AND(#REF!,"AAAAADvZ5XU=")</f>
        <v>#REF!</v>
      </c>
      <c r="DO146" t="e">
        <f>AND(#REF!,"AAAAADvZ5XY=")</f>
        <v>#REF!</v>
      </c>
      <c r="DP146" t="e">
        <f>AND(#REF!,"AAAAADvZ5Xc=")</f>
        <v>#REF!</v>
      </c>
      <c r="DQ146" t="e">
        <f>AND(#REF!,"AAAAADvZ5Xg=")</f>
        <v>#REF!</v>
      </c>
      <c r="DR146" t="e">
        <f>AND(#REF!,"AAAAADvZ5Xk=")</f>
        <v>#REF!</v>
      </c>
      <c r="DS146" t="e">
        <f>AND(#REF!,"AAAAADvZ5Xo=")</f>
        <v>#REF!</v>
      </c>
      <c r="DT146" t="e">
        <f>AND(#REF!,"AAAAADvZ5Xs=")</f>
        <v>#REF!</v>
      </c>
      <c r="DU146" t="e">
        <f>AND(#REF!,"AAAAADvZ5Xw=")</f>
        <v>#REF!</v>
      </c>
      <c r="DV146" t="e">
        <f>AND(#REF!,"AAAAADvZ5X0=")</f>
        <v>#REF!</v>
      </c>
      <c r="DW146" t="e">
        <f>AND(#REF!,"AAAAADvZ5X4=")</f>
        <v>#REF!</v>
      </c>
      <c r="DX146" t="e">
        <f>AND(#REF!,"AAAAADvZ5X8=")</f>
        <v>#REF!</v>
      </c>
      <c r="DY146" t="e">
        <f>AND(#REF!,"AAAAADvZ5YA=")</f>
        <v>#REF!</v>
      </c>
      <c r="DZ146" t="e">
        <f>AND(#REF!,"AAAAADvZ5YE=")</f>
        <v>#REF!</v>
      </c>
      <c r="EA146" t="e">
        <f>AND(#REF!,"AAAAADvZ5YI=")</f>
        <v>#REF!</v>
      </c>
      <c r="EB146" t="e">
        <f>AND(#REF!,"AAAAADvZ5YM=")</f>
        <v>#REF!</v>
      </c>
      <c r="EC146" t="e">
        <f>AND(#REF!,"AAAAADvZ5YQ=")</f>
        <v>#REF!</v>
      </c>
      <c r="ED146" t="e">
        <f>IF(#REF!,"AAAAADvZ5YU=",0)</f>
        <v>#REF!</v>
      </c>
      <c r="EE146" t="e">
        <f>AND(#REF!,"AAAAADvZ5YY=")</f>
        <v>#REF!</v>
      </c>
      <c r="EF146" t="e">
        <f>AND(#REF!,"AAAAADvZ5Yc=")</f>
        <v>#REF!</v>
      </c>
      <c r="EG146" t="e">
        <f>AND(#REF!,"AAAAADvZ5Yg=")</f>
        <v>#REF!</v>
      </c>
      <c r="EH146" t="e">
        <f>AND(#REF!,"AAAAADvZ5Yk=")</f>
        <v>#REF!</v>
      </c>
      <c r="EI146" t="e">
        <f>AND(#REF!,"AAAAADvZ5Yo=")</f>
        <v>#REF!</v>
      </c>
      <c r="EJ146" t="e">
        <f>AND(#REF!,"AAAAADvZ5Ys=")</f>
        <v>#REF!</v>
      </c>
      <c r="EK146" t="e">
        <f>AND(#REF!,"AAAAADvZ5Yw=")</f>
        <v>#REF!</v>
      </c>
      <c r="EL146" t="e">
        <f>AND(#REF!,"AAAAADvZ5Y0=")</f>
        <v>#REF!</v>
      </c>
      <c r="EM146" t="e">
        <f>AND(#REF!,"AAAAADvZ5Y4=")</f>
        <v>#REF!</v>
      </c>
      <c r="EN146" t="e">
        <f>AND(#REF!,"AAAAADvZ5Y8=")</f>
        <v>#REF!</v>
      </c>
      <c r="EO146" t="e">
        <f>AND(#REF!,"AAAAADvZ5ZA=")</f>
        <v>#REF!</v>
      </c>
      <c r="EP146" t="e">
        <f>AND(#REF!,"AAAAADvZ5ZE=")</f>
        <v>#REF!</v>
      </c>
      <c r="EQ146" t="e">
        <f>AND(#REF!,"AAAAADvZ5ZI=")</f>
        <v>#REF!</v>
      </c>
      <c r="ER146" t="e">
        <f>AND(#REF!,"AAAAADvZ5ZM=")</f>
        <v>#REF!</v>
      </c>
      <c r="ES146" t="e">
        <f>AND(#REF!,"AAAAADvZ5ZQ=")</f>
        <v>#REF!</v>
      </c>
      <c r="ET146" t="e">
        <f>AND(#REF!,"AAAAADvZ5ZU=")</f>
        <v>#REF!</v>
      </c>
      <c r="EU146" t="e">
        <f>AND(#REF!,"AAAAADvZ5ZY=")</f>
        <v>#REF!</v>
      </c>
      <c r="EV146" t="e">
        <f>AND(#REF!,"AAAAADvZ5Zc=")</f>
        <v>#REF!</v>
      </c>
      <c r="EW146" t="e">
        <f>AND(#REF!,"AAAAADvZ5Zg=")</f>
        <v>#REF!</v>
      </c>
      <c r="EX146" t="e">
        <f>AND(#REF!,"AAAAADvZ5Zk=")</f>
        <v>#REF!</v>
      </c>
      <c r="EY146" t="e">
        <f>AND(#REF!,"AAAAADvZ5Zo=")</f>
        <v>#REF!</v>
      </c>
      <c r="EZ146" t="e">
        <f>IF(#REF!,"AAAAADvZ5Zs=",0)</f>
        <v>#REF!</v>
      </c>
      <c r="FA146" t="e">
        <f>AND(#REF!,"AAAAADvZ5Zw=")</f>
        <v>#REF!</v>
      </c>
      <c r="FB146" t="e">
        <f>AND(#REF!,"AAAAADvZ5Z0=")</f>
        <v>#REF!</v>
      </c>
      <c r="FC146" t="e">
        <f>AND(#REF!,"AAAAADvZ5Z4=")</f>
        <v>#REF!</v>
      </c>
      <c r="FD146" t="e">
        <f>AND(#REF!,"AAAAADvZ5Z8=")</f>
        <v>#REF!</v>
      </c>
      <c r="FE146" t="e">
        <f>AND(#REF!,"AAAAADvZ5aA=")</f>
        <v>#REF!</v>
      </c>
      <c r="FF146" t="e">
        <f>AND(#REF!,"AAAAADvZ5aE=")</f>
        <v>#REF!</v>
      </c>
      <c r="FG146" t="e">
        <f>AND(#REF!,"AAAAADvZ5aI=")</f>
        <v>#REF!</v>
      </c>
      <c r="FH146" t="e">
        <f>AND(#REF!,"AAAAADvZ5aM=")</f>
        <v>#REF!</v>
      </c>
      <c r="FI146" t="e">
        <f>AND(#REF!,"AAAAADvZ5aQ=")</f>
        <v>#REF!</v>
      </c>
      <c r="FJ146" t="e">
        <f>AND(#REF!,"AAAAADvZ5aU=")</f>
        <v>#REF!</v>
      </c>
      <c r="FK146" t="e">
        <f>AND(#REF!,"AAAAADvZ5aY=")</f>
        <v>#REF!</v>
      </c>
      <c r="FL146" t="e">
        <f>AND(#REF!,"AAAAADvZ5ac=")</f>
        <v>#REF!</v>
      </c>
      <c r="FM146" t="e">
        <f>AND(#REF!,"AAAAADvZ5ag=")</f>
        <v>#REF!</v>
      </c>
      <c r="FN146" t="e">
        <f>AND(#REF!,"AAAAADvZ5ak=")</f>
        <v>#REF!</v>
      </c>
      <c r="FO146" t="e">
        <f>AND(#REF!,"AAAAADvZ5ao=")</f>
        <v>#REF!</v>
      </c>
      <c r="FP146" t="e">
        <f>AND(#REF!,"AAAAADvZ5as=")</f>
        <v>#REF!</v>
      </c>
      <c r="FQ146" t="e">
        <f>AND(#REF!,"AAAAADvZ5aw=")</f>
        <v>#REF!</v>
      </c>
      <c r="FR146" t="e">
        <f>AND(#REF!,"AAAAADvZ5a0=")</f>
        <v>#REF!</v>
      </c>
      <c r="FS146" t="e">
        <f>AND(#REF!,"AAAAADvZ5a4=")</f>
        <v>#REF!</v>
      </c>
      <c r="FT146" t="e">
        <f>AND(#REF!,"AAAAADvZ5a8=")</f>
        <v>#REF!</v>
      </c>
      <c r="FU146" t="e">
        <f>AND(#REF!,"AAAAADvZ5bA=")</f>
        <v>#REF!</v>
      </c>
      <c r="FV146" t="e">
        <f>IF(#REF!,"AAAAADvZ5bE=",0)</f>
        <v>#REF!</v>
      </c>
      <c r="FW146" t="e">
        <f>AND(#REF!,"AAAAADvZ5bI=")</f>
        <v>#REF!</v>
      </c>
      <c r="FX146" t="e">
        <f>AND(#REF!,"AAAAADvZ5bM=")</f>
        <v>#REF!</v>
      </c>
      <c r="FY146" t="e">
        <f>AND(#REF!,"AAAAADvZ5bQ=")</f>
        <v>#REF!</v>
      </c>
      <c r="FZ146" t="e">
        <f>AND(#REF!,"AAAAADvZ5bU=")</f>
        <v>#REF!</v>
      </c>
      <c r="GA146" t="e">
        <f>AND(#REF!,"AAAAADvZ5bY=")</f>
        <v>#REF!</v>
      </c>
      <c r="GB146" t="e">
        <f>AND(#REF!,"AAAAADvZ5bc=")</f>
        <v>#REF!</v>
      </c>
      <c r="GC146" t="e">
        <f>AND(#REF!,"AAAAADvZ5bg=")</f>
        <v>#REF!</v>
      </c>
      <c r="GD146" t="e">
        <f>AND(#REF!,"AAAAADvZ5bk=")</f>
        <v>#REF!</v>
      </c>
      <c r="GE146" t="e">
        <f>AND(#REF!,"AAAAADvZ5bo=")</f>
        <v>#REF!</v>
      </c>
      <c r="GF146" t="e">
        <f>AND(#REF!,"AAAAADvZ5bs=")</f>
        <v>#REF!</v>
      </c>
      <c r="GG146" t="e">
        <f>AND(#REF!,"AAAAADvZ5bw=")</f>
        <v>#REF!</v>
      </c>
      <c r="GH146" t="e">
        <f>AND(#REF!,"AAAAADvZ5b0=")</f>
        <v>#REF!</v>
      </c>
      <c r="GI146" t="e">
        <f>AND(#REF!,"AAAAADvZ5b4=")</f>
        <v>#REF!</v>
      </c>
      <c r="GJ146" t="e">
        <f>AND(#REF!,"AAAAADvZ5b8=")</f>
        <v>#REF!</v>
      </c>
      <c r="GK146" t="e">
        <f>AND(#REF!,"AAAAADvZ5cA=")</f>
        <v>#REF!</v>
      </c>
      <c r="GL146" t="e">
        <f>AND(#REF!,"AAAAADvZ5cE=")</f>
        <v>#REF!</v>
      </c>
      <c r="GM146" t="e">
        <f>AND(#REF!,"AAAAADvZ5cI=")</f>
        <v>#REF!</v>
      </c>
      <c r="GN146" t="e">
        <f>AND(#REF!,"AAAAADvZ5cM=")</f>
        <v>#REF!</v>
      </c>
      <c r="GO146" t="e">
        <f>AND(#REF!,"AAAAADvZ5cQ=")</f>
        <v>#REF!</v>
      </c>
      <c r="GP146" t="e">
        <f>AND(#REF!,"AAAAADvZ5cU=")</f>
        <v>#REF!</v>
      </c>
      <c r="GQ146" t="e">
        <f>AND(#REF!,"AAAAADvZ5cY=")</f>
        <v>#REF!</v>
      </c>
      <c r="GR146" t="e">
        <f>IF(#REF!,"AAAAADvZ5cc=",0)</f>
        <v>#REF!</v>
      </c>
      <c r="GS146" t="e">
        <f>AND(#REF!,"AAAAADvZ5cg=")</f>
        <v>#REF!</v>
      </c>
      <c r="GT146" t="e">
        <f>AND(#REF!,"AAAAADvZ5ck=")</f>
        <v>#REF!</v>
      </c>
      <c r="GU146" t="e">
        <f>AND(#REF!,"AAAAADvZ5co=")</f>
        <v>#REF!</v>
      </c>
      <c r="GV146" t="e">
        <f>AND(#REF!,"AAAAADvZ5cs=")</f>
        <v>#REF!</v>
      </c>
      <c r="GW146" t="e">
        <f>AND(#REF!,"AAAAADvZ5cw=")</f>
        <v>#REF!</v>
      </c>
      <c r="GX146" t="e">
        <f>AND(#REF!,"AAAAADvZ5c0=")</f>
        <v>#REF!</v>
      </c>
      <c r="GY146" t="e">
        <f>AND(#REF!,"AAAAADvZ5c4=")</f>
        <v>#REF!</v>
      </c>
      <c r="GZ146" t="e">
        <f>AND(#REF!,"AAAAADvZ5c8=")</f>
        <v>#REF!</v>
      </c>
      <c r="HA146" t="e">
        <f>AND(#REF!,"AAAAADvZ5dA=")</f>
        <v>#REF!</v>
      </c>
      <c r="HB146" t="e">
        <f>AND(#REF!,"AAAAADvZ5dE=")</f>
        <v>#REF!</v>
      </c>
      <c r="HC146" t="e">
        <f>AND(#REF!,"AAAAADvZ5dI=")</f>
        <v>#REF!</v>
      </c>
      <c r="HD146" t="e">
        <f>AND(#REF!,"AAAAADvZ5dM=")</f>
        <v>#REF!</v>
      </c>
      <c r="HE146" t="e">
        <f>AND(#REF!,"AAAAADvZ5dQ=")</f>
        <v>#REF!</v>
      </c>
      <c r="HF146" t="e">
        <f>AND(#REF!,"AAAAADvZ5dU=")</f>
        <v>#REF!</v>
      </c>
      <c r="HG146" t="e">
        <f>AND(#REF!,"AAAAADvZ5dY=")</f>
        <v>#REF!</v>
      </c>
      <c r="HH146" t="e">
        <f>AND(#REF!,"AAAAADvZ5dc=")</f>
        <v>#REF!</v>
      </c>
      <c r="HI146" t="e">
        <f>AND(#REF!,"AAAAADvZ5dg=")</f>
        <v>#REF!</v>
      </c>
      <c r="HJ146" t="e">
        <f>AND(#REF!,"AAAAADvZ5dk=")</f>
        <v>#REF!</v>
      </c>
      <c r="HK146" t="e">
        <f>AND(#REF!,"AAAAADvZ5do=")</f>
        <v>#REF!</v>
      </c>
      <c r="HL146" t="e">
        <f>AND(#REF!,"AAAAADvZ5ds=")</f>
        <v>#REF!</v>
      </c>
      <c r="HM146" t="e">
        <f>AND(#REF!,"AAAAADvZ5dw=")</f>
        <v>#REF!</v>
      </c>
      <c r="HN146" t="e">
        <f>IF(#REF!,"AAAAADvZ5d0=",0)</f>
        <v>#REF!</v>
      </c>
      <c r="HO146" t="e">
        <f>AND(#REF!,"AAAAADvZ5d4=")</f>
        <v>#REF!</v>
      </c>
      <c r="HP146" t="e">
        <f>AND(#REF!,"AAAAADvZ5d8=")</f>
        <v>#REF!</v>
      </c>
      <c r="HQ146" t="e">
        <f>AND(#REF!,"AAAAADvZ5eA=")</f>
        <v>#REF!</v>
      </c>
      <c r="HR146" t="e">
        <f>AND(#REF!,"AAAAADvZ5eE=")</f>
        <v>#REF!</v>
      </c>
      <c r="HS146" t="e">
        <f>AND(#REF!,"AAAAADvZ5eI=")</f>
        <v>#REF!</v>
      </c>
      <c r="HT146" t="e">
        <f>AND(#REF!,"AAAAADvZ5eM=")</f>
        <v>#REF!</v>
      </c>
      <c r="HU146" t="e">
        <f>AND(#REF!,"AAAAADvZ5eQ=")</f>
        <v>#REF!</v>
      </c>
      <c r="HV146" t="e">
        <f>AND(#REF!,"AAAAADvZ5eU=")</f>
        <v>#REF!</v>
      </c>
      <c r="HW146" t="e">
        <f>AND(#REF!,"AAAAADvZ5eY=")</f>
        <v>#REF!</v>
      </c>
      <c r="HX146" t="e">
        <f>AND(#REF!,"AAAAADvZ5ec=")</f>
        <v>#REF!</v>
      </c>
      <c r="HY146" t="e">
        <f>AND(#REF!,"AAAAADvZ5eg=")</f>
        <v>#REF!</v>
      </c>
      <c r="HZ146" t="e">
        <f>AND(#REF!,"AAAAADvZ5ek=")</f>
        <v>#REF!</v>
      </c>
      <c r="IA146" t="e">
        <f>AND(#REF!,"AAAAADvZ5eo=")</f>
        <v>#REF!</v>
      </c>
      <c r="IB146" t="e">
        <f>AND(#REF!,"AAAAADvZ5es=")</f>
        <v>#REF!</v>
      </c>
      <c r="IC146" t="e">
        <f>AND(#REF!,"AAAAADvZ5ew=")</f>
        <v>#REF!</v>
      </c>
      <c r="ID146" t="e">
        <f>AND(#REF!,"AAAAADvZ5e0=")</f>
        <v>#REF!</v>
      </c>
      <c r="IE146" t="e">
        <f>AND(#REF!,"AAAAADvZ5e4=")</f>
        <v>#REF!</v>
      </c>
      <c r="IF146" t="e">
        <f>AND(#REF!,"AAAAADvZ5e8=")</f>
        <v>#REF!</v>
      </c>
      <c r="IG146" t="e">
        <f>AND(#REF!,"AAAAADvZ5fA=")</f>
        <v>#REF!</v>
      </c>
      <c r="IH146" t="e">
        <f>AND(#REF!,"AAAAADvZ5fE=")</f>
        <v>#REF!</v>
      </c>
      <c r="II146" t="e">
        <f>AND(#REF!,"AAAAADvZ5fI=")</f>
        <v>#REF!</v>
      </c>
      <c r="IJ146" t="e">
        <f>IF(#REF!,"AAAAADvZ5fM=",0)</f>
        <v>#REF!</v>
      </c>
      <c r="IK146" t="e">
        <f>AND(#REF!,"AAAAADvZ5fQ=")</f>
        <v>#REF!</v>
      </c>
      <c r="IL146" t="e">
        <f>AND(#REF!,"AAAAADvZ5fU=")</f>
        <v>#REF!</v>
      </c>
      <c r="IM146" t="e">
        <f>AND(#REF!,"AAAAADvZ5fY=")</f>
        <v>#REF!</v>
      </c>
      <c r="IN146" t="e">
        <f>AND(#REF!,"AAAAADvZ5fc=")</f>
        <v>#REF!</v>
      </c>
      <c r="IO146" t="e">
        <f>AND(#REF!,"AAAAADvZ5fg=")</f>
        <v>#REF!</v>
      </c>
      <c r="IP146" t="e">
        <f>AND(#REF!,"AAAAADvZ5fk=")</f>
        <v>#REF!</v>
      </c>
      <c r="IQ146" t="e">
        <f>AND(#REF!,"AAAAADvZ5fo=")</f>
        <v>#REF!</v>
      </c>
      <c r="IR146" t="e">
        <f>AND(#REF!,"AAAAADvZ5fs=")</f>
        <v>#REF!</v>
      </c>
      <c r="IS146" t="e">
        <f>AND(#REF!,"AAAAADvZ5fw=")</f>
        <v>#REF!</v>
      </c>
      <c r="IT146" t="e">
        <f>AND(#REF!,"AAAAADvZ5f0=")</f>
        <v>#REF!</v>
      </c>
      <c r="IU146" t="e">
        <f>AND(#REF!,"AAAAADvZ5f4=")</f>
        <v>#REF!</v>
      </c>
      <c r="IV146" t="e">
        <f>AND(#REF!,"AAAAADvZ5f8=")</f>
        <v>#REF!</v>
      </c>
    </row>
    <row r="147" spans="1:256" x14ac:dyDescent="0.25">
      <c r="A147" t="e">
        <f>AND(#REF!,"AAAAAH/c7wA=")</f>
        <v>#REF!</v>
      </c>
      <c r="B147" t="e">
        <f>AND(#REF!,"AAAAAH/c7wE=")</f>
        <v>#REF!</v>
      </c>
      <c r="C147" t="e">
        <f>AND(#REF!,"AAAAAH/c7wI=")</f>
        <v>#REF!</v>
      </c>
      <c r="D147" t="e">
        <f>AND(#REF!,"AAAAAH/c7wM=")</f>
        <v>#REF!</v>
      </c>
      <c r="E147" t="e">
        <f>AND(#REF!,"AAAAAH/c7wQ=")</f>
        <v>#REF!</v>
      </c>
      <c r="F147" t="e">
        <f>AND(#REF!,"AAAAAH/c7wU=")</f>
        <v>#REF!</v>
      </c>
      <c r="G147" t="e">
        <f>AND(#REF!,"AAAAAH/c7wY=")</f>
        <v>#REF!</v>
      </c>
      <c r="H147" t="e">
        <f>AND(#REF!,"AAAAAH/c7wc=")</f>
        <v>#REF!</v>
      </c>
      <c r="I147" t="e">
        <f>AND(#REF!,"AAAAAH/c7wg=")</f>
        <v>#REF!</v>
      </c>
      <c r="J147" t="e">
        <f>IF(#REF!,"AAAAAH/c7wk=",0)</f>
        <v>#REF!</v>
      </c>
      <c r="K147" t="e">
        <f>AND(#REF!,"AAAAAH/c7wo=")</f>
        <v>#REF!</v>
      </c>
      <c r="L147" t="e">
        <f>AND(#REF!,"AAAAAH/c7ws=")</f>
        <v>#REF!</v>
      </c>
      <c r="M147" t="e">
        <f>AND(#REF!,"AAAAAH/c7ww=")</f>
        <v>#REF!</v>
      </c>
      <c r="N147" t="e">
        <f>AND(#REF!,"AAAAAH/c7w0=")</f>
        <v>#REF!</v>
      </c>
      <c r="O147" t="e">
        <f>AND(#REF!,"AAAAAH/c7w4=")</f>
        <v>#REF!</v>
      </c>
      <c r="P147" t="e">
        <f>AND(#REF!,"AAAAAH/c7w8=")</f>
        <v>#REF!</v>
      </c>
      <c r="Q147" t="e">
        <f>AND(#REF!,"AAAAAH/c7xA=")</f>
        <v>#REF!</v>
      </c>
      <c r="R147" t="e">
        <f>AND(#REF!,"AAAAAH/c7xE=")</f>
        <v>#REF!</v>
      </c>
      <c r="S147" t="e">
        <f>AND(#REF!,"AAAAAH/c7xI=")</f>
        <v>#REF!</v>
      </c>
      <c r="T147" t="e">
        <f>AND(#REF!,"AAAAAH/c7xM=")</f>
        <v>#REF!</v>
      </c>
      <c r="U147" t="e">
        <f>AND(#REF!,"AAAAAH/c7xQ=")</f>
        <v>#REF!</v>
      </c>
      <c r="V147" t="e">
        <f>AND(#REF!,"AAAAAH/c7xU=")</f>
        <v>#REF!</v>
      </c>
      <c r="W147" t="e">
        <f>AND(#REF!,"AAAAAH/c7xY=")</f>
        <v>#REF!</v>
      </c>
      <c r="X147" t="e">
        <f>AND(#REF!,"AAAAAH/c7xc=")</f>
        <v>#REF!</v>
      </c>
      <c r="Y147" t="e">
        <f>AND(#REF!,"AAAAAH/c7xg=")</f>
        <v>#REF!</v>
      </c>
      <c r="Z147" t="e">
        <f>AND(#REF!,"AAAAAH/c7xk=")</f>
        <v>#REF!</v>
      </c>
      <c r="AA147" t="e">
        <f>AND(#REF!,"AAAAAH/c7xo=")</f>
        <v>#REF!</v>
      </c>
      <c r="AB147" t="e">
        <f>AND(#REF!,"AAAAAH/c7xs=")</f>
        <v>#REF!</v>
      </c>
      <c r="AC147" t="e">
        <f>AND(#REF!,"AAAAAH/c7xw=")</f>
        <v>#REF!</v>
      </c>
      <c r="AD147" t="e">
        <f>AND(#REF!,"AAAAAH/c7x0=")</f>
        <v>#REF!</v>
      </c>
      <c r="AE147" t="e">
        <f>AND(#REF!,"AAAAAH/c7x4=")</f>
        <v>#REF!</v>
      </c>
      <c r="AF147" t="e">
        <f>IF(#REF!,"AAAAAH/c7x8=",0)</f>
        <v>#REF!</v>
      </c>
      <c r="AG147" t="e">
        <f>AND(#REF!,"AAAAAH/c7yA=")</f>
        <v>#REF!</v>
      </c>
      <c r="AH147" t="e">
        <f>AND(#REF!,"AAAAAH/c7yE=")</f>
        <v>#REF!</v>
      </c>
      <c r="AI147" t="e">
        <f>AND(#REF!,"AAAAAH/c7yI=")</f>
        <v>#REF!</v>
      </c>
      <c r="AJ147" t="e">
        <f>AND(#REF!,"AAAAAH/c7yM=")</f>
        <v>#REF!</v>
      </c>
      <c r="AK147" t="e">
        <f>AND(#REF!,"AAAAAH/c7yQ=")</f>
        <v>#REF!</v>
      </c>
      <c r="AL147" t="e">
        <f>AND(#REF!,"AAAAAH/c7yU=")</f>
        <v>#REF!</v>
      </c>
      <c r="AM147" t="e">
        <f>AND(#REF!,"AAAAAH/c7yY=")</f>
        <v>#REF!</v>
      </c>
      <c r="AN147" t="e">
        <f>AND(#REF!,"AAAAAH/c7yc=")</f>
        <v>#REF!</v>
      </c>
      <c r="AO147" t="e">
        <f>AND(#REF!,"AAAAAH/c7yg=")</f>
        <v>#REF!</v>
      </c>
      <c r="AP147" t="e">
        <f>AND(#REF!,"AAAAAH/c7yk=")</f>
        <v>#REF!</v>
      </c>
      <c r="AQ147" t="e">
        <f>AND(#REF!,"AAAAAH/c7yo=")</f>
        <v>#REF!</v>
      </c>
      <c r="AR147" t="e">
        <f>AND(#REF!,"AAAAAH/c7ys=")</f>
        <v>#REF!</v>
      </c>
      <c r="AS147" t="e">
        <f>AND(#REF!,"AAAAAH/c7yw=")</f>
        <v>#REF!</v>
      </c>
      <c r="AT147" t="e">
        <f>AND(#REF!,"AAAAAH/c7y0=")</f>
        <v>#REF!</v>
      </c>
      <c r="AU147" t="e">
        <f>AND(#REF!,"AAAAAH/c7y4=")</f>
        <v>#REF!</v>
      </c>
      <c r="AV147" t="e">
        <f>AND(#REF!,"AAAAAH/c7y8=")</f>
        <v>#REF!</v>
      </c>
      <c r="AW147" t="e">
        <f>AND(#REF!,"AAAAAH/c7zA=")</f>
        <v>#REF!</v>
      </c>
      <c r="AX147" t="e">
        <f>AND(#REF!,"AAAAAH/c7zE=")</f>
        <v>#REF!</v>
      </c>
      <c r="AY147" t="e">
        <f>AND(#REF!,"AAAAAH/c7zI=")</f>
        <v>#REF!</v>
      </c>
      <c r="AZ147" t="e">
        <f>AND(#REF!,"AAAAAH/c7zM=")</f>
        <v>#REF!</v>
      </c>
      <c r="BA147" t="e">
        <f>AND(#REF!,"AAAAAH/c7zQ=")</f>
        <v>#REF!</v>
      </c>
      <c r="BB147" t="e">
        <f>IF(#REF!,"AAAAAH/c7zU=",0)</f>
        <v>#REF!</v>
      </c>
      <c r="BC147" t="e">
        <f>AND(#REF!,"AAAAAH/c7zY=")</f>
        <v>#REF!</v>
      </c>
      <c r="BD147" t="e">
        <f>AND(#REF!,"AAAAAH/c7zc=")</f>
        <v>#REF!</v>
      </c>
      <c r="BE147" t="e">
        <f>AND(#REF!,"AAAAAH/c7zg=")</f>
        <v>#REF!</v>
      </c>
      <c r="BF147" t="e">
        <f>AND(#REF!,"AAAAAH/c7zk=")</f>
        <v>#REF!</v>
      </c>
      <c r="BG147" t="e">
        <f>AND(#REF!,"AAAAAH/c7zo=")</f>
        <v>#REF!</v>
      </c>
      <c r="BH147" t="e">
        <f>AND(#REF!,"AAAAAH/c7zs=")</f>
        <v>#REF!</v>
      </c>
      <c r="BI147" t="e">
        <f>AND(#REF!,"AAAAAH/c7zw=")</f>
        <v>#REF!</v>
      </c>
      <c r="BJ147" t="e">
        <f>AND(#REF!,"AAAAAH/c7z0=")</f>
        <v>#REF!</v>
      </c>
      <c r="BK147" t="e">
        <f>AND(#REF!,"AAAAAH/c7z4=")</f>
        <v>#REF!</v>
      </c>
      <c r="BL147" t="e">
        <f>AND(#REF!,"AAAAAH/c7z8=")</f>
        <v>#REF!</v>
      </c>
      <c r="BM147" t="e">
        <f>AND(#REF!,"AAAAAH/c70A=")</f>
        <v>#REF!</v>
      </c>
      <c r="BN147" t="e">
        <f>AND(#REF!,"AAAAAH/c70E=")</f>
        <v>#REF!</v>
      </c>
      <c r="BO147" t="e">
        <f>AND(#REF!,"AAAAAH/c70I=")</f>
        <v>#REF!</v>
      </c>
      <c r="BP147" t="e">
        <f>AND(#REF!,"AAAAAH/c70M=")</f>
        <v>#REF!</v>
      </c>
      <c r="BQ147" t="e">
        <f>AND(#REF!,"AAAAAH/c70Q=")</f>
        <v>#REF!</v>
      </c>
      <c r="BR147" t="e">
        <f>AND(#REF!,"AAAAAH/c70U=")</f>
        <v>#REF!</v>
      </c>
      <c r="BS147" t="e">
        <f>AND(#REF!,"AAAAAH/c70Y=")</f>
        <v>#REF!</v>
      </c>
      <c r="BT147" t="e">
        <f>AND(#REF!,"AAAAAH/c70c=")</f>
        <v>#REF!</v>
      </c>
      <c r="BU147" t="e">
        <f>AND(#REF!,"AAAAAH/c70g=")</f>
        <v>#REF!</v>
      </c>
      <c r="BV147" t="e">
        <f>AND(#REF!,"AAAAAH/c70k=")</f>
        <v>#REF!</v>
      </c>
      <c r="BW147" t="e">
        <f>AND(#REF!,"AAAAAH/c70o=")</f>
        <v>#REF!</v>
      </c>
      <c r="BX147" t="e">
        <f>IF(#REF!,"AAAAAH/c70s=",0)</f>
        <v>#REF!</v>
      </c>
      <c r="BY147" t="e">
        <f>AND(#REF!,"AAAAAH/c70w=")</f>
        <v>#REF!</v>
      </c>
      <c r="BZ147" t="e">
        <f>AND(#REF!,"AAAAAH/c700=")</f>
        <v>#REF!</v>
      </c>
      <c r="CA147" t="e">
        <f>AND(#REF!,"AAAAAH/c704=")</f>
        <v>#REF!</v>
      </c>
      <c r="CB147" t="e">
        <f>AND(#REF!,"AAAAAH/c708=")</f>
        <v>#REF!</v>
      </c>
      <c r="CC147" t="e">
        <f>AND(#REF!,"AAAAAH/c71A=")</f>
        <v>#REF!</v>
      </c>
      <c r="CD147" t="e">
        <f>AND(#REF!,"AAAAAH/c71E=")</f>
        <v>#REF!</v>
      </c>
      <c r="CE147" t="e">
        <f>AND(#REF!,"AAAAAH/c71I=")</f>
        <v>#REF!</v>
      </c>
      <c r="CF147" t="e">
        <f>AND(#REF!,"AAAAAH/c71M=")</f>
        <v>#REF!</v>
      </c>
      <c r="CG147" t="e">
        <f>AND(#REF!,"AAAAAH/c71Q=")</f>
        <v>#REF!</v>
      </c>
      <c r="CH147" t="e">
        <f>AND(#REF!,"AAAAAH/c71U=")</f>
        <v>#REF!</v>
      </c>
      <c r="CI147" t="e">
        <f>AND(#REF!,"AAAAAH/c71Y=")</f>
        <v>#REF!</v>
      </c>
      <c r="CJ147" t="e">
        <f>AND(#REF!,"AAAAAH/c71c=")</f>
        <v>#REF!</v>
      </c>
      <c r="CK147" t="e">
        <f>AND(#REF!,"AAAAAH/c71g=")</f>
        <v>#REF!</v>
      </c>
      <c r="CL147" t="e">
        <f>AND(#REF!,"AAAAAH/c71k=")</f>
        <v>#REF!</v>
      </c>
      <c r="CM147" t="e">
        <f>AND(#REF!,"AAAAAH/c71o=")</f>
        <v>#REF!</v>
      </c>
      <c r="CN147" t="e">
        <f>AND(#REF!,"AAAAAH/c71s=")</f>
        <v>#REF!</v>
      </c>
      <c r="CO147" t="e">
        <f>AND(#REF!,"AAAAAH/c71w=")</f>
        <v>#REF!</v>
      </c>
      <c r="CP147" t="e">
        <f>AND(#REF!,"AAAAAH/c710=")</f>
        <v>#REF!</v>
      </c>
      <c r="CQ147" t="e">
        <f>AND(#REF!,"AAAAAH/c714=")</f>
        <v>#REF!</v>
      </c>
      <c r="CR147" t="e">
        <f>AND(#REF!,"AAAAAH/c718=")</f>
        <v>#REF!</v>
      </c>
      <c r="CS147" t="e">
        <f>AND(#REF!,"AAAAAH/c72A=")</f>
        <v>#REF!</v>
      </c>
      <c r="CT147" t="e">
        <f>IF(#REF!,"AAAAAH/c72E=",0)</f>
        <v>#REF!</v>
      </c>
      <c r="CU147" t="e">
        <f>AND(#REF!,"AAAAAH/c72I=")</f>
        <v>#REF!</v>
      </c>
      <c r="CV147" t="e">
        <f>AND(#REF!,"AAAAAH/c72M=")</f>
        <v>#REF!</v>
      </c>
      <c r="CW147" t="e">
        <f>AND(#REF!,"AAAAAH/c72Q=")</f>
        <v>#REF!</v>
      </c>
      <c r="CX147" t="e">
        <f>AND(#REF!,"AAAAAH/c72U=")</f>
        <v>#REF!</v>
      </c>
      <c r="CY147" t="e">
        <f>AND(#REF!,"AAAAAH/c72Y=")</f>
        <v>#REF!</v>
      </c>
      <c r="CZ147" t="e">
        <f>AND(#REF!,"AAAAAH/c72c=")</f>
        <v>#REF!</v>
      </c>
      <c r="DA147" t="e">
        <f>AND(#REF!,"AAAAAH/c72g=")</f>
        <v>#REF!</v>
      </c>
      <c r="DB147" t="e">
        <f>AND(#REF!,"AAAAAH/c72k=")</f>
        <v>#REF!</v>
      </c>
      <c r="DC147" t="e">
        <f>AND(#REF!,"AAAAAH/c72o=")</f>
        <v>#REF!</v>
      </c>
      <c r="DD147" t="e">
        <f>AND(#REF!,"AAAAAH/c72s=")</f>
        <v>#REF!</v>
      </c>
      <c r="DE147" t="e">
        <f>AND(#REF!,"AAAAAH/c72w=")</f>
        <v>#REF!</v>
      </c>
      <c r="DF147" t="e">
        <f>AND(#REF!,"AAAAAH/c720=")</f>
        <v>#REF!</v>
      </c>
      <c r="DG147" t="e">
        <f>AND(#REF!,"AAAAAH/c724=")</f>
        <v>#REF!</v>
      </c>
      <c r="DH147" t="e">
        <f>AND(#REF!,"AAAAAH/c728=")</f>
        <v>#REF!</v>
      </c>
      <c r="DI147" t="e">
        <f>AND(#REF!,"AAAAAH/c73A=")</f>
        <v>#REF!</v>
      </c>
      <c r="DJ147" t="e">
        <f>AND(#REF!,"AAAAAH/c73E=")</f>
        <v>#REF!</v>
      </c>
      <c r="DK147" t="e">
        <f>AND(#REF!,"AAAAAH/c73I=")</f>
        <v>#REF!</v>
      </c>
      <c r="DL147" t="e">
        <f>AND(#REF!,"AAAAAH/c73M=")</f>
        <v>#REF!</v>
      </c>
      <c r="DM147" t="e">
        <f>AND(#REF!,"AAAAAH/c73Q=")</f>
        <v>#REF!</v>
      </c>
      <c r="DN147" t="e">
        <f>AND(#REF!,"AAAAAH/c73U=")</f>
        <v>#REF!</v>
      </c>
      <c r="DO147" t="e">
        <f>AND(#REF!,"AAAAAH/c73Y=")</f>
        <v>#REF!</v>
      </c>
      <c r="DP147" t="e">
        <f>IF(#REF!,"AAAAAH/c73c=",0)</f>
        <v>#REF!</v>
      </c>
      <c r="DQ147" t="e">
        <f>AND(#REF!,"AAAAAH/c73g=")</f>
        <v>#REF!</v>
      </c>
      <c r="DR147" t="e">
        <f>AND(#REF!,"AAAAAH/c73k=")</f>
        <v>#REF!</v>
      </c>
      <c r="DS147" t="e">
        <f>AND(#REF!,"AAAAAH/c73o=")</f>
        <v>#REF!</v>
      </c>
      <c r="DT147" t="e">
        <f>AND(#REF!,"AAAAAH/c73s=")</f>
        <v>#REF!</v>
      </c>
      <c r="DU147" t="e">
        <f>AND(#REF!,"AAAAAH/c73w=")</f>
        <v>#REF!</v>
      </c>
      <c r="DV147" t="e">
        <f>AND(#REF!,"AAAAAH/c730=")</f>
        <v>#REF!</v>
      </c>
      <c r="DW147" t="e">
        <f>AND(#REF!,"AAAAAH/c734=")</f>
        <v>#REF!</v>
      </c>
      <c r="DX147" t="e">
        <f>AND(#REF!,"AAAAAH/c738=")</f>
        <v>#REF!</v>
      </c>
      <c r="DY147" t="e">
        <f>AND(#REF!,"AAAAAH/c74A=")</f>
        <v>#REF!</v>
      </c>
      <c r="DZ147" t="e">
        <f>AND(#REF!,"AAAAAH/c74E=")</f>
        <v>#REF!</v>
      </c>
      <c r="EA147" t="e">
        <f>AND(#REF!,"AAAAAH/c74I=")</f>
        <v>#REF!</v>
      </c>
      <c r="EB147" t="e">
        <f>AND(#REF!,"AAAAAH/c74M=")</f>
        <v>#REF!</v>
      </c>
      <c r="EC147" t="e">
        <f>AND(#REF!,"AAAAAH/c74Q=")</f>
        <v>#REF!</v>
      </c>
      <c r="ED147" t="e">
        <f>AND(#REF!,"AAAAAH/c74U=")</f>
        <v>#REF!</v>
      </c>
      <c r="EE147" t="e">
        <f>AND(#REF!,"AAAAAH/c74Y=")</f>
        <v>#REF!</v>
      </c>
      <c r="EF147" t="e">
        <f>AND(#REF!,"AAAAAH/c74c=")</f>
        <v>#REF!</v>
      </c>
      <c r="EG147" t="e">
        <f>AND(#REF!,"AAAAAH/c74g=")</f>
        <v>#REF!</v>
      </c>
      <c r="EH147" t="e">
        <f>AND(#REF!,"AAAAAH/c74k=")</f>
        <v>#REF!</v>
      </c>
      <c r="EI147" t="e">
        <f>AND(#REF!,"AAAAAH/c74o=")</f>
        <v>#REF!</v>
      </c>
      <c r="EJ147" t="e">
        <f>AND(#REF!,"AAAAAH/c74s=")</f>
        <v>#REF!</v>
      </c>
      <c r="EK147" t="e">
        <f>AND(#REF!,"AAAAAH/c74w=")</f>
        <v>#REF!</v>
      </c>
      <c r="EL147" t="e">
        <f>IF(#REF!,"AAAAAH/c740=",0)</f>
        <v>#REF!</v>
      </c>
      <c r="EM147" t="e">
        <f>AND(#REF!,"AAAAAH/c744=")</f>
        <v>#REF!</v>
      </c>
      <c r="EN147" t="e">
        <f>AND(#REF!,"AAAAAH/c748=")</f>
        <v>#REF!</v>
      </c>
      <c r="EO147" t="e">
        <f>AND(#REF!,"AAAAAH/c75A=")</f>
        <v>#REF!</v>
      </c>
      <c r="EP147" t="e">
        <f>AND(#REF!,"AAAAAH/c75E=")</f>
        <v>#REF!</v>
      </c>
      <c r="EQ147" t="e">
        <f>AND(#REF!,"AAAAAH/c75I=")</f>
        <v>#REF!</v>
      </c>
      <c r="ER147" t="e">
        <f>AND(#REF!,"AAAAAH/c75M=")</f>
        <v>#REF!</v>
      </c>
      <c r="ES147" t="e">
        <f>AND(#REF!,"AAAAAH/c75Q=")</f>
        <v>#REF!</v>
      </c>
      <c r="ET147" t="e">
        <f>AND(#REF!,"AAAAAH/c75U=")</f>
        <v>#REF!</v>
      </c>
      <c r="EU147" t="e">
        <f>AND(#REF!,"AAAAAH/c75Y=")</f>
        <v>#REF!</v>
      </c>
      <c r="EV147" t="e">
        <f>AND(#REF!,"AAAAAH/c75c=")</f>
        <v>#REF!</v>
      </c>
      <c r="EW147" t="e">
        <f>AND(#REF!,"AAAAAH/c75g=")</f>
        <v>#REF!</v>
      </c>
      <c r="EX147" t="e">
        <f>AND(#REF!,"AAAAAH/c75k=")</f>
        <v>#REF!</v>
      </c>
      <c r="EY147" t="e">
        <f>AND(#REF!,"AAAAAH/c75o=")</f>
        <v>#REF!</v>
      </c>
      <c r="EZ147" t="e">
        <f>AND(#REF!,"AAAAAH/c75s=")</f>
        <v>#REF!</v>
      </c>
      <c r="FA147" t="e">
        <f>AND(#REF!,"AAAAAH/c75w=")</f>
        <v>#REF!</v>
      </c>
      <c r="FB147" t="e">
        <f>AND(#REF!,"AAAAAH/c750=")</f>
        <v>#REF!</v>
      </c>
      <c r="FC147" t="e">
        <f>AND(#REF!,"AAAAAH/c754=")</f>
        <v>#REF!</v>
      </c>
      <c r="FD147" t="e">
        <f>AND(#REF!,"AAAAAH/c758=")</f>
        <v>#REF!</v>
      </c>
      <c r="FE147" t="e">
        <f>AND(#REF!,"AAAAAH/c76A=")</f>
        <v>#REF!</v>
      </c>
      <c r="FF147" t="e">
        <f>AND(#REF!,"AAAAAH/c76E=")</f>
        <v>#REF!</v>
      </c>
      <c r="FG147" t="e">
        <f>AND(#REF!,"AAAAAH/c76I=")</f>
        <v>#REF!</v>
      </c>
      <c r="FH147" t="e">
        <f>IF(#REF!,"AAAAAH/c76M=",0)</f>
        <v>#REF!</v>
      </c>
      <c r="FI147" t="e">
        <f>AND(#REF!,"AAAAAH/c76Q=")</f>
        <v>#REF!</v>
      </c>
      <c r="FJ147" t="e">
        <f>AND(#REF!,"AAAAAH/c76U=")</f>
        <v>#REF!</v>
      </c>
      <c r="FK147" t="e">
        <f>AND(#REF!,"AAAAAH/c76Y=")</f>
        <v>#REF!</v>
      </c>
      <c r="FL147" t="e">
        <f>AND(#REF!,"AAAAAH/c76c=")</f>
        <v>#REF!</v>
      </c>
      <c r="FM147" t="e">
        <f>AND(#REF!,"AAAAAH/c76g=")</f>
        <v>#REF!</v>
      </c>
      <c r="FN147" t="e">
        <f>AND(#REF!,"AAAAAH/c76k=")</f>
        <v>#REF!</v>
      </c>
      <c r="FO147" t="e">
        <f>AND(#REF!,"AAAAAH/c76o=")</f>
        <v>#REF!</v>
      </c>
      <c r="FP147" t="e">
        <f>AND(#REF!,"AAAAAH/c76s=")</f>
        <v>#REF!</v>
      </c>
      <c r="FQ147" t="e">
        <f>AND(#REF!,"AAAAAH/c76w=")</f>
        <v>#REF!</v>
      </c>
      <c r="FR147" t="e">
        <f>AND(#REF!,"AAAAAH/c760=")</f>
        <v>#REF!</v>
      </c>
      <c r="FS147" t="e">
        <f>AND(#REF!,"AAAAAH/c764=")</f>
        <v>#REF!</v>
      </c>
      <c r="FT147" t="e">
        <f>AND(#REF!,"AAAAAH/c768=")</f>
        <v>#REF!</v>
      </c>
      <c r="FU147" t="e">
        <f>AND(#REF!,"AAAAAH/c77A=")</f>
        <v>#REF!</v>
      </c>
      <c r="FV147" t="e">
        <f>AND(#REF!,"AAAAAH/c77E=")</f>
        <v>#REF!</v>
      </c>
      <c r="FW147" t="e">
        <f>AND(#REF!,"AAAAAH/c77I=")</f>
        <v>#REF!</v>
      </c>
      <c r="FX147" t="e">
        <f>AND(#REF!,"AAAAAH/c77M=")</f>
        <v>#REF!</v>
      </c>
      <c r="FY147" t="e">
        <f>AND(#REF!,"AAAAAH/c77Q=")</f>
        <v>#REF!</v>
      </c>
      <c r="FZ147" t="e">
        <f>AND(#REF!,"AAAAAH/c77U=")</f>
        <v>#REF!</v>
      </c>
      <c r="GA147" t="e">
        <f>AND(#REF!,"AAAAAH/c77Y=")</f>
        <v>#REF!</v>
      </c>
      <c r="GB147" t="e">
        <f>AND(#REF!,"AAAAAH/c77c=")</f>
        <v>#REF!</v>
      </c>
      <c r="GC147" t="e">
        <f>AND(#REF!,"AAAAAH/c77g=")</f>
        <v>#REF!</v>
      </c>
      <c r="GD147" t="e">
        <f>IF(#REF!,"AAAAAH/c77k=",0)</f>
        <v>#REF!</v>
      </c>
      <c r="GE147" t="e">
        <f>AND(#REF!,"AAAAAH/c77o=")</f>
        <v>#REF!</v>
      </c>
      <c r="GF147" t="e">
        <f>AND(#REF!,"AAAAAH/c77s=")</f>
        <v>#REF!</v>
      </c>
      <c r="GG147" t="e">
        <f>AND(#REF!,"AAAAAH/c77w=")</f>
        <v>#REF!</v>
      </c>
      <c r="GH147" t="e">
        <f>AND(#REF!,"AAAAAH/c770=")</f>
        <v>#REF!</v>
      </c>
      <c r="GI147" t="e">
        <f>AND(#REF!,"AAAAAH/c774=")</f>
        <v>#REF!</v>
      </c>
      <c r="GJ147" t="e">
        <f>AND(#REF!,"AAAAAH/c778=")</f>
        <v>#REF!</v>
      </c>
      <c r="GK147" t="e">
        <f>AND(#REF!,"AAAAAH/c78A=")</f>
        <v>#REF!</v>
      </c>
      <c r="GL147" t="e">
        <f>AND(#REF!,"AAAAAH/c78E=")</f>
        <v>#REF!</v>
      </c>
      <c r="GM147" t="e">
        <f>AND(#REF!,"AAAAAH/c78I=")</f>
        <v>#REF!</v>
      </c>
      <c r="GN147" t="e">
        <f>AND(#REF!,"AAAAAH/c78M=")</f>
        <v>#REF!</v>
      </c>
      <c r="GO147" t="e">
        <f>AND(#REF!,"AAAAAH/c78Q=")</f>
        <v>#REF!</v>
      </c>
      <c r="GP147" t="e">
        <f>AND(#REF!,"AAAAAH/c78U=")</f>
        <v>#REF!</v>
      </c>
      <c r="GQ147" t="e">
        <f>AND(#REF!,"AAAAAH/c78Y=")</f>
        <v>#REF!</v>
      </c>
      <c r="GR147" t="e">
        <f>AND(#REF!,"AAAAAH/c78c=")</f>
        <v>#REF!</v>
      </c>
      <c r="GS147" t="e">
        <f>AND(#REF!,"AAAAAH/c78g=")</f>
        <v>#REF!</v>
      </c>
      <c r="GT147" t="e">
        <f>AND(#REF!,"AAAAAH/c78k=")</f>
        <v>#REF!</v>
      </c>
      <c r="GU147" t="e">
        <f>AND(#REF!,"AAAAAH/c78o=")</f>
        <v>#REF!</v>
      </c>
      <c r="GV147" t="e">
        <f>AND(#REF!,"AAAAAH/c78s=")</f>
        <v>#REF!</v>
      </c>
      <c r="GW147" t="e">
        <f>AND(#REF!,"AAAAAH/c78w=")</f>
        <v>#REF!</v>
      </c>
      <c r="GX147" t="e">
        <f>AND(#REF!,"AAAAAH/c780=")</f>
        <v>#REF!</v>
      </c>
      <c r="GY147" t="e">
        <f>AND(#REF!,"AAAAAH/c784=")</f>
        <v>#REF!</v>
      </c>
      <c r="GZ147" t="e">
        <f>IF(#REF!,"AAAAAH/c788=",0)</f>
        <v>#REF!</v>
      </c>
      <c r="HA147" t="e">
        <f>AND(#REF!,"AAAAAH/c79A=")</f>
        <v>#REF!</v>
      </c>
      <c r="HB147" t="e">
        <f>AND(#REF!,"AAAAAH/c79E=")</f>
        <v>#REF!</v>
      </c>
      <c r="HC147" t="e">
        <f>AND(#REF!,"AAAAAH/c79I=")</f>
        <v>#REF!</v>
      </c>
      <c r="HD147" t="e">
        <f>AND(#REF!,"AAAAAH/c79M=")</f>
        <v>#REF!</v>
      </c>
      <c r="HE147" t="e">
        <f>AND(#REF!,"AAAAAH/c79Q=")</f>
        <v>#REF!</v>
      </c>
      <c r="HF147" t="e">
        <f>AND(#REF!,"AAAAAH/c79U=")</f>
        <v>#REF!</v>
      </c>
      <c r="HG147" t="e">
        <f>AND(#REF!,"AAAAAH/c79Y=")</f>
        <v>#REF!</v>
      </c>
      <c r="HH147" t="e">
        <f>AND(#REF!,"AAAAAH/c79c=")</f>
        <v>#REF!</v>
      </c>
      <c r="HI147" t="e">
        <f>AND(#REF!,"AAAAAH/c79g=")</f>
        <v>#REF!</v>
      </c>
      <c r="HJ147" t="e">
        <f>AND(#REF!,"AAAAAH/c79k=")</f>
        <v>#REF!</v>
      </c>
      <c r="HK147" t="e">
        <f>AND(#REF!,"AAAAAH/c79o=")</f>
        <v>#REF!</v>
      </c>
      <c r="HL147" t="e">
        <f>AND(#REF!,"AAAAAH/c79s=")</f>
        <v>#REF!</v>
      </c>
      <c r="HM147" t="e">
        <f>AND(#REF!,"AAAAAH/c79w=")</f>
        <v>#REF!</v>
      </c>
      <c r="HN147" t="e">
        <f>AND(#REF!,"AAAAAH/c790=")</f>
        <v>#REF!</v>
      </c>
      <c r="HO147" t="e">
        <f>AND(#REF!,"AAAAAH/c794=")</f>
        <v>#REF!</v>
      </c>
      <c r="HP147" t="e">
        <f>AND(#REF!,"AAAAAH/c798=")</f>
        <v>#REF!</v>
      </c>
      <c r="HQ147" t="e">
        <f>AND(#REF!,"AAAAAH/c7+A=")</f>
        <v>#REF!</v>
      </c>
      <c r="HR147" t="e">
        <f>AND(#REF!,"AAAAAH/c7+E=")</f>
        <v>#REF!</v>
      </c>
      <c r="HS147" t="e">
        <f>AND(#REF!,"AAAAAH/c7+I=")</f>
        <v>#REF!</v>
      </c>
      <c r="HT147" t="e">
        <f>AND(#REF!,"AAAAAH/c7+M=")</f>
        <v>#REF!</v>
      </c>
      <c r="HU147" t="e">
        <f>AND(#REF!,"AAAAAH/c7+Q=")</f>
        <v>#REF!</v>
      </c>
      <c r="HV147" t="e">
        <f>IF(#REF!,"AAAAAH/c7+U=",0)</f>
        <v>#REF!</v>
      </c>
      <c r="HW147" t="e">
        <f>AND(#REF!,"AAAAAH/c7+Y=")</f>
        <v>#REF!</v>
      </c>
      <c r="HX147" t="e">
        <f>AND(#REF!,"AAAAAH/c7+c=")</f>
        <v>#REF!</v>
      </c>
      <c r="HY147" t="e">
        <f>AND(#REF!,"AAAAAH/c7+g=")</f>
        <v>#REF!</v>
      </c>
      <c r="HZ147" t="e">
        <f>AND(#REF!,"AAAAAH/c7+k=")</f>
        <v>#REF!</v>
      </c>
      <c r="IA147" t="e">
        <f>AND(#REF!,"AAAAAH/c7+o=")</f>
        <v>#REF!</v>
      </c>
      <c r="IB147" t="e">
        <f>AND(#REF!,"AAAAAH/c7+s=")</f>
        <v>#REF!</v>
      </c>
      <c r="IC147" t="e">
        <f>AND(#REF!,"AAAAAH/c7+w=")</f>
        <v>#REF!</v>
      </c>
      <c r="ID147" t="e">
        <f>AND(#REF!,"AAAAAH/c7+0=")</f>
        <v>#REF!</v>
      </c>
      <c r="IE147" t="e">
        <f>AND(#REF!,"AAAAAH/c7+4=")</f>
        <v>#REF!</v>
      </c>
      <c r="IF147" t="e">
        <f>AND(#REF!,"AAAAAH/c7+8=")</f>
        <v>#REF!</v>
      </c>
      <c r="IG147" t="e">
        <f>AND(#REF!,"AAAAAH/c7/A=")</f>
        <v>#REF!</v>
      </c>
      <c r="IH147" t="e">
        <f>AND(#REF!,"AAAAAH/c7/E=")</f>
        <v>#REF!</v>
      </c>
      <c r="II147" t="e">
        <f>AND(#REF!,"AAAAAH/c7/I=")</f>
        <v>#REF!</v>
      </c>
      <c r="IJ147" t="e">
        <f>AND(#REF!,"AAAAAH/c7/M=")</f>
        <v>#REF!</v>
      </c>
      <c r="IK147" t="e">
        <f>AND(#REF!,"AAAAAH/c7/Q=")</f>
        <v>#REF!</v>
      </c>
      <c r="IL147" t="e">
        <f>AND(#REF!,"AAAAAH/c7/U=")</f>
        <v>#REF!</v>
      </c>
      <c r="IM147" t="e">
        <f>AND(#REF!,"AAAAAH/c7/Y=")</f>
        <v>#REF!</v>
      </c>
      <c r="IN147" t="e">
        <f>AND(#REF!,"AAAAAH/c7/c=")</f>
        <v>#REF!</v>
      </c>
      <c r="IO147" t="e">
        <f>AND(#REF!,"AAAAAH/c7/g=")</f>
        <v>#REF!</v>
      </c>
      <c r="IP147" t="e">
        <f>AND(#REF!,"AAAAAH/c7/k=")</f>
        <v>#REF!</v>
      </c>
      <c r="IQ147" t="e">
        <f>AND(#REF!,"AAAAAH/c7/o=")</f>
        <v>#REF!</v>
      </c>
      <c r="IR147" t="e">
        <f>IF(#REF!,"AAAAAH/c7/s=",0)</f>
        <v>#REF!</v>
      </c>
      <c r="IS147" t="e">
        <f>AND(#REF!,"AAAAAH/c7/w=")</f>
        <v>#REF!</v>
      </c>
      <c r="IT147" t="e">
        <f>AND(#REF!,"AAAAAH/c7/0=")</f>
        <v>#REF!</v>
      </c>
      <c r="IU147" t="e">
        <f>AND(#REF!,"AAAAAH/c7/4=")</f>
        <v>#REF!</v>
      </c>
      <c r="IV147" t="e">
        <f>AND(#REF!,"AAAAAH/c7/8=")</f>
        <v>#REF!</v>
      </c>
    </row>
    <row r="148" spans="1:256" x14ac:dyDescent="0.25">
      <c r="A148" t="e">
        <f>AND(#REF!,"AAAAAFM6/gA=")</f>
        <v>#REF!</v>
      </c>
      <c r="B148" t="e">
        <f>AND(#REF!,"AAAAAFM6/gE=")</f>
        <v>#REF!</v>
      </c>
      <c r="C148" t="e">
        <f>AND(#REF!,"AAAAAFM6/gI=")</f>
        <v>#REF!</v>
      </c>
      <c r="D148" t="e">
        <f>AND(#REF!,"AAAAAFM6/gM=")</f>
        <v>#REF!</v>
      </c>
      <c r="E148" t="e">
        <f>AND(#REF!,"AAAAAFM6/gQ=")</f>
        <v>#REF!</v>
      </c>
      <c r="F148" t="e">
        <f>AND(#REF!,"AAAAAFM6/gU=")</f>
        <v>#REF!</v>
      </c>
      <c r="G148" t="e">
        <f>AND(#REF!,"AAAAAFM6/gY=")</f>
        <v>#REF!</v>
      </c>
      <c r="H148" t="e">
        <f>AND(#REF!,"AAAAAFM6/gc=")</f>
        <v>#REF!</v>
      </c>
      <c r="I148" t="e">
        <f>AND(#REF!,"AAAAAFM6/gg=")</f>
        <v>#REF!</v>
      </c>
      <c r="J148" t="e">
        <f>AND(#REF!,"AAAAAFM6/gk=")</f>
        <v>#REF!</v>
      </c>
      <c r="K148" t="e">
        <f>AND(#REF!,"AAAAAFM6/go=")</f>
        <v>#REF!</v>
      </c>
      <c r="L148" t="e">
        <f>AND(#REF!,"AAAAAFM6/gs=")</f>
        <v>#REF!</v>
      </c>
      <c r="M148" t="e">
        <f>AND(#REF!,"AAAAAFM6/gw=")</f>
        <v>#REF!</v>
      </c>
      <c r="N148" t="e">
        <f>AND(#REF!,"AAAAAFM6/g0=")</f>
        <v>#REF!</v>
      </c>
      <c r="O148" t="e">
        <f>AND(#REF!,"AAAAAFM6/g4=")</f>
        <v>#REF!</v>
      </c>
      <c r="P148" t="e">
        <f>AND(#REF!,"AAAAAFM6/g8=")</f>
        <v>#REF!</v>
      </c>
      <c r="Q148" t="e">
        <f>AND(#REF!,"AAAAAFM6/hA=")</f>
        <v>#REF!</v>
      </c>
      <c r="R148" t="e">
        <f>IF(#REF!,"AAAAAFM6/hE=",0)</f>
        <v>#REF!</v>
      </c>
      <c r="S148" t="e">
        <f>AND(#REF!,"AAAAAFM6/hI=")</f>
        <v>#REF!</v>
      </c>
      <c r="T148" t="e">
        <f>AND(#REF!,"AAAAAFM6/hM=")</f>
        <v>#REF!</v>
      </c>
      <c r="U148" t="e">
        <f>AND(#REF!,"AAAAAFM6/hQ=")</f>
        <v>#REF!</v>
      </c>
      <c r="V148" t="e">
        <f>AND(#REF!,"AAAAAFM6/hU=")</f>
        <v>#REF!</v>
      </c>
      <c r="W148" t="e">
        <f>AND(#REF!,"AAAAAFM6/hY=")</f>
        <v>#REF!</v>
      </c>
      <c r="X148" t="e">
        <f>AND(#REF!,"AAAAAFM6/hc=")</f>
        <v>#REF!</v>
      </c>
      <c r="Y148" t="e">
        <f>AND(#REF!,"AAAAAFM6/hg=")</f>
        <v>#REF!</v>
      </c>
      <c r="Z148" t="e">
        <f>AND(#REF!,"AAAAAFM6/hk=")</f>
        <v>#REF!</v>
      </c>
      <c r="AA148" t="e">
        <f>AND(#REF!,"AAAAAFM6/ho=")</f>
        <v>#REF!</v>
      </c>
      <c r="AB148" t="e">
        <f>AND(#REF!,"AAAAAFM6/hs=")</f>
        <v>#REF!</v>
      </c>
      <c r="AC148" t="e">
        <f>AND(#REF!,"AAAAAFM6/hw=")</f>
        <v>#REF!</v>
      </c>
      <c r="AD148" t="e">
        <f>AND(#REF!,"AAAAAFM6/h0=")</f>
        <v>#REF!</v>
      </c>
      <c r="AE148" t="e">
        <f>AND(#REF!,"AAAAAFM6/h4=")</f>
        <v>#REF!</v>
      </c>
      <c r="AF148" t="e">
        <f>AND(#REF!,"AAAAAFM6/h8=")</f>
        <v>#REF!</v>
      </c>
      <c r="AG148" t="e">
        <f>AND(#REF!,"AAAAAFM6/iA=")</f>
        <v>#REF!</v>
      </c>
      <c r="AH148" t="e">
        <f>AND(#REF!,"AAAAAFM6/iE=")</f>
        <v>#REF!</v>
      </c>
      <c r="AI148" t="e">
        <f>AND(#REF!,"AAAAAFM6/iI=")</f>
        <v>#REF!</v>
      </c>
      <c r="AJ148" t="e">
        <f>AND(#REF!,"AAAAAFM6/iM=")</f>
        <v>#REF!</v>
      </c>
      <c r="AK148" t="e">
        <f>AND(#REF!,"AAAAAFM6/iQ=")</f>
        <v>#REF!</v>
      </c>
      <c r="AL148" t="e">
        <f>AND(#REF!,"AAAAAFM6/iU=")</f>
        <v>#REF!</v>
      </c>
      <c r="AM148" t="e">
        <f>AND(#REF!,"AAAAAFM6/iY=")</f>
        <v>#REF!</v>
      </c>
      <c r="AN148" t="e">
        <f>IF(#REF!,"AAAAAFM6/ic=",0)</f>
        <v>#REF!</v>
      </c>
      <c r="AO148" t="e">
        <f>AND(#REF!,"AAAAAFM6/ig=")</f>
        <v>#REF!</v>
      </c>
      <c r="AP148" t="e">
        <f>AND(#REF!,"AAAAAFM6/ik=")</f>
        <v>#REF!</v>
      </c>
      <c r="AQ148" t="e">
        <f>AND(#REF!,"AAAAAFM6/io=")</f>
        <v>#REF!</v>
      </c>
      <c r="AR148" t="e">
        <f>AND(#REF!,"AAAAAFM6/is=")</f>
        <v>#REF!</v>
      </c>
      <c r="AS148" t="e">
        <f>AND(#REF!,"AAAAAFM6/iw=")</f>
        <v>#REF!</v>
      </c>
      <c r="AT148" t="e">
        <f>AND(#REF!,"AAAAAFM6/i0=")</f>
        <v>#REF!</v>
      </c>
      <c r="AU148" t="e">
        <f>AND(#REF!,"AAAAAFM6/i4=")</f>
        <v>#REF!</v>
      </c>
      <c r="AV148" t="e">
        <f>AND(#REF!,"AAAAAFM6/i8=")</f>
        <v>#REF!</v>
      </c>
      <c r="AW148" t="e">
        <f>AND(#REF!,"AAAAAFM6/jA=")</f>
        <v>#REF!</v>
      </c>
      <c r="AX148" t="e">
        <f>AND(#REF!,"AAAAAFM6/jE=")</f>
        <v>#REF!</v>
      </c>
      <c r="AY148" t="e">
        <f>AND(#REF!,"AAAAAFM6/jI=")</f>
        <v>#REF!</v>
      </c>
      <c r="AZ148" t="e">
        <f>AND(#REF!,"AAAAAFM6/jM=")</f>
        <v>#REF!</v>
      </c>
      <c r="BA148" t="e">
        <f>AND(#REF!,"AAAAAFM6/jQ=")</f>
        <v>#REF!</v>
      </c>
      <c r="BB148" t="e">
        <f>AND(#REF!,"AAAAAFM6/jU=")</f>
        <v>#REF!</v>
      </c>
      <c r="BC148" t="e">
        <f>AND(#REF!,"AAAAAFM6/jY=")</f>
        <v>#REF!</v>
      </c>
      <c r="BD148" t="e">
        <f>AND(#REF!,"AAAAAFM6/jc=")</f>
        <v>#REF!</v>
      </c>
      <c r="BE148" t="e">
        <f>AND(#REF!,"AAAAAFM6/jg=")</f>
        <v>#REF!</v>
      </c>
      <c r="BF148" t="e">
        <f>AND(#REF!,"AAAAAFM6/jk=")</f>
        <v>#REF!</v>
      </c>
      <c r="BG148" t="e">
        <f>AND(#REF!,"AAAAAFM6/jo=")</f>
        <v>#REF!</v>
      </c>
      <c r="BH148" t="e">
        <f>AND(#REF!,"AAAAAFM6/js=")</f>
        <v>#REF!</v>
      </c>
      <c r="BI148" t="e">
        <f>AND(#REF!,"AAAAAFM6/jw=")</f>
        <v>#REF!</v>
      </c>
      <c r="BJ148" t="e">
        <f>IF(#REF!,"AAAAAFM6/j0=",0)</f>
        <v>#REF!</v>
      </c>
      <c r="BK148" t="e">
        <f>AND(#REF!,"AAAAAFM6/j4=")</f>
        <v>#REF!</v>
      </c>
      <c r="BL148" t="e">
        <f>AND(#REF!,"AAAAAFM6/j8=")</f>
        <v>#REF!</v>
      </c>
      <c r="BM148" t="e">
        <f>AND(#REF!,"AAAAAFM6/kA=")</f>
        <v>#REF!</v>
      </c>
      <c r="BN148" t="e">
        <f>AND(#REF!,"AAAAAFM6/kE=")</f>
        <v>#REF!</v>
      </c>
      <c r="BO148" t="e">
        <f>AND(#REF!,"AAAAAFM6/kI=")</f>
        <v>#REF!</v>
      </c>
      <c r="BP148" t="e">
        <f>AND(#REF!,"AAAAAFM6/kM=")</f>
        <v>#REF!</v>
      </c>
      <c r="BQ148" t="e">
        <f>AND(#REF!,"AAAAAFM6/kQ=")</f>
        <v>#REF!</v>
      </c>
      <c r="BR148" t="e">
        <f>AND(#REF!,"AAAAAFM6/kU=")</f>
        <v>#REF!</v>
      </c>
      <c r="BS148" t="e">
        <f>AND(#REF!,"AAAAAFM6/kY=")</f>
        <v>#REF!</v>
      </c>
      <c r="BT148" t="e">
        <f>AND(#REF!,"AAAAAFM6/kc=")</f>
        <v>#REF!</v>
      </c>
      <c r="BU148" t="e">
        <f>AND(#REF!,"AAAAAFM6/kg=")</f>
        <v>#REF!</v>
      </c>
      <c r="BV148" t="e">
        <f>AND(#REF!,"AAAAAFM6/kk=")</f>
        <v>#REF!</v>
      </c>
      <c r="BW148" t="e">
        <f>AND(#REF!,"AAAAAFM6/ko=")</f>
        <v>#REF!</v>
      </c>
      <c r="BX148" t="e">
        <f>AND(#REF!,"AAAAAFM6/ks=")</f>
        <v>#REF!</v>
      </c>
      <c r="BY148" t="e">
        <f>AND(#REF!,"AAAAAFM6/kw=")</f>
        <v>#REF!</v>
      </c>
      <c r="BZ148" t="e">
        <f>AND(#REF!,"AAAAAFM6/k0=")</f>
        <v>#REF!</v>
      </c>
      <c r="CA148" t="e">
        <f>AND(#REF!,"AAAAAFM6/k4=")</f>
        <v>#REF!</v>
      </c>
      <c r="CB148" t="e">
        <f>AND(#REF!,"AAAAAFM6/k8=")</f>
        <v>#REF!</v>
      </c>
      <c r="CC148" t="e">
        <f>AND(#REF!,"AAAAAFM6/lA=")</f>
        <v>#REF!</v>
      </c>
      <c r="CD148" t="e">
        <f>AND(#REF!,"AAAAAFM6/lE=")</f>
        <v>#REF!</v>
      </c>
      <c r="CE148" t="e">
        <f>AND(#REF!,"AAAAAFM6/lI=")</f>
        <v>#REF!</v>
      </c>
      <c r="CF148" t="e">
        <f>IF(#REF!,"AAAAAFM6/lM=",0)</f>
        <v>#REF!</v>
      </c>
      <c r="CG148" t="e">
        <f>AND(#REF!,"AAAAAFM6/lQ=")</f>
        <v>#REF!</v>
      </c>
      <c r="CH148" t="e">
        <f>AND(#REF!,"AAAAAFM6/lU=")</f>
        <v>#REF!</v>
      </c>
      <c r="CI148" t="e">
        <f>AND(#REF!,"AAAAAFM6/lY=")</f>
        <v>#REF!</v>
      </c>
      <c r="CJ148" t="e">
        <f>AND(#REF!,"AAAAAFM6/lc=")</f>
        <v>#REF!</v>
      </c>
      <c r="CK148" t="e">
        <f>AND(#REF!,"AAAAAFM6/lg=")</f>
        <v>#REF!</v>
      </c>
      <c r="CL148" t="e">
        <f>AND(#REF!,"AAAAAFM6/lk=")</f>
        <v>#REF!</v>
      </c>
      <c r="CM148" t="e">
        <f>AND(#REF!,"AAAAAFM6/lo=")</f>
        <v>#REF!</v>
      </c>
      <c r="CN148" t="e">
        <f>AND(#REF!,"AAAAAFM6/ls=")</f>
        <v>#REF!</v>
      </c>
      <c r="CO148" t="e">
        <f>AND(#REF!,"AAAAAFM6/lw=")</f>
        <v>#REF!</v>
      </c>
      <c r="CP148" t="e">
        <f>AND(#REF!,"AAAAAFM6/l0=")</f>
        <v>#REF!</v>
      </c>
      <c r="CQ148" t="e">
        <f>AND(#REF!,"AAAAAFM6/l4=")</f>
        <v>#REF!</v>
      </c>
      <c r="CR148" t="e">
        <f>AND(#REF!,"AAAAAFM6/l8=")</f>
        <v>#REF!</v>
      </c>
      <c r="CS148" t="e">
        <f>AND(#REF!,"AAAAAFM6/mA=")</f>
        <v>#REF!</v>
      </c>
      <c r="CT148" t="e">
        <f>AND(#REF!,"AAAAAFM6/mE=")</f>
        <v>#REF!</v>
      </c>
      <c r="CU148" t="e">
        <f>AND(#REF!,"AAAAAFM6/mI=")</f>
        <v>#REF!</v>
      </c>
      <c r="CV148" t="e">
        <f>AND(#REF!,"AAAAAFM6/mM=")</f>
        <v>#REF!</v>
      </c>
      <c r="CW148" t="e">
        <f>AND(#REF!,"AAAAAFM6/mQ=")</f>
        <v>#REF!</v>
      </c>
      <c r="CX148" t="e">
        <f>AND(#REF!,"AAAAAFM6/mU=")</f>
        <v>#REF!</v>
      </c>
      <c r="CY148" t="e">
        <f>AND(#REF!,"AAAAAFM6/mY=")</f>
        <v>#REF!</v>
      </c>
      <c r="CZ148" t="e">
        <f>AND(#REF!,"AAAAAFM6/mc=")</f>
        <v>#REF!</v>
      </c>
      <c r="DA148" t="e">
        <f>AND(#REF!,"AAAAAFM6/mg=")</f>
        <v>#REF!</v>
      </c>
      <c r="DB148" t="e">
        <f>IF(#REF!,"AAAAAFM6/mk=",0)</f>
        <v>#REF!</v>
      </c>
      <c r="DC148" t="e">
        <f>AND(#REF!,"AAAAAFM6/mo=")</f>
        <v>#REF!</v>
      </c>
      <c r="DD148" t="e">
        <f>AND(#REF!,"AAAAAFM6/ms=")</f>
        <v>#REF!</v>
      </c>
      <c r="DE148" t="e">
        <f>AND(#REF!,"AAAAAFM6/mw=")</f>
        <v>#REF!</v>
      </c>
      <c r="DF148" t="e">
        <f>AND(#REF!,"AAAAAFM6/m0=")</f>
        <v>#REF!</v>
      </c>
      <c r="DG148" t="e">
        <f>AND(#REF!,"AAAAAFM6/m4=")</f>
        <v>#REF!</v>
      </c>
      <c r="DH148" t="e">
        <f>AND(#REF!,"AAAAAFM6/m8=")</f>
        <v>#REF!</v>
      </c>
      <c r="DI148" t="e">
        <f>AND(#REF!,"AAAAAFM6/nA=")</f>
        <v>#REF!</v>
      </c>
      <c r="DJ148" t="e">
        <f>AND(#REF!,"AAAAAFM6/nE=")</f>
        <v>#REF!</v>
      </c>
      <c r="DK148" t="e">
        <f>AND(#REF!,"AAAAAFM6/nI=")</f>
        <v>#REF!</v>
      </c>
      <c r="DL148" t="e">
        <f>AND(#REF!,"AAAAAFM6/nM=")</f>
        <v>#REF!</v>
      </c>
      <c r="DM148" t="e">
        <f>AND(#REF!,"AAAAAFM6/nQ=")</f>
        <v>#REF!</v>
      </c>
      <c r="DN148" t="e">
        <f>AND(#REF!,"AAAAAFM6/nU=")</f>
        <v>#REF!</v>
      </c>
      <c r="DO148" t="e">
        <f>AND(#REF!,"AAAAAFM6/nY=")</f>
        <v>#REF!</v>
      </c>
      <c r="DP148" t="e">
        <f>AND(#REF!,"AAAAAFM6/nc=")</f>
        <v>#REF!</v>
      </c>
      <c r="DQ148" t="e">
        <f>AND(#REF!,"AAAAAFM6/ng=")</f>
        <v>#REF!</v>
      </c>
      <c r="DR148" t="e">
        <f>AND(#REF!,"AAAAAFM6/nk=")</f>
        <v>#REF!</v>
      </c>
      <c r="DS148" t="e">
        <f>AND(#REF!,"AAAAAFM6/no=")</f>
        <v>#REF!</v>
      </c>
      <c r="DT148" t="e">
        <f>AND(#REF!,"AAAAAFM6/ns=")</f>
        <v>#REF!</v>
      </c>
      <c r="DU148" t="e">
        <f>AND(#REF!,"AAAAAFM6/nw=")</f>
        <v>#REF!</v>
      </c>
      <c r="DV148" t="e">
        <f>AND(#REF!,"AAAAAFM6/n0=")</f>
        <v>#REF!</v>
      </c>
      <c r="DW148" t="e">
        <f>AND(#REF!,"AAAAAFM6/n4=")</f>
        <v>#REF!</v>
      </c>
      <c r="DX148" t="e">
        <f>IF(#REF!,"AAAAAFM6/n8=",0)</f>
        <v>#REF!</v>
      </c>
      <c r="DY148" t="e">
        <f>AND(#REF!,"AAAAAFM6/oA=")</f>
        <v>#REF!</v>
      </c>
      <c r="DZ148" t="e">
        <f>AND(#REF!,"AAAAAFM6/oE=")</f>
        <v>#REF!</v>
      </c>
      <c r="EA148" t="e">
        <f>AND(#REF!,"AAAAAFM6/oI=")</f>
        <v>#REF!</v>
      </c>
      <c r="EB148" t="e">
        <f>AND(#REF!,"AAAAAFM6/oM=")</f>
        <v>#REF!</v>
      </c>
      <c r="EC148" t="e">
        <f>AND(#REF!,"AAAAAFM6/oQ=")</f>
        <v>#REF!</v>
      </c>
      <c r="ED148" t="e">
        <f>AND(#REF!,"AAAAAFM6/oU=")</f>
        <v>#REF!</v>
      </c>
      <c r="EE148" t="e">
        <f>AND(#REF!,"AAAAAFM6/oY=")</f>
        <v>#REF!</v>
      </c>
      <c r="EF148" t="e">
        <f>AND(#REF!,"AAAAAFM6/oc=")</f>
        <v>#REF!</v>
      </c>
      <c r="EG148" t="e">
        <f>AND(#REF!,"AAAAAFM6/og=")</f>
        <v>#REF!</v>
      </c>
      <c r="EH148" t="e">
        <f>AND(#REF!,"AAAAAFM6/ok=")</f>
        <v>#REF!</v>
      </c>
      <c r="EI148" t="e">
        <f>AND(#REF!,"AAAAAFM6/oo=")</f>
        <v>#REF!</v>
      </c>
      <c r="EJ148" t="e">
        <f>AND(#REF!,"AAAAAFM6/os=")</f>
        <v>#REF!</v>
      </c>
      <c r="EK148" t="e">
        <f>AND(#REF!,"AAAAAFM6/ow=")</f>
        <v>#REF!</v>
      </c>
      <c r="EL148" t="e">
        <f>AND(#REF!,"AAAAAFM6/o0=")</f>
        <v>#REF!</v>
      </c>
      <c r="EM148" t="e">
        <f>AND(#REF!,"AAAAAFM6/o4=")</f>
        <v>#REF!</v>
      </c>
      <c r="EN148" t="e">
        <f>AND(#REF!,"AAAAAFM6/o8=")</f>
        <v>#REF!</v>
      </c>
      <c r="EO148" t="e">
        <f>AND(#REF!,"AAAAAFM6/pA=")</f>
        <v>#REF!</v>
      </c>
      <c r="EP148" t="e">
        <f>AND(#REF!,"AAAAAFM6/pE=")</f>
        <v>#REF!</v>
      </c>
      <c r="EQ148" t="e">
        <f>AND(#REF!,"AAAAAFM6/pI=")</f>
        <v>#REF!</v>
      </c>
      <c r="ER148" t="e">
        <f>AND(#REF!,"AAAAAFM6/pM=")</f>
        <v>#REF!</v>
      </c>
      <c r="ES148" t="e">
        <f>AND(#REF!,"AAAAAFM6/pQ=")</f>
        <v>#REF!</v>
      </c>
      <c r="ET148" t="e">
        <f>IF(#REF!,"AAAAAFM6/pU=",0)</f>
        <v>#REF!</v>
      </c>
      <c r="EU148" t="e">
        <f>AND(#REF!,"AAAAAFM6/pY=")</f>
        <v>#REF!</v>
      </c>
      <c r="EV148" t="e">
        <f>AND(#REF!,"AAAAAFM6/pc=")</f>
        <v>#REF!</v>
      </c>
      <c r="EW148" t="e">
        <f>AND(#REF!,"AAAAAFM6/pg=")</f>
        <v>#REF!</v>
      </c>
      <c r="EX148" t="e">
        <f>AND(#REF!,"AAAAAFM6/pk=")</f>
        <v>#REF!</v>
      </c>
      <c r="EY148" t="e">
        <f>AND(#REF!,"AAAAAFM6/po=")</f>
        <v>#REF!</v>
      </c>
      <c r="EZ148" t="e">
        <f>AND(#REF!,"AAAAAFM6/ps=")</f>
        <v>#REF!</v>
      </c>
      <c r="FA148" t="e">
        <f>AND(#REF!,"AAAAAFM6/pw=")</f>
        <v>#REF!</v>
      </c>
      <c r="FB148" t="e">
        <f>AND(#REF!,"AAAAAFM6/p0=")</f>
        <v>#REF!</v>
      </c>
      <c r="FC148" t="e">
        <f>AND(#REF!,"AAAAAFM6/p4=")</f>
        <v>#REF!</v>
      </c>
      <c r="FD148" t="e">
        <f>AND(#REF!,"AAAAAFM6/p8=")</f>
        <v>#REF!</v>
      </c>
      <c r="FE148" t="e">
        <f>AND(#REF!,"AAAAAFM6/qA=")</f>
        <v>#REF!</v>
      </c>
      <c r="FF148" t="e">
        <f>AND(#REF!,"AAAAAFM6/qE=")</f>
        <v>#REF!</v>
      </c>
      <c r="FG148" t="e">
        <f>AND(#REF!,"AAAAAFM6/qI=")</f>
        <v>#REF!</v>
      </c>
      <c r="FH148" t="e">
        <f>AND(#REF!,"AAAAAFM6/qM=")</f>
        <v>#REF!</v>
      </c>
      <c r="FI148" t="e">
        <f>AND(#REF!,"AAAAAFM6/qQ=")</f>
        <v>#REF!</v>
      </c>
      <c r="FJ148" t="e">
        <f>AND(#REF!,"AAAAAFM6/qU=")</f>
        <v>#REF!</v>
      </c>
      <c r="FK148" t="e">
        <f>AND(#REF!,"AAAAAFM6/qY=")</f>
        <v>#REF!</v>
      </c>
      <c r="FL148" t="e">
        <f>AND(#REF!,"AAAAAFM6/qc=")</f>
        <v>#REF!</v>
      </c>
      <c r="FM148" t="e">
        <f>AND(#REF!,"AAAAAFM6/qg=")</f>
        <v>#REF!</v>
      </c>
      <c r="FN148" t="e">
        <f>AND(#REF!,"AAAAAFM6/qk=")</f>
        <v>#REF!</v>
      </c>
      <c r="FO148" t="e">
        <f>AND(#REF!,"AAAAAFM6/qo=")</f>
        <v>#REF!</v>
      </c>
      <c r="FP148" t="e">
        <f>IF(#REF!,"AAAAAFM6/qs=",0)</f>
        <v>#REF!</v>
      </c>
      <c r="FQ148" t="e">
        <f>AND(#REF!,"AAAAAFM6/qw=")</f>
        <v>#REF!</v>
      </c>
      <c r="FR148" t="e">
        <f>AND(#REF!,"AAAAAFM6/q0=")</f>
        <v>#REF!</v>
      </c>
      <c r="FS148" t="e">
        <f>AND(#REF!,"AAAAAFM6/q4=")</f>
        <v>#REF!</v>
      </c>
      <c r="FT148" t="e">
        <f>AND(#REF!,"AAAAAFM6/q8=")</f>
        <v>#REF!</v>
      </c>
      <c r="FU148" t="e">
        <f>AND(#REF!,"AAAAAFM6/rA=")</f>
        <v>#REF!</v>
      </c>
      <c r="FV148" t="e">
        <f>AND(#REF!,"AAAAAFM6/rE=")</f>
        <v>#REF!</v>
      </c>
      <c r="FW148" t="e">
        <f>AND(#REF!,"AAAAAFM6/rI=")</f>
        <v>#REF!</v>
      </c>
      <c r="FX148" t="e">
        <f>AND(#REF!,"AAAAAFM6/rM=")</f>
        <v>#REF!</v>
      </c>
      <c r="FY148" t="e">
        <f>AND(#REF!,"AAAAAFM6/rQ=")</f>
        <v>#REF!</v>
      </c>
      <c r="FZ148" t="e">
        <f>AND(#REF!,"AAAAAFM6/rU=")</f>
        <v>#REF!</v>
      </c>
      <c r="GA148" t="e">
        <f>AND(#REF!,"AAAAAFM6/rY=")</f>
        <v>#REF!</v>
      </c>
      <c r="GB148" t="e">
        <f>AND(#REF!,"AAAAAFM6/rc=")</f>
        <v>#REF!</v>
      </c>
      <c r="GC148" t="e">
        <f>AND(#REF!,"AAAAAFM6/rg=")</f>
        <v>#REF!</v>
      </c>
      <c r="GD148" t="e">
        <f>AND(#REF!,"AAAAAFM6/rk=")</f>
        <v>#REF!</v>
      </c>
      <c r="GE148" t="e">
        <f>AND(#REF!,"AAAAAFM6/ro=")</f>
        <v>#REF!</v>
      </c>
      <c r="GF148" t="e">
        <f>AND(#REF!,"AAAAAFM6/rs=")</f>
        <v>#REF!</v>
      </c>
      <c r="GG148" t="e">
        <f>AND(#REF!,"AAAAAFM6/rw=")</f>
        <v>#REF!</v>
      </c>
      <c r="GH148" t="e">
        <f>AND(#REF!,"AAAAAFM6/r0=")</f>
        <v>#REF!</v>
      </c>
      <c r="GI148" t="e">
        <f>AND(#REF!,"AAAAAFM6/r4=")</f>
        <v>#REF!</v>
      </c>
      <c r="GJ148" t="e">
        <f>AND(#REF!,"AAAAAFM6/r8=")</f>
        <v>#REF!</v>
      </c>
      <c r="GK148" t="e">
        <f>AND(#REF!,"AAAAAFM6/sA=")</f>
        <v>#REF!</v>
      </c>
      <c r="GL148" t="e">
        <f>IF(#REF!,"AAAAAFM6/sE=",0)</f>
        <v>#REF!</v>
      </c>
      <c r="GM148" t="e">
        <f>AND(#REF!,"AAAAAFM6/sI=")</f>
        <v>#REF!</v>
      </c>
      <c r="GN148" t="e">
        <f>AND(#REF!,"AAAAAFM6/sM=")</f>
        <v>#REF!</v>
      </c>
      <c r="GO148" t="e">
        <f>AND(#REF!,"AAAAAFM6/sQ=")</f>
        <v>#REF!</v>
      </c>
      <c r="GP148" t="e">
        <f>AND(#REF!,"AAAAAFM6/sU=")</f>
        <v>#REF!</v>
      </c>
      <c r="GQ148" t="e">
        <f>AND(#REF!,"AAAAAFM6/sY=")</f>
        <v>#REF!</v>
      </c>
      <c r="GR148" t="e">
        <f>AND(#REF!,"AAAAAFM6/sc=")</f>
        <v>#REF!</v>
      </c>
      <c r="GS148" t="e">
        <f>AND(#REF!,"AAAAAFM6/sg=")</f>
        <v>#REF!</v>
      </c>
      <c r="GT148" t="e">
        <f>AND(#REF!,"AAAAAFM6/sk=")</f>
        <v>#REF!</v>
      </c>
      <c r="GU148" t="e">
        <f>AND(#REF!,"AAAAAFM6/so=")</f>
        <v>#REF!</v>
      </c>
      <c r="GV148" t="e">
        <f>AND(#REF!,"AAAAAFM6/ss=")</f>
        <v>#REF!</v>
      </c>
      <c r="GW148" t="e">
        <f>AND(#REF!,"AAAAAFM6/sw=")</f>
        <v>#REF!</v>
      </c>
      <c r="GX148" t="e">
        <f>AND(#REF!,"AAAAAFM6/s0=")</f>
        <v>#REF!</v>
      </c>
      <c r="GY148" t="e">
        <f>AND(#REF!,"AAAAAFM6/s4=")</f>
        <v>#REF!</v>
      </c>
      <c r="GZ148" t="e">
        <f>AND(#REF!,"AAAAAFM6/s8=")</f>
        <v>#REF!</v>
      </c>
      <c r="HA148" t="e">
        <f>AND(#REF!,"AAAAAFM6/tA=")</f>
        <v>#REF!</v>
      </c>
      <c r="HB148" t="e">
        <f>AND(#REF!,"AAAAAFM6/tE=")</f>
        <v>#REF!</v>
      </c>
      <c r="HC148" t="e">
        <f>AND(#REF!,"AAAAAFM6/tI=")</f>
        <v>#REF!</v>
      </c>
      <c r="HD148" t="e">
        <f>AND(#REF!,"AAAAAFM6/tM=")</f>
        <v>#REF!</v>
      </c>
      <c r="HE148" t="e">
        <f>AND(#REF!,"AAAAAFM6/tQ=")</f>
        <v>#REF!</v>
      </c>
      <c r="HF148" t="e">
        <f>AND(#REF!,"AAAAAFM6/tU=")</f>
        <v>#REF!</v>
      </c>
      <c r="HG148" t="e">
        <f>AND(#REF!,"AAAAAFM6/tY=")</f>
        <v>#REF!</v>
      </c>
      <c r="HH148" t="e">
        <f>IF(#REF!,"AAAAAFM6/tc=",0)</f>
        <v>#REF!</v>
      </c>
      <c r="HI148" t="e">
        <f>AND(#REF!,"AAAAAFM6/tg=")</f>
        <v>#REF!</v>
      </c>
      <c r="HJ148" t="e">
        <f>AND(#REF!,"AAAAAFM6/tk=")</f>
        <v>#REF!</v>
      </c>
      <c r="HK148" t="e">
        <f>AND(#REF!,"AAAAAFM6/to=")</f>
        <v>#REF!</v>
      </c>
      <c r="HL148" t="e">
        <f>AND(#REF!,"AAAAAFM6/ts=")</f>
        <v>#REF!</v>
      </c>
      <c r="HM148" t="e">
        <f>AND(#REF!,"AAAAAFM6/tw=")</f>
        <v>#REF!</v>
      </c>
      <c r="HN148" t="e">
        <f>AND(#REF!,"AAAAAFM6/t0=")</f>
        <v>#REF!</v>
      </c>
      <c r="HO148" t="e">
        <f>AND(#REF!,"AAAAAFM6/t4=")</f>
        <v>#REF!</v>
      </c>
      <c r="HP148" t="e">
        <f>AND(#REF!,"AAAAAFM6/t8=")</f>
        <v>#REF!</v>
      </c>
      <c r="HQ148" t="e">
        <f>AND(#REF!,"AAAAAFM6/uA=")</f>
        <v>#REF!</v>
      </c>
      <c r="HR148" t="e">
        <f>AND(#REF!,"AAAAAFM6/uE=")</f>
        <v>#REF!</v>
      </c>
      <c r="HS148" t="e">
        <f>AND(#REF!,"AAAAAFM6/uI=")</f>
        <v>#REF!</v>
      </c>
      <c r="HT148" t="e">
        <f>AND(#REF!,"AAAAAFM6/uM=")</f>
        <v>#REF!</v>
      </c>
      <c r="HU148" t="e">
        <f>AND(#REF!,"AAAAAFM6/uQ=")</f>
        <v>#REF!</v>
      </c>
      <c r="HV148" t="e">
        <f>AND(#REF!,"AAAAAFM6/uU=")</f>
        <v>#REF!</v>
      </c>
      <c r="HW148" t="e">
        <f>AND(#REF!,"AAAAAFM6/uY=")</f>
        <v>#REF!</v>
      </c>
      <c r="HX148" t="e">
        <f>AND(#REF!,"AAAAAFM6/uc=")</f>
        <v>#REF!</v>
      </c>
      <c r="HY148" t="e">
        <f>AND(#REF!,"AAAAAFM6/ug=")</f>
        <v>#REF!</v>
      </c>
      <c r="HZ148" t="e">
        <f>AND(#REF!,"AAAAAFM6/uk=")</f>
        <v>#REF!</v>
      </c>
      <c r="IA148" t="e">
        <f>AND(#REF!,"AAAAAFM6/uo=")</f>
        <v>#REF!</v>
      </c>
      <c r="IB148" t="e">
        <f>AND(#REF!,"AAAAAFM6/us=")</f>
        <v>#REF!</v>
      </c>
      <c r="IC148" t="e">
        <f>AND(#REF!,"AAAAAFM6/uw=")</f>
        <v>#REF!</v>
      </c>
      <c r="ID148" t="e">
        <f>IF(#REF!,"AAAAAFM6/u0=",0)</f>
        <v>#REF!</v>
      </c>
      <c r="IE148" t="e">
        <f>AND(#REF!,"AAAAAFM6/u4=")</f>
        <v>#REF!</v>
      </c>
      <c r="IF148" t="e">
        <f>AND(#REF!,"AAAAAFM6/u8=")</f>
        <v>#REF!</v>
      </c>
      <c r="IG148" t="e">
        <f>AND(#REF!,"AAAAAFM6/vA=")</f>
        <v>#REF!</v>
      </c>
      <c r="IH148" t="e">
        <f>AND(#REF!,"AAAAAFM6/vE=")</f>
        <v>#REF!</v>
      </c>
      <c r="II148" t="e">
        <f>AND(#REF!,"AAAAAFM6/vI=")</f>
        <v>#REF!</v>
      </c>
      <c r="IJ148" t="e">
        <f>AND(#REF!,"AAAAAFM6/vM=")</f>
        <v>#REF!</v>
      </c>
      <c r="IK148" t="e">
        <f>AND(#REF!,"AAAAAFM6/vQ=")</f>
        <v>#REF!</v>
      </c>
      <c r="IL148" t="e">
        <f>AND(#REF!,"AAAAAFM6/vU=")</f>
        <v>#REF!</v>
      </c>
      <c r="IM148" t="e">
        <f>AND(#REF!,"AAAAAFM6/vY=")</f>
        <v>#REF!</v>
      </c>
      <c r="IN148" t="e">
        <f>AND(#REF!,"AAAAAFM6/vc=")</f>
        <v>#REF!</v>
      </c>
      <c r="IO148" t="e">
        <f>AND(#REF!,"AAAAAFM6/vg=")</f>
        <v>#REF!</v>
      </c>
      <c r="IP148" t="e">
        <f>AND(#REF!,"AAAAAFM6/vk=")</f>
        <v>#REF!</v>
      </c>
      <c r="IQ148" t="e">
        <f>AND(#REF!,"AAAAAFM6/vo=")</f>
        <v>#REF!</v>
      </c>
      <c r="IR148" t="e">
        <f>AND(#REF!,"AAAAAFM6/vs=")</f>
        <v>#REF!</v>
      </c>
      <c r="IS148" t="e">
        <f>AND(#REF!,"AAAAAFM6/vw=")</f>
        <v>#REF!</v>
      </c>
      <c r="IT148" t="e">
        <f>AND(#REF!,"AAAAAFM6/v0=")</f>
        <v>#REF!</v>
      </c>
      <c r="IU148" t="e">
        <f>AND(#REF!,"AAAAAFM6/v4=")</f>
        <v>#REF!</v>
      </c>
      <c r="IV148" t="e">
        <f>AND(#REF!,"AAAAAFM6/v8=")</f>
        <v>#REF!</v>
      </c>
    </row>
    <row r="149" spans="1:256" x14ac:dyDescent="0.25">
      <c r="A149" t="e">
        <f>AND(#REF!,"AAAAAF1DNwA=")</f>
        <v>#REF!</v>
      </c>
      <c r="B149" t="e">
        <f>AND(#REF!,"AAAAAF1DNwE=")</f>
        <v>#REF!</v>
      </c>
      <c r="C149" t="e">
        <f>AND(#REF!,"AAAAAF1DNwI=")</f>
        <v>#REF!</v>
      </c>
      <c r="D149" t="e">
        <f>IF(#REF!,"AAAAAF1DNwM=",0)</f>
        <v>#REF!</v>
      </c>
      <c r="E149" t="e">
        <f>AND(#REF!,"AAAAAF1DNwQ=")</f>
        <v>#REF!</v>
      </c>
      <c r="F149" t="e">
        <f>AND(#REF!,"AAAAAF1DNwU=")</f>
        <v>#REF!</v>
      </c>
      <c r="G149" t="e">
        <f>AND(#REF!,"AAAAAF1DNwY=")</f>
        <v>#REF!</v>
      </c>
      <c r="H149" t="e">
        <f>AND(#REF!,"AAAAAF1DNwc=")</f>
        <v>#REF!</v>
      </c>
      <c r="I149" t="e">
        <f>AND(#REF!,"AAAAAF1DNwg=")</f>
        <v>#REF!</v>
      </c>
      <c r="J149" t="e">
        <f>AND(#REF!,"AAAAAF1DNwk=")</f>
        <v>#REF!</v>
      </c>
      <c r="K149" t="e">
        <f>AND(#REF!,"AAAAAF1DNwo=")</f>
        <v>#REF!</v>
      </c>
      <c r="L149" t="e">
        <f>AND(#REF!,"AAAAAF1DNws=")</f>
        <v>#REF!</v>
      </c>
      <c r="M149" t="e">
        <f>AND(#REF!,"AAAAAF1DNww=")</f>
        <v>#REF!</v>
      </c>
      <c r="N149" t="e">
        <f>AND(#REF!,"AAAAAF1DNw0=")</f>
        <v>#REF!</v>
      </c>
      <c r="O149" t="e">
        <f>AND(#REF!,"AAAAAF1DNw4=")</f>
        <v>#REF!</v>
      </c>
      <c r="P149" t="e">
        <f>AND(#REF!,"AAAAAF1DNw8=")</f>
        <v>#REF!</v>
      </c>
      <c r="Q149" t="e">
        <f>AND(#REF!,"AAAAAF1DNxA=")</f>
        <v>#REF!</v>
      </c>
      <c r="R149" t="e">
        <f>AND(#REF!,"AAAAAF1DNxE=")</f>
        <v>#REF!</v>
      </c>
      <c r="S149" t="e">
        <f>AND(#REF!,"AAAAAF1DNxI=")</f>
        <v>#REF!</v>
      </c>
      <c r="T149" t="e">
        <f>AND(#REF!,"AAAAAF1DNxM=")</f>
        <v>#REF!</v>
      </c>
      <c r="U149" t="e">
        <f>AND(#REF!,"AAAAAF1DNxQ=")</f>
        <v>#REF!</v>
      </c>
      <c r="V149" t="e">
        <f>AND(#REF!,"AAAAAF1DNxU=")</f>
        <v>#REF!</v>
      </c>
      <c r="W149" t="e">
        <f>AND(#REF!,"AAAAAF1DNxY=")</f>
        <v>#REF!</v>
      </c>
      <c r="X149" t="e">
        <f>AND(#REF!,"AAAAAF1DNxc=")</f>
        <v>#REF!</v>
      </c>
      <c r="Y149" t="e">
        <f>AND(#REF!,"AAAAAF1DNxg=")</f>
        <v>#REF!</v>
      </c>
      <c r="Z149" t="e">
        <f>IF(#REF!,"AAAAAF1DNxk=",0)</f>
        <v>#REF!</v>
      </c>
      <c r="AA149" t="e">
        <f>AND(#REF!,"AAAAAF1DNxo=")</f>
        <v>#REF!</v>
      </c>
      <c r="AB149" t="e">
        <f>AND(#REF!,"AAAAAF1DNxs=")</f>
        <v>#REF!</v>
      </c>
      <c r="AC149" t="e">
        <f>AND(#REF!,"AAAAAF1DNxw=")</f>
        <v>#REF!</v>
      </c>
      <c r="AD149" t="e">
        <f>AND(#REF!,"AAAAAF1DNx0=")</f>
        <v>#REF!</v>
      </c>
      <c r="AE149" t="e">
        <f>AND(#REF!,"AAAAAF1DNx4=")</f>
        <v>#REF!</v>
      </c>
      <c r="AF149" t="e">
        <f>AND(#REF!,"AAAAAF1DNx8=")</f>
        <v>#REF!</v>
      </c>
      <c r="AG149" t="e">
        <f>AND(#REF!,"AAAAAF1DNyA=")</f>
        <v>#REF!</v>
      </c>
      <c r="AH149" t="e">
        <f>AND(#REF!,"AAAAAF1DNyE=")</f>
        <v>#REF!</v>
      </c>
      <c r="AI149" t="e">
        <f>AND(#REF!,"AAAAAF1DNyI=")</f>
        <v>#REF!</v>
      </c>
      <c r="AJ149" t="e">
        <f>AND(#REF!,"AAAAAF1DNyM=")</f>
        <v>#REF!</v>
      </c>
      <c r="AK149" t="e">
        <f>AND(#REF!,"AAAAAF1DNyQ=")</f>
        <v>#REF!</v>
      </c>
      <c r="AL149" t="e">
        <f>AND(#REF!,"AAAAAF1DNyU=")</f>
        <v>#REF!</v>
      </c>
      <c r="AM149" t="e">
        <f>AND(#REF!,"AAAAAF1DNyY=")</f>
        <v>#REF!</v>
      </c>
      <c r="AN149" t="e">
        <f>AND(#REF!,"AAAAAF1DNyc=")</f>
        <v>#REF!</v>
      </c>
      <c r="AO149" t="e">
        <f>AND(#REF!,"AAAAAF1DNyg=")</f>
        <v>#REF!</v>
      </c>
      <c r="AP149" t="e">
        <f>AND(#REF!,"AAAAAF1DNyk=")</f>
        <v>#REF!</v>
      </c>
      <c r="AQ149" t="e">
        <f>AND(#REF!,"AAAAAF1DNyo=")</f>
        <v>#REF!</v>
      </c>
      <c r="AR149" t="e">
        <f>AND(#REF!,"AAAAAF1DNys=")</f>
        <v>#REF!</v>
      </c>
      <c r="AS149" t="e">
        <f>AND(#REF!,"AAAAAF1DNyw=")</f>
        <v>#REF!</v>
      </c>
      <c r="AT149" t="e">
        <f>AND(#REF!,"AAAAAF1DNy0=")</f>
        <v>#REF!</v>
      </c>
      <c r="AU149" t="e">
        <f>AND(#REF!,"AAAAAF1DNy4=")</f>
        <v>#REF!</v>
      </c>
      <c r="AV149" t="e">
        <f>IF(#REF!,"AAAAAF1DNy8=",0)</f>
        <v>#REF!</v>
      </c>
      <c r="AW149" t="e">
        <f>AND(#REF!,"AAAAAF1DNzA=")</f>
        <v>#REF!</v>
      </c>
      <c r="AX149" t="e">
        <f>AND(#REF!,"AAAAAF1DNzE=")</f>
        <v>#REF!</v>
      </c>
      <c r="AY149" t="e">
        <f>AND(#REF!,"AAAAAF1DNzI=")</f>
        <v>#REF!</v>
      </c>
      <c r="AZ149" t="e">
        <f>AND(#REF!,"AAAAAF1DNzM=")</f>
        <v>#REF!</v>
      </c>
      <c r="BA149" t="e">
        <f>AND(#REF!,"AAAAAF1DNzQ=")</f>
        <v>#REF!</v>
      </c>
      <c r="BB149" t="e">
        <f>AND(#REF!,"AAAAAF1DNzU=")</f>
        <v>#REF!</v>
      </c>
      <c r="BC149" t="e">
        <f>AND(#REF!,"AAAAAF1DNzY=")</f>
        <v>#REF!</v>
      </c>
      <c r="BD149" t="e">
        <f>AND(#REF!,"AAAAAF1DNzc=")</f>
        <v>#REF!</v>
      </c>
      <c r="BE149" t="e">
        <f>AND(#REF!,"AAAAAF1DNzg=")</f>
        <v>#REF!</v>
      </c>
      <c r="BF149" t="e">
        <f>AND(#REF!,"AAAAAF1DNzk=")</f>
        <v>#REF!</v>
      </c>
      <c r="BG149" t="e">
        <f>AND(#REF!,"AAAAAF1DNzo=")</f>
        <v>#REF!</v>
      </c>
      <c r="BH149" t="e">
        <f>AND(#REF!,"AAAAAF1DNzs=")</f>
        <v>#REF!</v>
      </c>
      <c r="BI149" t="e">
        <f>AND(#REF!,"AAAAAF1DNzw=")</f>
        <v>#REF!</v>
      </c>
      <c r="BJ149" t="e">
        <f>AND(#REF!,"AAAAAF1DNz0=")</f>
        <v>#REF!</v>
      </c>
      <c r="BK149" t="e">
        <f>AND(#REF!,"AAAAAF1DNz4=")</f>
        <v>#REF!</v>
      </c>
      <c r="BL149" t="e">
        <f>AND(#REF!,"AAAAAF1DNz8=")</f>
        <v>#REF!</v>
      </c>
      <c r="BM149" t="e">
        <f>AND(#REF!,"AAAAAF1DN0A=")</f>
        <v>#REF!</v>
      </c>
      <c r="BN149" t="e">
        <f>AND(#REF!,"AAAAAF1DN0E=")</f>
        <v>#REF!</v>
      </c>
      <c r="BO149" t="e">
        <f>AND(#REF!,"AAAAAF1DN0I=")</f>
        <v>#REF!</v>
      </c>
      <c r="BP149" t="e">
        <f>AND(#REF!,"AAAAAF1DN0M=")</f>
        <v>#REF!</v>
      </c>
      <c r="BQ149" t="e">
        <f>AND(#REF!,"AAAAAF1DN0Q=")</f>
        <v>#REF!</v>
      </c>
      <c r="BR149" t="e">
        <f>IF(#REF!,"AAAAAF1DN0U=",0)</f>
        <v>#REF!</v>
      </c>
      <c r="BS149" t="e">
        <f>AND(#REF!,"AAAAAF1DN0Y=")</f>
        <v>#REF!</v>
      </c>
      <c r="BT149" t="e">
        <f>AND(#REF!,"AAAAAF1DN0c=")</f>
        <v>#REF!</v>
      </c>
      <c r="BU149" t="e">
        <f>AND(#REF!,"AAAAAF1DN0g=")</f>
        <v>#REF!</v>
      </c>
      <c r="BV149" t="e">
        <f>AND(#REF!,"AAAAAF1DN0k=")</f>
        <v>#REF!</v>
      </c>
      <c r="BW149" t="e">
        <f>AND(#REF!,"AAAAAF1DN0o=")</f>
        <v>#REF!</v>
      </c>
      <c r="BX149" t="e">
        <f>AND(#REF!,"AAAAAF1DN0s=")</f>
        <v>#REF!</v>
      </c>
      <c r="BY149" t="e">
        <f>AND(#REF!,"AAAAAF1DN0w=")</f>
        <v>#REF!</v>
      </c>
      <c r="BZ149" t="e">
        <f>AND(#REF!,"AAAAAF1DN00=")</f>
        <v>#REF!</v>
      </c>
      <c r="CA149" t="e">
        <f>AND(#REF!,"AAAAAF1DN04=")</f>
        <v>#REF!</v>
      </c>
      <c r="CB149" t="e">
        <f>AND(#REF!,"AAAAAF1DN08=")</f>
        <v>#REF!</v>
      </c>
      <c r="CC149" t="e">
        <f>AND(#REF!,"AAAAAF1DN1A=")</f>
        <v>#REF!</v>
      </c>
      <c r="CD149" t="e">
        <f>AND(#REF!,"AAAAAF1DN1E=")</f>
        <v>#REF!</v>
      </c>
      <c r="CE149" t="e">
        <f>AND(#REF!,"AAAAAF1DN1I=")</f>
        <v>#REF!</v>
      </c>
      <c r="CF149" t="e">
        <f>AND(#REF!,"AAAAAF1DN1M=")</f>
        <v>#REF!</v>
      </c>
      <c r="CG149" t="e">
        <f>AND(#REF!,"AAAAAF1DN1Q=")</f>
        <v>#REF!</v>
      </c>
      <c r="CH149" t="e">
        <f>AND(#REF!,"AAAAAF1DN1U=")</f>
        <v>#REF!</v>
      </c>
      <c r="CI149" t="e">
        <f>AND(#REF!,"AAAAAF1DN1Y=")</f>
        <v>#REF!</v>
      </c>
      <c r="CJ149" t="e">
        <f>AND(#REF!,"AAAAAF1DN1c=")</f>
        <v>#REF!</v>
      </c>
      <c r="CK149" t="e">
        <f>AND(#REF!,"AAAAAF1DN1g=")</f>
        <v>#REF!</v>
      </c>
      <c r="CL149" t="e">
        <f>AND(#REF!,"AAAAAF1DN1k=")</f>
        <v>#REF!</v>
      </c>
      <c r="CM149" t="e">
        <f>AND(#REF!,"AAAAAF1DN1o=")</f>
        <v>#REF!</v>
      </c>
      <c r="CN149" t="e">
        <f>IF(#REF!,"AAAAAF1DN1s=",0)</f>
        <v>#REF!</v>
      </c>
      <c r="CO149" t="e">
        <f>IF(#REF!,"AAAAAF1DN1w=",0)</f>
        <v>#REF!</v>
      </c>
      <c r="CP149" t="e">
        <f>IF(#REF!,"AAAAAF1DN10=",0)</f>
        <v>#REF!</v>
      </c>
      <c r="CQ149" t="e">
        <f>IF(#REF!,"AAAAAF1DN14=",0)</f>
        <v>#REF!</v>
      </c>
      <c r="CR149" t="e">
        <f>IF(#REF!,"AAAAAF1DN18=",0)</f>
        <v>#REF!</v>
      </c>
      <c r="CS149" t="e">
        <f>IF(#REF!,"AAAAAF1DN2A=",0)</f>
        <v>#REF!</v>
      </c>
      <c r="CT149" t="e">
        <f>IF(#REF!,"AAAAAF1DN2E=",0)</f>
        <v>#REF!</v>
      </c>
      <c r="CU149" t="e">
        <f>IF(#REF!,"AAAAAF1DN2I=",0)</f>
        <v>#REF!</v>
      </c>
      <c r="CV149" t="e">
        <f>IF(#REF!,"AAAAAF1DN2M=",0)</f>
        <v>#REF!</v>
      </c>
      <c r="CW149" t="e">
        <f>IF(#REF!,"AAAAAF1DN2Q=",0)</f>
        <v>#REF!</v>
      </c>
      <c r="CX149" t="e">
        <f>IF(#REF!,"AAAAAF1DN2U=",0)</f>
        <v>#REF!</v>
      </c>
      <c r="CY149" t="e">
        <f>IF(#REF!,"AAAAAF1DN2Y=",0)</f>
        <v>#REF!</v>
      </c>
      <c r="CZ149" t="e">
        <f>IF(#REF!,"AAAAAF1DN2c=",0)</f>
        <v>#REF!</v>
      </c>
      <c r="DA149" t="e">
        <f>IF(#REF!,"AAAAAF1DN2g=",0)</f>
        <v>#REF!</v>
      </c>
      <c r="DB149" t="e">
        <f>IF(#REF!,"AAAAAF1DN2k=",0)</f>
        <v>#REF!</v>
      </c>
      <c r="DC149" t="e">
        <f>IF(#REF!,"AAAAAF1DN2o=",0)</f>
        <v>#REF!</v>
      </c>
      <c r="DD149" t="e">
        <f>IF(#REF!,"AAAAAF1DN2s=",0)</f>
        <v>#REF!</v>
      </c>
      <c r="DE149" t="e">
        <f>IF(#REF!,"AAAAAF1DN2w=",0)</f>
        <v>#REF!</v>
      </c>
      <c r="DF149" t="e">
        <f>IF(#REF!,"AAAAAF1DN20=",0)</f>
        <v>#REF!</v>
      </c>
      <c r="DG149" t="e">
        <f>IF(#REF!,"AAAAAF1DN24=",0)</f>
        <v>#REF!</v>
      </c>
      <c r="DH149" t="e">
        <f>IF(#REF!,"AAAAAF1DN28=",0)</f>
        <v>#REF!</v>
      </c>
      <c r="DI149" t="e">
        <f>IF(#REF!,"AAAAAF1DN3A=",0)</f>
        <v>#REF!</v>
      </c>
      <c r="DJ149" t="e">
        <f>AND(#REF!,"AAAAAF1DN3E=")</f>
        <v>#REF!</v>
      </c>
      <c r="DK149" t="e">
        <f>AND(#REF!,"AAAAAF1DN3I=")</f>
        <v>#REF!</v>
      </c>
      <c r="DL149" t="e">
        <f>AND(#REF!,"AAAAAF1DN3M=")</f>
        <v>#REF!</v>
      </c>
      <c r="DM149" t="e">
        <f>AND(#REF!,"AAAAAF1DN3Q=")</f>
        <v>#REF!</v>
      </c>
      <c r="DN149" t="e">
        <f>AND(#REF!,"AAAAAF1DN3U=")</f>
        <v>#REF!</v>
      </c>
      <c r="DO149" t="e">
        <f>AND(#REF!,"AAAAAF1DN3Y=")</f>
        <v>#REF!</v>
      </c>
      <c r="DP149" t="e">
        <f>AND(#REF!,"AAAAAF1DN3c=")</f>
        <v>#REF!</v>
      </c>
      <c r="DQ149" t="e">
        <f>AND(#REF!,"AAAAAF1DN3g=")</f>
        <v>#REF!</v>
      </c>
      <c r="DR149" t="e">
        <f>AND(#REF!,"AAAAAF1DN3k=")</f>
        <v>#REF!</v>
      </c>
      <c r="DS149" t="e">
        <f>AND(#REF!,"AAAAAF1DN3o=")</f>
        <v>#REF!</v>
      </c>
      <c r="DT149" t="e">
        <f>AND(#REF!,"AAAAAF1DN3s=")</f>
        <v>#REF!</v>
      </c>
      <c r="DU149" t="e">
        <f>AND(#REF!,"AAAAAF1DN3w=")</f>
        <v>#REF!</v>
      </c>
      <c r="DV149" t="e">
        <f>AND(#REF!,"AAAAAF1DN30=")</f>
        <v>#REF!</v>
      </c>
      <c r="DW149" t="e">
        <f>AND(#REF!,"AAAAAF1DN34=")</f>
        <v>#REF!</v>
      </c>
      <c r="DX149" t="e">
        <f>AND(#REF!,"AAAAAF1DN38=")</f>
        <v>#REF!</v>
      </c>
      <c r="DY149" t="e">
        <f>AND(#REF!,"AAAAAF1DN4A=")</f>
        <v>#REF!</v>
      </c>
      <c r="DZ149" t="e">
        <f>AND(#REF!,"AAAAAF1DN4E=")</f>
        <v>#REF!</v>
      </c>
      <c r="EA149" t="e">
        <f>AND(#REF!,"AAAAAF1DN4I=")</f>
        <v>#REF!</v>
      </c>
      <c r="EB149" t="e">
        <f>AND(#REF!,"AAAAAF1DN4M=")</f>
        <v>#REF!</v>
      </c>
      <c r="EC149" t="e">
        <f>AND(#REF!,"AAAAAF1DN4Q=")</f>
        <v>#REF!</v>
      </c>
      <c r="ED149" t="e">
        <f>AND(#REF!,"AAAAAF1DN4U=")</f>
        <v>#REF!</v>
      </c>
      <c r="EE149" t="e">
        <f>IF(#REF!,"AAAAAF1DN4Y=",0)</f>
        <v>#REF!</v>
      </c>
      <c r="EF149" t="e">
        <f>AND(#REF!,"AAAAAF1DN4c=")</f>
        <v>#REF!</v>
      </c>
      <c r="EG149" t="e">
        <f>AND(#REF!,"AAAAAF1DN4g=")</f>
        <v>#REF!</v>
      </c>
      <c r="EH149" t="e">
        <f>AND(#REF!,"AAAAAF1DN4k=")</f>
        <v>#REF!</v>
      </c>
      <c r="EI149" t="e">
        <f>AND(#REF!,"AAAAAF1DN4o=")</f>
        <v>#REF!</v>
      </c>
      <c r="EJ149" t="e">
        <f>AND(#REF!,"AAAAAF1DN4s=")</f>
        <v>#REF!</v>
      </c>
      <c r="EK149" t="e">
        <f>AND(#REF!,"AAAAAF1DN4w=")</f>
        <v>#REF!</v>
      </c>
      <c r="EL149" t="e">
        <f>AND(#REF!,"AAAAAF1DN40=")</f>
        <v>#REF!</v>
      </c>
      <c r="EM149" t="e">
        <f>AND(#REF!,"AAAAAF1DN44=")</f>
        <v>#REF!</v>
      </c>
      <c r="EN149" t="e">
        <f>AND(#REF!,"AAAAAF1DN48=")</f>
        <v>#REF!</v>
      </c>
      <c r="EO149" t="e">
        <f>AND(#REF!,"AAAAAF1DN5A=")</f>
        <v>#REF!</v>
      </c>
      <c r="EP149" t="e">
        <f>AND(#REF!,"AAAAAF1DN5E=")</f>
        <v>#REF!</v>
      </c>
      <c r="EQ149" t="e">
        <f>AND(#REF!,"AAAAAF1DN5I=")</f>
        <v>#REF!</v>
      </c>
      <c r="ER149" t="e">
        <f>AND(#REF!,"AAAAAF1DN5M=")</f>
        <v>#REF!</v>
      </c>
      <c r="ES149" t="e">
        <f>AND(#REF!,"AAAAAF1DN5Q=")</f>
        <v>#REF!</v>
      </c>
      <c r="ET149" t="e">
        <f>AND(#REF!,"AAAAAF1DN5U=")</f>
        <v>#REF!</v>
      </c>
      <c r="EU149" t="e">
        <f>AND(#REF!,"AAAAAF1DN5Y=")</f>
        <v>#REF!</v>
      </c>
      <c r="EV149" t="e">
        <f>AND(#REF!,"AAAAAF1DN5c=")</f>
        <v>#REF!</v>
      </c>
      <c r="EW149" t="e">
        <f>AND(#REF!,"AAAAAF1DN5g=")</f>
        <v>#REF!</v>
      </c>
      <c r="EX149" t="e">
        <f>AND(#REF!,"AAAAAF1DN5k=")</f>
        <v>#REF!</v>
      </c>
      <c r="EY149" t="e">
        <f>AND(#REF!,"AAAAAF1DN5o=")</f>
        <v>#REF!</v>
      </c>
      <c r="EZ149" t="e">
        <f>AND(#REF!,"AAAAAF1DN5s=")</f>
        <v>#REF!</v>
      </c>
      <c r="FA149" t="e">
        <f>IF(#REF!,"AAAAAF1DN5w=",0)</f>
        <v>#REF!</v>
      </c>
      <c r="FB149" t="e">
        <f>AND(#REF!,"AAAAAF1DN50=")</f>
        <v>#REF!</v>
      </c>
      <c r="FC149" t="e">
        <f>AND(#REF!,"AAAAAF1DN54=")</f>
        <v>#REF!</v>
      </c>
      <c r="FD149" t="e">
        <f>AND(#REF!,"AAAAAF1DN58=")</f>
        <v>#REF!</v>
      </c>
      <c r="FE149" t="e">
        <f>AND(#REF!,"AAAAAF1DN6A=")</f>
        <v>#REF!</v>
      </c>
      <c r="FF149" t="e">
        <f>AND(#REF!,"AAAAAF1DN6E=")</f>
        <v>#REF!</v>
      </c>
      <c r="FG149" t="e">
        <f>AND(#REF!,"AAAAAF1DN6I=")</f>
        <v>#REF!</v>
      </c>
      <c r="FH149" t="e">
        <f>AND(#REF!,"AAAAAF1DN6M=")</f>
        <v>#REF!</v>
      </c>
      <c r="FI149" t="e">
        <f>AND(#REF!,"AAAAAF1DN6Q=")</f>
        <v>#REF!</v>
      </c>
      <c r="FJ149" t="e">
        <f>AND(#REF!,"AAAAAF1DN6U=")</f>
        <v>#REF!</v>
      </c>
      <c r="FK149" t="e">
        <f>AND(#REF!,"AAAAAF1DN6Y=")</f>
        <v>#REF!</v>
      </c>
      <c r="FL149" t="e">
        <f>AND(#REF!,"AAAAAF1DN6c=")</f>
        <v>#REF!</v>
      </c>
      <c r="FM149" t="e">
        <f>AND(#REF!,"AAAAAF1DN6g=")</f>
        <v>#REF!</v>
      </c>
      <c r="FN149" t="e">
        <f>AND(#REF!,"AAAAAF1DN6k=")</f>
        <v>#REF!</v>
      </c>
      <c r="FO149" t="e">
        <f>AND(#REF!,"AAAAAF1DN6o=")</f>
        <v>#REF!</v>
      </c>
      <c r="FP149" t="e">
        <f>AND(#REF!,"AAAAAF1DN6s=")</f>
        <v>#REF!</v>
      </c>
      <c r="FQ149" t="e">
        <f>AND(#REF!,"AAAAAF1DN6w=")</f>
        <v>#REF!</v>
      </c>
      <c r="FR149" t="e">
        <f>AND(#REF!,"AAAAAF1DN60=")</f>
        <v>#REF!</v>
      </c>
      <c r="FS149" t="e">
        <f>AND(#REF!,"AAAAAF1DN64=")</f>
        <v>#REF!</v>
      </c>
      <c r="FT149" t="e">
        <f>AND(#REF!,"AAAAAF1DN68=")</f>
        <v>#REF!</v>
      </c>
      <c r="FU149" t="e">
        <f>AND(#REF!,"AAAAAF1DN7A=")</f>
        <v>#REF!</v>
      </c>
      <c r="FV149" t="e">
        <f>AND(#REF!,"AAAAAF1DN7E=")</f>
        <v>#REF!</v>
      </c>
      <c r="FW149" t="e">
        <f>IF(#REF!,"AAAAAF1DN7I=",0)</f>
        <v>#REF!</v>
      </c>
      <c r="FX149" t="e">
        <f>AND(#REF!,"AAAAAF1DN7M=")</f>
        <v>#REF!</v>
      </c>
      <c r="FY149" t="e">
        <f>AND(#REF!,"AAAAAF1DN7Q=")</f>
        <v>#REF!</v>
      </c>
      <c r="FZ149" t="e">
        <f>AND(#REF!,"AAAAAF1DN7U=")</f>
        <v>#REF!</v>
      </c>
      <c r="GA149" t="e">
        <f>AND(#REF!,"AAAAAF1DN7Y=")</f>
        <v>#REF!</v>
      </c>
      <c r="GB149" t="e">
        <f>AND(#REF!,"AAAAAF1DN7c=")</f>
        <v>#REF!</v>
      </c>
      <c r="GC149" t="e">
        <f>AND(#REF!,"AAAAAF1DN7g=")</f>
        <v>#REF!</v>
      </c>
      <c r="GD149" t="e">
        <f>AND(#REF!,"AAAAAF1DN7k=")</f>
        <v>#REF!</v>
      </c>
      <c r="GE149" t="e">
        <f>AND(#REF!,"AAAAAF1DN7o=")</f>
        <v>#REF!</v>
      </c>
      <c r="GF149" t="e">
        <f>AND(#REF!,"AAAAAF1DN7s=")</f>
        <v>#REF!</v>
      </c>
      <c r="GG149" t="e">
        <f>AND(#REF!,"AAAAAF1DN7w=")</f>
        <v>#REF!</v>
      </c>
      <c r="GH149" t="e">
        <f>AND(#REF!,"AAAAAF1DN70=")</f>
        <v>#REF!</v>
      </c>
      <c r="GI149" t="e">
        <f>AND(#REF!,"AAAAAF1DN74=")</f>
        <v>#REF!</v>
      </c>
      <c r="GJ149" t="e">
        <f>AND(#REF!,"AAAAAF1DN78=")</f>
        <v>#REF!</v>
      </c>
      <c r="GK149" t="e">
        <f>AND(#REF!,"AAAAAF1DN8A=")</f>
        <v>#REF!</v>
      </c>
      <c r="GL149" t="e">
        <f>AND(#REF!,"AAAAAF1DN8E=")</f>
        <v>#REF!</v>
      </c>
      <c r="GM149" t="e">
        <f>AND(#REF!,"AAAAAF1DN8I=")</f>
        <v>#REF!</v>
      </c>
      <c r="GN149" t="e">
        <f>AND(#REF!,"AAAAAF1DN8M=")</f>
        <v>#REF!</v>
      </c>
      <c r="GO149" t="e">
        <f>AND(#REF!,"AAAAAF1DN8Q=")</f>
        <v>#REF!</v>
      </c>
      <c r="GP149" t="e">
        <f>AND(#REF!,"AAAAAF1DN8U=")</f>
        <v>#REF!</v>
      </c>
      <c r="GQ149" t="e">
        <f>AND(#REF!,"AAAAAF1DN8Y=")</f>
        <v>#REF!</v>
      </c>
      <c r="GR149" t="e">
        <f>AND(#REF!,"AAAAAF1DN8c=")</f>
        <v>#REF!</v>
      </c>
      <c r="GS149" t="e">
        <f>IF(#REF!,"AAAAAF1DN8g=",0)</f>
        <v>#REF!</v>
      </c>
      <c r="GT149" t="e">
        <f>AND(#REF!,"AAAAAF1DN8k=")</f>
        <v>#REF!</v>
      </c>
      <c r="GU149" t="e">
        <f>AND(#REF!,"AAAAAF1DN8o=")</f>
        <v>#REF!</v>
      </c>
      <c r="GV149" t="e">
        <f>AND(#REF!,"AAAAAF1DN8s=")</f>
        <v>#REF!</v>
      </c>
      <c r="GW149" t="e">
        <f>AND(#REF!,"AAAAAF1DN8w=")</f>
        <v>#REF!</v>
      </c>
      <c r="GX149" t="e">
        <f>AND(#REF!,"AAAAAF1DN80=")</f>
        <v>#REF!</v>
      </c>
      <c r="GY149" t="e">
        <f>AND(#REF!,"AAAAAF1DN84=")</f>
        <v>#REF!</v>
      </c>
      <c r="GZ149" t="e">
        <f>AND(#REF!,"AAAAAF1DN88=")</f>
        <v>#REF!</v>
      </c>
      <c r="HA149" t="e">
        <f>AND(#REF!,"AAAAAF1DN9A=")</f>
        <v>#REF!</v>
      </c>
      <c r="HB149" t="e">
        <f>AND(#REF!,"AAAAAF1DN9E=")</f>
        <v>#REF!</v>
      </c>
      <c r="HC149" t="e">
        <f>AND(#REF!,"AAAAAF1DN9I=")</f>
        <v>#REF!</v>
      </c>
      <c r="HD149" t="e">
        <f>AND(#REF!,"AAAAAF1DN9M=")</f>
        <v>#REF!</v>
      </c>
      <c r="HE149" t="e">
        <f>AND(#REF!,"AAAAAF1DN9Q=")</f>
        <v>#REF!</v>
      </c>
      <c r="HF149" t="e">
        <f>AND(#REF!,"AAAAAF1DN9U=")</f>
        <v>#REF!</v>
      </c>
      <c r="HG149" t="e">
        <f>AND(#REF!,"AAAAAF1DN9Y=")</f>
        <v>#REF!</v>
      </c>
      <c r="HH149" t="e">
        <f>AND(#REF!,"AAAAAF1DN9c=")</f>
        <v>#REF!</v>
      </c>
      <c r="HI149" t="e">
        <f>AND(#REF!,"AAAAAF1DN9g=")</f>
        <v>#REF!</v>
      </c>
      <c r="HJ149" t="e">
        <f>AND(#REF!,"AAAAAF1DN9k=")</f>
        <v>#REF!</v>
      </c>
      <c r="HK149" t="e">
        <f>AND(#REF!,"AAAAAF1DN9o=")</f>
        <v>#REF!</v>
      </c>
      <c r="HL149" t="e">
        <f>AND(#REF!,"AAAAAF1DN9s=")</f>
        <v>#REF!</v>
      </c>
      <c r="HM149" t="e">
        <f>AND(#REF!,"AAAAAF1DN9w=")</f>
        <v>#REF!</v>
      </c>
      <c r="HN149" t="e">
        <f>AND(#REF!,"AAAAAF1DN90=")</f>
        <v>#REF!</v>
      </c>
      <c r="HO149" t="e">
        <f>IF(#REF!,"AAAAAF1DN94=",0)</f>
        <v>#REF!</v>
      </c>
      <c r="HP149" t="e">
        <f>AND(#REF!,"AAAAAF1DN98=")</f>
        <v>#REF!</v>
      </c>
      <c r="HQ149" t="e">
        <f>AND(#REF!,"AAAAAF1DN+A=")</f>
        <v>#REF!</v>
      </c>
      <c r="HR149" t="e">
        <f>AND(#REF!,"AAAAAF1DN+E=")</f>
        <v>#REF!</v>
      </c>
      <c r="HS149" t="e">
        <f>AND(#REF!,"AAAAAF1DN+I=")</f>
        <v>#REF!</v>
      </c>
      <c r="HT149" t="e">
        <f>AND(#REF!,"AAAAAF1DN+M=")</f>
        <v>#REF!</v>
      </c>
      <c r="HU149" t="e">
        <f>AND(#REF!,"AAAAAF1DN+Q=")</f>
        <v>#REF!</v>
      </c>
      <c r="HV149" t="e">
        <f>AND(#REF!,"AAAAAF1DN+U=")</f>
        <v>#REF!</v>
      </c>
      <c r="HW149" t="e">
        <f>AND(#REF!,"AAAAAF1DN+Y=")</f>
        <v>#REF!</v>
      </c>
      <c r="HX149" t="e">
        <f>AND(#REF!,"AAAAAF1DN+c=")</f>
        <v>#REF!</v>
      </c>
      <c r="HY149" t="e">
        <f>AND(#REF!,"AAAAAF1DN+g=")</f>
        <v>#REF!</v>
      </c>
      <c r="HZ149" t="e">
        <f>AND(#REF!,"AAAAAF1DN+k=")</f>
        <v>#REF!</v>
      </c>
      <c r="IA149" t="e">
        <f>AND(#REF!,"AAAAAF1DN+o=")</f>
        <v>#REF!</v>
      </c>
      <c r="IB149" t="e">
        <f>AND(#REF!,"AAAAAF1DN+s=")</f>
        <v>#REF!</v>
      </c>
      <c r="IC149" t="e">
        <f>AND(#REF!,"AAAAAF1DN+w=")</f>
        <v>#REF!</v>
      </c>
      <c r="ID149" t="e">
        <f>AND(#REF!,"AAAAAF1DN+0=")</f>
        <v>#REF!</v>
      </c>
      <c r="IE149" t="e">
        <f>AND(#REF!,"AAAAAF1DN+4=")</f>
        <v>#REF!</v>
      </c>
      <c r="IF149" t="e">
        <f>AND(#REF!,"AAAAAF1DN+8=")</f>
        <v>#REF!</v>
      </c>
      <c r="IG149" t="e">
        <f>AND(#REF!,"AAAAAF1DN/A=")</f>
        <v>#REF!</v>
      </c>
      <c r="IH149" t="e">
        <f>AND(#REF!,"AAAAAF1DN/E=")</f>
        <v>#REF!</v>
      </c>
      <c r="II149" t="e">
        <f>AND(#REF!,"AAAAAF1DN/I=")</f>
        <v>#REF!</v>
      </c>
      <c r="IJ149" t="e">
        <f>AND(#REF!,"AAAAAF1DN/M=")</f>
        <v>#REF!</v>
      </c>
      <c r="IK149" t="e">
        <f>IF(#REF!,"AAAAAF1DN/Q=",0)</f>
        <v>#REF!</v>
      </c>
      <c r="IL149" t="e">
        <f>AND(#REF!,"AAAAAF1DN/U=")</f>
        <v>#REF!</v>
      </c>
      <c r="IM149" t="e">
        <f>AND(#REF!,"AAAAAF1DN/Y=")</f>
        <v>#REF!</v>
      </c>
      <c r="IN149" t="e">
        <f>AND(#REF!,"AAAAAF1DN/c=")</f>
        <v>#REF!</v>
      </c>
      <c r="IO149" t="e">
        <f>AND(#REF!,"AAAAAF1DN/g=")</f>
        <v>#REF!</v>
      </c>
      <c r="IP149" t="e">
        <f>AND(#REF!,"AAAAAF1DN/k=")</f>
        <v>#REF!</v>
      </c>
      <c r="IQ149" t="e">
        <f>AND(#REF!,"AAAAAF1DN/o=")</f>
        <v>#REF!</v>
      </c>
      <c r="IR149" t="e">
        <f>AND(#REF!,"AAAAAF1DN/s=")</f>
        <v>#REF!</v>
      </c>
      <c r="IS149" t="e">
        <f>AND(#REF!,"AAAAAF1DN/w=")</f>
        <v>#REF!</v>
      </c>
      <c r="IT149" t="e">
        <f>AND(#REF!,"AAAAAF1DN/0=")</f>
        <v>#REF!</v>
      </c>
      <c r="IU149" t="e">
        <f>AND(#REF!,"AAAAAF1DN/4=")</f>
        <v>#REF!</v>
      </c>
      <c r="IV149" t="e">
        <f>AND(#REF!,"AAAAAF1DN/8=")</f>
        <v>#REF!</v>
      </c>
    </row>
    <row r="150" spans="1:256" x14ac:dyDescent="0.25">
      <c r="A150" t="e">
        <f>AND(#REF!,"AAAAAD7p/wA=")</f>
        <v>#REF!</v>
      </c>
      <c r="B150" t="e">
        <f>AND(#REF!,"AAAAAD7p/wE=")</f>
        <v>#REF!</v>
      </c>
      <c r="C150" t="e">
        <f>AND(#REF!,"AAAAAD7p/wI=")</f>
        <v>#REF!</v>
      </c>
      <c r="D150" t="e">
        <f>AND(#REF!,"AAAAAD7p/wM=")</f>
        <v>#REF!</v>
      </c>
      <c r="E150" t="e">
        <f>AND(#REF!,"AAAAAD7p/wQ=")</f>
        <v>#REF!</v>
      </c>
      <c r="F150" t="e">
        <f>AND(#REF!,"AAAAAD7p/wU=")</f>
        <v>#REF!</v>
      </c>
      <c r="G150" t="e">
        <f>AND(#REF!,"AAAAAD7p/wY=")</f>
        <v>#REF!</v>
      </c>
      <c r="H150" t="e">
        <f>AND(#REF!,"AAAAAD7p/wc=")</f>
        <v>#REF!</v>
      </c>
      <c r="I150" t="e">
        <f>AND(#REF!,"AAAAAD7p/wg=")</f>
        <v>#REF!</v>
      </c>
      <c r="J150" t="e">
        <f>AND(#REF!,"AAAAAD7p/wk=")</f>
        <v>#REF!</v>
      </c>
      <c r="K150" t="e">
        <f>IF(#REF!,"AAAAAD7p/wo=",0)</f>
        <v>#REF!</v>
      </c>
      <c r="L150" t="e">
        <f>AND(#REF!,"AAAAAD7p/ws=")</f>
        <v>#REF!</v>
      </c>
      <c r="M150" t="e">
        <f>AND(#REF!,"AAAAAD7p/ww=")</f>
        <v>#REF!</v>
      </c>
      <c r="N150" t="e">
        <f>AND(#REF!,"AAAAAD7p/w0=")</f>
        <v>#REF!</v>
      </c>
      <c r="O150" t="e">
        <f>AND(#REF!,"AAAAAD7p/w4=")</f>
        <v>#REF!</v>
      </c>
      <c r="P150" t="e">
        <f>AND(#REF!,"AAAAAD7p/w8=")</f>
        <v>#REF!</v>
      </c>
      <c r="Q150" t="e">
        <f>AND(#REF!,"AAAAAD7p/xA=")</f>
        <v>#REF!</v>
      </c>
      <c r="R150" t="e">
        <f>AND(#REF!,"AAAAAD7p/xE=")</f>
        <v>#REF!</v>
      </c>
      <c r="S150" t="e">
        <f>AND(#REF!,"AAAAAD7p/xI=")</f>
        <v>#REF!</v>
      </c>
      <c r="T150" t="e">
        <f>AND(#REF!,"AAAAAD7p/xM=")</f>
        <v>#REF!</v>
      </c>
      <c r="U150" t="e">
        <f>AND(#REF!,"AAAAAD7p/xQ=")</f>
        <v>#REF!</v>
      </c>
      <c r="V150" t="e">
        <f>AND(#REF!,"AAAAAD7p/xU=")</f>
        <v>#REF!</v>
      </c>
      <c r="W150" t="e">
        <f>AND(#REF!,"AAAAAD7p/xY=")</f>
        <v>#REF!</v>
      </c>
      <c r="X150" t="e">
        <f>AND(#REF!,"AAAAAD7p/xc=")</f>
        <v>#REF!</v>
      </c>
      <c r="Y150" t="e">
        <f>AND(#REF!,"AAAAAD7p/xg=")</f>
        <v>#REF!</v>
      </c>
      <c r="Z150" t="e">
        <f>AND(#REF!,"AAAAAD7p/xk=")</f>
        <v>#REF!</v>
      </c>
      <c r="AA150" t="e">
        <f>AND(#REF!,"AAAAAD7p/xo=")</f>
        <v>#REF!</v>
      </c>
      <c r="AB150" t="e">
        <f>AND(#REF!,"AAAAAD7p/xs=")</f>
        <v>#REF!</v>
      </c>
      <c r="AC150" t="e">
        <f>AND(#REF!,"AAAAAD7p/xw=")</f>
        <v>#REF!</v>
      </c>
      <c r="AD150" t="e">
        <f>AND(#REF!,"AAAAAD7p/x0=")</f>
        <v>#REF!</v>
      </c>
      <c r="AE150" t="e">
        <f>AND(#REF!,"AAAAAD7p/x4=")</f>
        <v>#REF!</v>
      </c>
      <c r="AF150" t="e">
        <f>AND(#REF!,"AAAAAD7p/x8=")</f>
        <v>#REF!</v>
      </c>
      <c r="AG150" t="e">
        <f>IF(#REF!,"AAAAAD7p/yA=",0)</f>
        <v>#REF!</v>
      </c>
      <c r="AH150" t="e">
        <f>AND(#REF!,"AAAAAD7p/yE=")</f>
        <v>#REF!</v>
      </c>
      <c r="AI150" t="e">
        <f>AND(#REF!,"AAAAAD7p/yI=")</f>
        <v>#REF!</v>
      </c>
      <c r="AJ150" t="e">
        <f>AND(#REF!,"AAAAAD7p/yM=")</f>
        <v>#REF!</v>
      </c>
      <c r="AK150" t="e">
        <f>AND(#REF!,"AAAAAD7p/yQ=")</f>
        <v>#REF!</v>
      </c>
      <c r="AL150" t="e">
        <f>AND(#REF!,"AAAAAD7p/yU=")</f>
        <v>#REF!</v>
      </c>
      <c r="AM150" t="e">
        <f>AND(#REF!,"AAAAAD7p/yY=")</f>
        <v>#REF!</v>
      </c>
      <c r="AN150" t="e">
        <f>AND(#REF!,"AAAAAD7p/yc=")</f>
        <v>#REF!</v>
      </c>
      <c r="AO150" t="e">
        <f>AND(#REF!,"AAAAAD7p/yg=")</f>
        <v>#REF!</v>
      </c>
      <c r="AP150" t="e">
        <f>AND(#REF!,"AAAAAD7p/yk=")</f>
        <v>#REF!</v>
      </c>
      <c r="AQ150" t="e">
        <f>AND(#REF!,"AAAAAD7p/yo=")</f>
        <v>#REF!</v>
      </c>
      <c r="AR150" t="e">
        <f>AND(#REF!,"AAAAAD7p/ys=")</f>
        <v>#REF!</v>
      </c>
      <c r="AS150" t="e">
        <f>AND(#REF!,"AAAAAD7p/yw=")</f>
        <v>#REF!</v>
      </c>
      <c r="AT150" t="e">
        <f>AND(#REF!,"AAAAAD7p/y0=")</f>
        <v>#REF!</v>
      </c>
      <c r="AU150" t="e">
        <f>AND(#REF!,"AAAAAD7p/y4=")</f>
        <v>#REF!</v>
      </c>
      <c r="AV150" t="e">
        <f>AND(#REF!,"AAAAAD7p/y8=")</f>
        <v>#REF!</v>
      </c>
      <c r="AW150" t="e">
        <f>AND(#REF!,"AAAAAD7p/zA=")</f>
        <v>#REF!</v>
      </c>
      <c r="AX150" t="e">
        <f>AND(#REF!,"AAAAAD7p/zE=")</f>
        <v>#REF!</v>
      </c>
      <c r="AY150" t="e">
        <f>AND(#REF!,"AAAAAD7p/zI=")</f>
        <v>#REF!</v>
      </c>
      <c r="AZ150" t="e">
        <f>AND(#REF!,"AAAAAD7p/zM=")</f>
        <v>#REF!</v>
      </c>
      <c r="BA150" t="e">
        <f>AND(#REF!,"AAAAAD7p/zQ=")</f>
        <v>#REF!</v>
      </c>
      <c r="BB150" t="e">
        <f>AND(#REF!,"AAAAAD7p/zU=")</f>
        <v>#REF!</v>
      </c>
      <c r="BC150" t="e">
        <f>IF(#REF!,"AAAAAD7p/zY=",0)</f>
        <v>#REF!</v>
      </c>
      <c r="BD150" t="e">
        <f>AND(#REF!,"AAAAAD7p/zc=")</f>
        <v>#REF!</v>
      </c>
      <c r="BE150" t="e">
        <f>AND(#REF!,"AAAAAD7p/zg=")</f>
        <v>#REF!</v>
      </c>
      <c r="BF150" t="e">
        <f>AND(#REF!,"AAAAAD7p/zk=")</f>
        <v>#REF!</v>
      </c>
      <c r="BG150" t="e">
        <f>AND(#REF!,"AAAAAD7p/zo=")</f>
        <v>#REF!</v>
      </c>
      <c r="BH150" t="e">
        <f>AND(#REF!,"AAAAAD7p/zs=")</f>
        <v>#REF!</v>
      </c>
      <c r="BI150" t="e">
        <f>AND(#REF!,"AAAAAD7p/zw=")</f>
        <v>#REF!</v>
      </c>
      <c r="BJ150" t="e">
        <f>AND(#REF!,"AAAAAD7p/z0=")</f>
        <v>#REF!</v>
      </c>
      <c r="BK150" t="e">
        <f>AND(#REF!,"AAAAAD7p/z4=")</f>
        <v>#REF!</v>
      </c>
      <c r="BL150" t="e">
        <f>AND(#REF!,"AAAAAD7p/z8=")</f>
        <v>#REF!</v>
      </c>
      <c r="BM150" t="e">
        <f>AND(#REF!,"AAAAAD7p/0A=")</f>
        <v>#REF!</v>
      </c>
      <c r="BN150" t="e">
        <f>AND(#REF!,"AAAAAD7p/0E=")</f>
        <v>#REF!</v>
      </c>
      <c r="BO150" t="e">
        <f>AND(#REF!,"AAAAAD7p/0I=")</f>
        <v>#REF!</v>
      </c>
      <c r="BP150" t="e">
        <f>AND(#REF!,"AAAAAD7p/0M=")</f>
        <v>#REF!</v>
      </c>
      <c r="BQ150" t="e">
        <f>AND(#REF!,"AAAAAD7p/0Q=")</f>
        <v>#REF!</v>
      </c>
      <c r="BR150" t="e">
        <f>AND(#REF!,"AAAAAD7p/0U=")</f>
        <v>#REF!</v>
      </c>
      <c r="BS150" t="e">
        <f>AND(#REF!,"AAAAAD7p/0Y=")</f>
        <v>#REF!</v>
      </c>
      <c r="BT150" t="e">
        <f>AND(#REF!,"AAAAAD7p/0c=")</f>
        <v>#REF!</v>
      </c>
      <c r="BU150" t="e">
        <f>AND(#REF!,"AAAAAD7p/0g=")</f>
        <v>#REF!</v>
      </c>
      <c r="BV150" t="e">
        <f>AND(#REF!,"AAAAAD7p/0k=")</f>
        <v>#REF!</v>
      </c>
      <c r="BW150" t="e">
        <f>AND(#REF!,"AAAAAD7p/0o=")</f>
        <v>#REF!</v>
      </c>
      <c r="BX150" t="e">
        <f>AND(#REF!,"AAAAAD7p/0s=")</f>
        <v>#REF!</v>
      </c>
      <c r="BY150" t="e">
        <f>IF(#REF!,"AAAAAD7p/0w=",0)</f>
        <v>#REF!</v>
      </c>
      <c r="BZ150" t="e">
        <f>AND(#REF!,"AAAAAD7p/00=")</f>
        <v>#REF!</v>
      </c>
      <c r="CA150" t="e">
        <f>AND(#REF!,"AAAAAD7p/04=")</f>
        <v>#REF!</v>
      </c>
      <c r="CB150" t="e">
        <f>AND(#REF!,"AAAAAD7p/08=")</f>
        <v>#REF!</v>
      </c>
      <c r="CC150" t="e">
        <f>AND(#REF!,"AAAAAD7p/1A=")</f>
        <v>#REF!</v>
      </c>
      <c r="CD150" t="e">
        <f>AND(#REF!,"AAAAAD7p/1E=")</f>
        <v>#REF!</v>
      </c>
      <c r="CE150" t="e">
        <f>AND(#REF!,"AAAAAD7p/1I=")</f>
        <v>#REF!</v>
      </c>
      <c r="CF150" t="e">
        <f>AND(#REF!,"AAAAAD7p/1M=")</f>
        <v>#REF!</v>
      </c>
      <c r="CG150" t="e">
        <f>AND(#REF!,"AAAAAD7p/1Q=")</f>
        <v>#REF!</v>
      </c>
      <c r="CH150" t="e">
        <f>AND(#REF!,"AAAAAD7p/1U=")</f>
        <v>#REF!</v>
      </c>
      <c r="CI150" t="e">
        <f>AND(#REF!,"AAAAAD7p/1Y=")</f>
        <v>#REF!</v>
      </c>
      <c r="CJ150" t="e">
        <f>AND(#REF!,"AAAAAD7p/1c=")</f>
        <v>#REF!</v>
      </c>
      <c r="CK150" t="e">
        <f>AND(#REF!,"AAAAAD7p/1g=")</f>
        <v>#REF!</v>
      </c>
      <c r="CL150" t="e">
        <f>AND(#REF!,"AAAAAD7p/1k=")</f>
        <v>#REF!</v>
      </c>
      <c r="CM150" t="e">
        <f>AND(#REF!,"AAAAAD7p/1o=")</f>
        <v>#REF!</v>
      </c>
      <c r="CN150" t="e">
        <f>AND(#REF!,"AAAAAD7p/1s=")</f>
        <v>#REF!</v>
      </c>
      <c r="CO150" t="e">
        <f>AND(#REF!,"AAAAAD7p/1w=")</f>
        <v>#REF!</v>
      </c>
      <c r="CP150" t="e">
        <f>AND(#REF!,"AAAAAD7p/10=")</f>
        <v>#REF!</v>
      </c>
      <c r="CQ150" t="e">
        <f>AND(#REF!,"AAAAAD7p/14=")</f>
        <v>#REF!</v>
      </c>
      <c r="CR150" t="e">
        <f>AND(#REF!,"AAAAAD7p/18=")</f>
        <v>#REF!</v>
      </c>
      <c r="CS150" t="e">
        <f>AND(#REF!,"AAAAAD7p/2A=")</f>
        <v>#REF!</v>
      </c>
      <c r="CT150" t="e">
        <f>AND(#REF!,"AAAAAD7p/2E=")</f>
        <v>#REF!</v>
      </c>
      <c r="CU150" t="e">
        <f>IF(#REF!,"AAAAAD7p/2I=",0)</f>
        <v>#REF!</v>
      </c>
      <c r="CV150" t="e">
        <f>AND(#REF!,"AAAAAD7p/2M=")</f>
        <v>#REF!</v>
      </c>
      <c r="CW150" t="e">
        <f>AND(#REF!,"AAAAAD7p/2Q=")</f>
        <v>#REF!</v>
      </c>
      <c r="CX150" t="e">
        <f>AND(#REF!,"AAAAAD7p/2U=")</f>
        <v>#REF!</v>
      </c>
      <c r="CY150" t="e">
        <f>AND(#REF!,"AAAAAD7p/2Y=")</f>
        <v>#REF!</v>
      </c>
      <c r="CZ150" t="e">
        <f>AND(#REF!,"AAAAAD7p/2c=")</f>
        <v>#REF!</v>
      </c>
      <c r="DA150" t="e">
        <f>AND(#REF!,"AAAAAD7p/2g=")</f>
        <v>#REF!</v>
      </c>
      <c r="DB150" t="e">
        <f>AND(#REF!,"AAAAAD7p/2k=")</f>
        <v>#REF!</v>
      </c>
      <c r="DC150" t="e">
        <f>AND(#REF!,"AAAAAD7p/2o=")</f>
        <v>#REF!</v>
      </c>
      <c r="DD150" t="e">
        <f>AND(#REF!,"AAAAAD7p/2s=")</f>
        <v>#REF!</v>
      </c>
      <c r="DE150" t="e">
        <f>AND(#REF!,"AAAAAD7p/2w=")</f>
        <v>#REF!</v>
      </c>
      <c r="DF150" t="e">
        <f>AND(#REF!,"AAAAAD7p/20=")</f>
        <v>#REF!</v>
      </c>
      <c r="DG150" t="e">
        <f>AND(#REF!,"AAAAAD7p/24=")</f>
        <v>#REF!</v>
      </c>
      <c r="DH150" t="e">
        <f>AND(#REF!,"AAAAAD7p/28=")</f>
        <v>#REF!</v>
      </c>
      <c r="DI150" t="e">
        <f>AND(#REF!,"AAAAAD7p/3A=")</f>
        <v>#REF!</v>
      </c>
      <c r="DJ150" t="e">
        <f>AND(#REF!,"AAAAAD7p/3E=")</f>
        <v>#REF!</v>
      </c>
      <c r="DK150" t="e">
        <f>AND(#REF!,"AAAAAD7p/3I=")</f>
        <v>#REF!</v>
      </c>
      <c r="DL150" t="e">
        <f>AND(#REF!,"AAAAAD7p/3M=")</f>
        <v>#REF!</v>
      </c>
      <c r="DM150" t="e">
        <f>AND(#REF!,"AAAAAD7p/3Q=")</f>
        <v>#REF!</v>
      </c>
      <c r="DN150" t="e">
        <f>AND(#REF!,"AAAAAD7p/3U=")</f>
        <v>#REF!</v>
      </c>
      <c r="DO150" t="e">
        <f>AND(#REF!,"AAAAAD7p/3Y=")</f>
        <v>#REF!</v>
      </c>
      <c r="DP150" t="e">
        <f>AND(#REF!,"AAAAAD7p/3c=")</f>
        <v>#REF!</v>
      </c>
      <c r="DQ150" t="e">
        <f>IF(#REF!,"AAAAAD7p/3g=",0)</f>
        <v>#REF!</v>
      </c>
      <c r="DR150" t="e">
        <f>AND(#REF!,"AAAAAD7p/3k=")</f>
        <v>#REF!</v>
      </c>
      <c r="DS150" t="e">
        <f>AND(#REF!,"AAAAAD7p/3o=")</f>
        <v>#REF!</v>
      </c>
      <c r="DT150" t="e">
        <f>AND(#REF!,"AAAAAD7p/3s=")</f>
        <v>#REF!</v>
      </c>
      <c r="DU150" t="e">
        <f>AND(#REF!,"AAAAAD7p/3w=")</f>
        <v>#REF!</v>
      </c>
      <c r="DV150" t="e">
        <f>AND(#REF!,"AAAAAD7p/30=")</f>
        <v>#REF!</v>
      </c>
      <c r="DW150" t="e">
        <f>AND(#REF!,"AAAAAD7p/34=")</f>
        <v>#REF!</v>
      </c>
      <c r="DX150" t="e">
        <f>AND(#REF!,"AAAAAD7p/38=")</f>
        <v>#REF!</v>
      </c>
      <c r="DY150" t="e">
        <f>AND(#REF!,"AAAAAD7p/4A=")</f>
        <v>#REF!</v>
      </c>
      <c r="DZ150" t="e">
        <f>AND(#REF!,"AAAAAD7p/4E=")</f>
        <v>#REF!</v>
      </c>
      <c r="EA150" t="e">
        <f>AND(#REF!,"AAAAAD7p/4I=")</f>
        <v>#REF!</v>
      </c>
      <c r="EB150" t="e">
        <f>AND(#REF!,"AAAAAD7p/4M=")</f>
        <v>#REF!</v>
      </c>
      <c r="EC150" t="e">
        <f>AND(#REF!,"AAAAAD7p/4Q=")</f>
        <v>#REF!</v>
      </c>
      <c r="ED150" t="e">
        <f>AND(#REF!,"AAAAAD7p/4U=")</f>
        <v>#REF!</v>
      </c>
      <c r="EE150" t="e">
        <f>AND(#REF!,"AAAAAD7p/4Y=")</f>
        <v>#REF!</v>
      </c>
      <c r="EF150" t="e">
        <f>AND(#REF!,"AAAAAD7p/4c=")</f>
        <v>#REF!</v>
      </c>
      <c r="EG150" t="e">
        <f>AND(#REF!,"AAAAAD7p/4g=")</f>
        <v>#REF!</v>
      </c>
      <c r="EH150" t="e">
        <f>AND(#REF!,"AAAAAD7p/4k=")</f>
        <v>#REF!</v>
      </c>
      <c r="EI150" t="e">
        <f>AND(#REF!,"AAAAAD7p/4o=")</f>
        <v>#REF!</v>
      </c>
      <c r="EJ150" t="e">
        <f>AND(#REF!,"AAAAAD7p/4s=")</f>
        <v>#REF!</v>
      </c>
      <c r="EK150" t="e">
        <f>AND(#REF!,"AAAAAD7p/4w=")</f>
        <v>#REF!</v>
      </c>
      <c r="EL150" t="e">
        <f>AND(#REF!,"AAAAAD7p/40=")</f>
        <v>#REF!</v>
      </c>
      <c r="EM150" t="e">
        <f>IF(#REF!,"AAAAAD7p/44=",0)</f>
        <v>#REF!</v>
      </c>
      <c r="EN150" t="e">
        <f>AND(#REF!,"AAAAAD7p/48=")</f>
        <v>#REF!</v>
      </c>
      <c r="EO150" t="e">
        <f>AND(#REF!,"AAAAAD7p/5A=")</f>
        <v>#REF!</v>
      </c>
      <c r="EP150" t="e">
        <f>AND(#REF!,"AAAAAD7p/5E=")</f>
        <v>#REF!</v>
      </c>
      <c r="EQ150" t="e">
        <f>AND(#REF!,"AAAAAD7p/5I=")</f>
        <v>#REF!</v>
      </c>
      <c r="ER150" t="e">
        <f>AND(#REF!,"AAAAAD7p/5M=")</f>
        <v>#REF!</v>
      </c>
      <c r="ES150" t="e">
        <f>AND(#REF!,"AAAAAD7p/5Q=")</f>
        <v>#REF!</v>
      </c>
      <c r="ET150" t="e">
        <f>AND(#REF!,"AAAAAD7p/5U=")</f>
        <v>#REF!</v>
      </c>
      <c r="EU150" t="e">
        <f>AND(#REF!,"AAAAAD7p/5Y=")</f>
        <v>#REF!</v>
      </c>
      <c r="EV150" t="e">
        <f>AND(#REF!,"AAAAAD7p/5c=")</f>
        <v>#REF!</v>
      </c>
      <c r="EW150" t="e">
        <f>AND(#REF!,"AAAAAD7p/5g=")</f>
        <v>#REF!</v>
      </c>
      <c r="EX150" t="e">
        <f>AND(#REF!,"AAAAAD7p/5k=")</f>
        <v>#REF!</v>
      </c>
      <c r="EY150" t="e">
        <f>AND(#REF!,"AAAAAD7p/5o=")</f>
        <v>#REF!</v>
      </c>
      <c r="EZ150" t="e">
        <f>AND(#REF!,"AAAAAD7p/5s=")</f>
        <v>#REF!</v>
      </c>
      <c r="FA150" t="e">
        <f>AND(#REF!,"AAAAAD7p/5w=")</f>
        <v>#REF!</v>
      </c>
      <c r="FB150" t="e">
        <f>AND(#REF!,"AAAAAD7p/50=")</f>
        <v>#REF!</v>
      </c>
      <c r="FC150" t="e">
        <f>AND(#REF!,"AAAAAD7p/54=")</f>
        <v>#REF!</v>
      </c>
      <c r="FD150" t="e">
        <f>AND(#REF!,"AAAAAD7p/58=")</f>
        <v>#REF!</v>
      </c>
      <c r="FE150" t="e">
        <f>AND(#REF!,"AAAAAD7p/6A=")</f>
        <v>#REF!</v>
      </c>
      <c r="FF150" t="e">
        <f>AND(#REF!,"AAAAAD7p/6E=")</f>
        <v>#REF!</v>
      </c>
      <c r="FG150" t="e">
        <f>AND(#REF!,"AAAAAD7p/6I=")</f>
        <v>#REF!</v>
      </c>
      <c r="FH150" t="e">
        <f>AND(#REF!,"AAAAAD7p/6M=")</f>
        <v>#REF!</v>
      </c>
      <c r="FI150" t="e">
        <f>IF(#REF!,"AAAAAD7p/6Q=",0)</f>
        <v>#REF!</v>
      </c>
      <c r="FJ150" t="e">
        <f>AND(#REF!,"AAAAAD7p/6U=")</f>
        <v>#REF!</v>
      </c>
      <c r="FK150" t="e">
        <f>AND(#REF!,"AAAAAD7p/6Y=")</f>
        <v>#REF!</v>
      </c>
      <c r="FL150" t="e">
        <f>AND(#REF!,"AAAAAD7p/6c=")</f>
        <v>#REF!</v>
      </c>
      <c r="FM150" t="e">
        <f>AND(#REF!,"AAAAAD7p/6g=")</f>
        <v>#REF!</v>
      </c>
      <c r="FN150" t="e">
        <f>AND(#REF!,"AAAAAD7p/6k=")</f>
        <v>#REF!</v>
      </c>
      <c r="FO150" t="e">
        <f>AND(#REF!,"AAAAAD7p/6o=")</f>
        <v>#REF!</v>
      </c>
      <c r="FP150" t="e">
        <f>AND(#REF!,"AAAAAD7p/6s=")</f>
        <v>#REF!</v>
      </c>
      <c r="FQ150" t="e">
        <f>AND(#REF!,"AAAAAD7p/6w=")</f>
        <v>#REF!</v>
      </c>
      <c r="FR150" t="e">
        <f>AND(#REF!,"AAAAAD7p/60=")</f>
        <v>#REF!</v>
      </c>
      <c r="FS150" t="e">
        <f>AND(#REF!,"AAAAAD7p/64=")</f>
        <v>#REF!</v>
      </c>
      <c r="FT150" t="e">
        <f>AND(#REF!,"AAAAAD7p/68=")</f>
        <v>#REF!</v>
      </c>
      <c r="FU150" t="e">
        <f>AND(#REF!,"AAAAAD7p/7A=")</f>
        <v>#REF!</v>
      </c>
      <c r="FV150" t="e">
        <f>AND(#REF!,"AAAAAD7p/7E=")</f>
        <v>#REF!</v>
      </c>
      <c r="FW150" t="e">
        <f>AND(#REF!,"AAAAAD7p/7I=")</f>
        <v>#REF!</v>
      </c>
      <c r="FX150" t="e">
        <f>AND(#REF!,"AAAAAD7p/7M=")</f>
        <v>#REF!</v>
      </c>
      <c r="FY150" t="e">
        <f>AND(#REF!,"AAAAAD7p/7Q=")</f>
        <v>#REF!</v>
      </c>
      <c r="FZ150" t="e">
        <f>AND(#REF!,"AAAAAD7p/7U=")</f>
        <v>#REF!</v>
      </c>
      <c r="GA150" t="e">
        <f>AND(#REF!,"AAAAAD7p/7Y=")</f>
        <v>#REF!</v>
      </c>
      <c r="GB150" t="e">
        <f>AND(#REF!,"AAAAAD7p/7c=")</f>
        <v>#REF!</v>
      </c>
      <c r="GC150" t="e">
        <f>AND(#REF!,"AAAAAD7p/7g=")</f>
        <v>#REF!</v>
      </c>
      <c r="GD150" t="e">
        <f>AND(#REF!,"AAAAAD7p/7k=")</f>
        <v>#REF!</v>
      </c>
      <c r="GE150" t="e">
        <f>IF(#REF!,"AAAAAD7p/7o=",0)</f>
        <v>#REF!</v>
      </c>
      <c r="GF150" t="e">
        <f>AND(#REF!,"AAAAAD7p/7s=")</f>
        <v>#REF!</v>
      </c>
      <c r="GG150" t="e">
        <f>AND(#REF!,"AAAAAD7p/7w=")</f>
        <v>#REF!</v>
      </c>
      <c r="GH150" t="e">
        <f>AND(#REF!,"AAAAAD7p/70=")</f>
        <v>#REF!</v>
      </c>
      <c r="GI150" t="e">
        <f>AND(#REF!,"AAAAAD7p/74=")</f>
        <v>#REF!</v>
      </c>
      <c r="GJ150" t="e">
        <f>AND(#REF!,"AAAAAD7p/78=")</f>
        <v>#REF!</v>
      </c>
      <c r="GK150" t="e">
        <f>AND(#REF!,"AAAAAD7p/8A=")</f>
        <v>#REF!</v>
      </c>
      <c r="GL150" t="e">
        <f>AND(#REF!,"AAAAAD7p/8E=")</f>
        <v>#REF!</v>
      </c>
      <c r="GM150" t="e">
        <f>AND(#REF!,"AAAAAD7p/8I=")</f>
        <v>#REF!</v>
      </c>
      <c r="GN150" t="e">
        <f>AND(#REF!,"AAAAAD7p/8M=")</f>
        <v>#REF!</v>
      </c>
      <c r="GO150" t="e">
        <f>AND(#REF!,"AAAAAD7p/8Q=")</f>
        <v>#REF!</v>
      </c>
      <c r="GP150" t="e">
        <f>AND(#REF!,"AAAAAD7p/8U=")</f>
        <v>#REF!</v>
      </c>
      <c r="GQ150" t="e">
        <f>AND(#REF!,"AAAAAD7p/8Y=")</f>
        <v>#REF!</v>
      </c>
      <c r="GR150" t="e">
        <f>AND(#REF!,"AAAAAD7p/8c=")</f>
        <v>#REF!</v>
      </c>
      <c r="GS150" t="e">
        <f>AND(#REF!,"AAAAAD7p/8g=")</f>
        <v>#REF!</v>
      </c>
      <c r="GT150" t="e">
        <f>AND(#REF!,"AAAAAD7p/8k=")</f>
        <v>#REF!</v>
      </c>
      <c r="GU150" t="e">
        <f>AND(#REF!,"AAAAAD7p/8o=")</f>
        <v>#REF!</v>
      </c>
      <c r="GV150" t="e">
        <f>AND(#REF!,"AAAAAD7p/8s=")</f>
        <v>#REF!</v>
      </c>
      <c r="GW150" t="e">
        <f>AND(#REF!,"AAAAAD7p/8w=")</f>
        <v>#REF!</v>
      </c>
      <c r="GX150" t="e">
        <f>AND(#REF!,"AAAAAD7p/80=")</f>
        <v>#REF!</v>
      </c>
      <c r="GY150" t="e">
        <f>AND(#REF!,"AAAAAD7p/84=")</f>
        <v>#REF!</v>
      </c>
      <c r="GZ150" t="e">
        <f>AND(#REF!,"AAAAAD7p/88=")</f>
        <v>#REF!</v>
      </c>
      <c r="HA150" t="e">
        <f>IF(#REF!,"AAAAAD7p/9A=",0)</f>
        <v>#REF!</v>
      </c>
      <c r="HB150" t="e">
        <f>AND(#REF!,"AAAAAD7p/9E=")</f>
        <v>#REF!</v>
      </c>
      <c r="HC150" t="e">
        <f>AND(#REF!,"AAAAAD7p/9I=")</f>
        <v>#REF!</v>
      </c>
      <c r="HD150" t="e">
        <f>AND(#REF!,"AAAAAD7p/9M=")</f>
        <v>#REF!</v>
      </c>
      <c r="HE150" t="e">
        <f>AND(#REF!,"AAAAAD7p/9Q=")</f>
        <v>#REF!</v>
      </c>
      <c r="HF150" t="e">
        <f>AND(#REF!,"AAAAAD7p/9U=")</f>
        <v>#REF!</v>
      </c>
      <c r="HG150" t="e">
        <f>AND(#REF!,"AAAAAD7p/9Y=")</f>
        <v>#REF!</v>
      </c>
      <c r="HH150" t="e">
        <f>AND(#REF!,"AAAAAD7p/9c=")</f>
        <v>#REF!</v>
      </c>
      <c r="HI150" t="e">
        <f>AND(#REF!,"AAAAAD7p/9g=")</f>
        <v>#REF!</v>
      </c>
      <c r="HJ150" t="e">
        <f>AND(#REF!,"AAAAAD7p/9k=")</f>
        <v>#REF!</v>
      </c>
      <c r="HK150" t="e">
        <f>AND(#REF!,"AAAAAD7p/9o=")</f>
        <v>#REF!</v>
      </c>
      <c r="HL150" t="e">
        <f>AND(#REF!,"AAAAAD7p/9s=")</f>
        <v>#REF!</v>
      </c>
      <c r="HM150" t="e">
        <f>AND(#REF!,"AAAAAD7p/9w=")</f>
        <v>#REF!</v>
      </c>
      <c r="HN150" t="e">
        <f>AND(#REF!,"AAAAAD7p/90=")</f>
        <v>#REF!</v>
      </c>
      <c r="HO150" t="e">
        <f>AND(#REF!,"AAAAAD7p/94=")</f>
        <v>#REF!</v>
      </c>
      <c r="HP150" t="e">
        <f>AND(#REF!,"AAAAAD7p/98=")</f>
        <v>#REF!</v>
      </c>
      <c r="HQ150" t="e">
        <f>AND(#REF!,"AAAAAD7p/+A=")</f>
        <v>#REF!</v>
      </c>
      <c r="HR150" t="e">
        <f>AND(#REF!,"AAAAAD7p/+E=")</f>
        <v>#REF!</v>
      </c>
      <c r="HS150" t="e">
        <f>AND(#REF!,"AAAAAD7p/+I=")</f>
        <v>#REF!</v>
      </c>
      <c r="HT150" t="e">
        <f>AND(#REF!,"AAAAAD7p/+M=")</f>
        <v>#REF!</v>
      </c>
      <c r="HU150" t="e">
        <f>AND(#REF!,"AAAAAD7p/+Q=")</f>
        <v>#REF!</v>
      </c>
      <c r="HV150" t="e">
        <f>AND(#REF!,"AAAAAD7p/+U=")</f>
        <v>#REF!</v>
      </c>
      <c r="HW150" t="e">
        <f>IF(#REF!,"AAAAAD7p/+Y=",0)</f>
        <v>#REF!</v>
      </c>
      <c r="HX150" t="e">
        <f>AND(#REF!,"AAAAAD7p/+c=")</f>
        <v>#REF!</v>
      </c>
      <c r="HY150" t="e">
        <f>AND(#REF!,"AAAAAD7p/+g=")</f>
        <v>#REF!</v>
      </c>
      <c r="HZ150" t="e">
        <f>AND(#REF!,"AAAAAD7p/+k=")</f>
        <v>#REF!</v>
      </c>
      <c r="IA150" t="e">
        <f>AND(#REF!,"AAAAAD7p/+o=")</f>
        <v>#REF!</v>
      </c>
      <c r="IB150" t="e">
        <f>AND(#REF!,"AAAAAD7p/+s=")</f>
        <v>#REF!</v>
      </c>
      <c r="IC150" t="e">
        <f>AND(#REF!,"AAAAAD7p/+w=")</f>
        <v>#REF!</v>
      </c>
      <c r="ID150" t="e">
        <f>AND(#REF!,"AAAAAD7p/+0=")</f>
        <v>#REF!</v>
      </c>
      <c r="IE150" t="e">
        <f>AND(#REF!,"AAAAAD7p/+4=")</f>
        <v>#REF!</v>
      </c>
      <c r="IF150" t="e">
        <f>AND(#REF!,"AAAAAD7p/+8=")</f>
        <v>#REF!</v>
      </c>
      <c r="IG150" t="e">
        <f>AND(#REF!,"AAAAAD7p//A=")</f>
        <v>#REF!</v>
      </c>
      <c r="IH150" t="e">
        <f>AND(#REF!,"AAAAAD7p//E=")</f>
        <v>#REF!</v>
      </c>
      <c r="II150" t="e">
        <f>AND(#REF!,"AAAAAD7p//I=")</f>
        <v>#REF!</v>
      </c>
      <c r="IJ150" t="e">
        <f>AND(#REF!,"AAAAAD7p//M=")</f>
        <v>#REF!</v>
      </c>
      <c r="IK150" t="e">
        <f>AND(#REF!,"AAAAAD7p//Q=")</f>
        <v>#REF!</v>
      </c>
      <c r="IL150" t="e">
        <f>AND(#REF!,"AAAAAD7p//U=")</f>
        <v>#REF!</v>
      </c>
      <c r="IM150" t="e">
        <f>AND(#REF!,"AAAAAD7p//Y=")</f>
        <v>#REF!</v>
      </c>
      <c r="IN150" t="e">
        <f>AND(#REF!,"AAAAAD7p//c=")</f>
        <v>#REF!</v>
      </c>
      <c r="IO150" t="e">
        <f>AND(#REF!,"AAAAAD7p//g=")</f>
        <v>#REF!</v>
      </c>
      <c r="IP150" t="e">
        <f>AND(#REF!,"AAAAAD7p//k=")</f>
        <v>#REF!</v>
      </c>
      <c r="IQ150" t="e">
        <f>AND(#REF!,"AAAAAD7p//o=")</f>
        <v>#REF!</v>
      </c>
      <c r="IR150" t="e">
        <f>AND(#REF!,"AAAAAD7p//s=")</f>
        <v>#REF!</v>
      </c>
      <c r="IS150" t="e">
        <f>IF(#REF!,"AAAAAD7p//w=",0)</f>
        <v>#REF!</v>
      </c>
      <c r="IT150" t="e">
        <f>AND(#REF!,"AAAAAD7p//0=")</f>
        <v>#REF!</v>
      </c>
      <c r="IU150" t="e">
        <f>AND(#REF!,"AAAAAD7p//4=")</f>
        <v>#REF!</v>
      </c>
      <c r="IV150" t="e">
        <f>AND(#REF!,"AAAAAD7p//8=")</f>
        <v>#REF!</v>
      </c>
    </row>
    <row r="151" spans="1:256" x14ac:dyDescent="0.25">
      <c r="A151" t="e">
        <f>AND(#REF!,"AAAAAB727wA=")</f>
        <v>#REF!</v>
      </c>
      <c r="B151" t="e">
        <f>AND(#REF!,"AAAAAB727wE=")</f>
        <v>#REF!</v>
      </c>
      <c r="C151" t="e">
        <f>AND(#REF!,"AAAAAB727wI=")</f>
        <v>#REF!</v>
      </c>
      <c r="D151" t="e">
        <f>AND(#REF!,"AAAAAB727wM=")</f>
        <v>#REF!</v>
      </c>
      <c r="E151" t="e">
        <f>AND(#REF!,"AAAAAB727wQ=")</f>
        <v>#REF!</v>
      </c>
      <c r="F151" t="e">
        <f>AND(#REF!,"AAAAAB727wU=")</f>
        <v>#REF!</v>
      </c>
      <c r="G151" t="e">
        <f>AND(#REF!,"AAAAAB727wY=")</f>
        <v>#REF!</v>
      </c>
      <c r="H151" t="e">
        <f>AND(#REF!,"AAAAAB727wc=")</f>
        <v>#REF!</v>
      </c>
      <c r="I151" t="e">
        <f>AND(#REF!,"AAAAAB727wg=")</f>
        <v>#REF!</v>
      </c>
      <c r="J151" t="e">
        <f>AND(#REF!,"AAAAAB727wk=")</f>
        <v>#REF!</v>
      </c>
      <c r="K151" t="e">
        <f>AND(#REF!,"AAAAAB727wo=")</f>
        <v>#REF!</v>
      </c>
      <c r="L151" t="e">
        <f>AND(#REF!,"AAAAAB727ws=")</f>
        <v>#REF!</v>
      </c>
      <c r="M151" t="e">
        <f>AND(#REF!,"AAAAAB727ww=")</f>
        <v>#REF!</v>
      </c>
      <c r="N151" t="e">
        <f>AND(#REF!,"AAAAAB727w0=")</f>
        <v>#REF!</v>
      </c>
      <c r="O151" t="e">
        <f>AND(#REF!,"AAAAAB727w4=")</f>
        <v>#REF!</v>
      </c>
      <c r="P151" t="e">
        <f>AND(#REF!,"AAAAAB727w8=")</f>
        <v>#REF!</v>
      </c>
      <c r="Q151" t="e">
        <f>AND(#REF!,"AAAAAB727xA=")</f>
        <v>#REF!</v>
      </c>
      <c r="R151" t="e">
        <f>AND(#REF!,"AAAAAB727xE=")</f>
        <v>#REF!</v>
      </c>
      <c r="S151" t="e">
        <f>IF(#REF!,"AAAAAB727xI=",0)</f>
        <v>#REF!</v>
      </c>
      <c r="T151" t="e">
        <f>AND(#REF!,"AAAAAB727xM=")</f>
        <v>#REF!</v>
      </c>
      <c r="U151" t="e">
        <f>AND(#REF!,"AAAAAB727xQ=")</f>
        <v>#REF!</v>
      </c>
      <c r="V151" t="e">
        <f>AND(#REF!,"AAAAAB727xU=")</f>
        <v>#REF!</v>
      </c>
      <c r="W151" t="e">
        <f>AND(#REF!,"AAAAAB727xY=")</f>
        <v>#REF!</v>
      </c>
      <c r="X151" t="e">
        <f>AND(#REF!,"AAAAAB727xc=")</f>
        <v>#REF!</v>
      </c>
      <c r="Y151" t="e">
        <f>AND(#REF!,"AAAAAB727xg=")</f>
        <v>#REF!</v>
      </c>
      <c r="Z151" t="e">
        <f>AND(#REF!,"AAAAAB727xk=")</f>
        <v>#REF!</v>
      </c>
      <c r="AA151" t="e">
        <f>AND(#REF!,"AAAAAB727xo=")</f>
        <v>#REF!</v>
      </c>
      <c r="AB151" t="e">
        <f>AND(#REF!,"AAAAAB727xs=")</f>
        <v>#REF!</v>
      </c>
      <c r="AC151" t="e">
        <f>AND(#REF!,"AAAAAB727xw=")</f>
        <v>#REF!</v>
      </c>
      <c r="AD151" t="e">
        <f>AND(#REF!,"AAAAAB727x0=")</f>
        <v>#REF!</v>
      </c>
      <c r="AE151" t="e">
        <f>AND(#REF!,"AAAAAB727x4=")</f>
        <v>#REF!</v>
      </c>
      <c r="AF151" t="e">
        <f>AND(#REF!,"AAAAAB727x8=")</f>
        <v>#REF!</v>
      </c>
      <c r="AG151" t="e">
        <f>AND(#REF!,"AAAAAB727yA=")</f>
        <v>#REF!</v>
      </c>
      <c r="AH151" t="e">
        <f>AND(#REF!,"AAAAAB727yE=")</f>
        <v>#REF!</v>
      </c>
      <c r="AI151" t="e">
        <f>AND(#REF!,"AAAAAB727yI=")</f>
        <v>#REF!</v>
      </c>
      <c r="AJ151" t="e">
        <f>AND(#REF!,"AAAAAB727yM=")</f>
        <v>#REF!</v>
      </c>
      <c r="AK151" t="e">
        <f>AND(#REF!,"AAAAAB727yQ=")</f>
        <v>#REF!</v>
      </c>
      <c r="AL151" t="e">
        <f>AND(#REF!,"AAAAAB727yU=")</f>
        <v>#REF!</v>
      </c>
      <c r="AM151" t="e">
        <f>AND(#REF!,"AAAAAB727yY=")</f>
        <v>#REF!</v>
      </c>
      <c r="AN151" t="e">
        <f>AND(#REF!,"AAAAAB727yc=")</f>
        <v>#REF!</v>
      </c>
      <c r="AO151" t="e">
        <f>IF(#REF!,"AAAAAB727yg=",0)</f>
        <v>#REF!</v>
      </c>
      <c r="AP151" t="e">
        <f>AND(#REF!,"AAAAAB727yk=")</f>
        <v>#REF!</v>
      </c>
      <c r="AQ151" t="e">
        <f>AND(#REF!,"AAAAAB727yo=")</f>
        <v>#REF!</v>
      </c>
      <c r="AR151" t="e">
        <f>AND(#REF!,"AAAAAB727ys=")</f>
        <v>#REF!</v>
      </c>
      <c r="AS151" t="e">
        <f>AND(#REF!,"AAAAAB727yw=")</f>
        <v>#REF!</v>
      </c>
      <c r="AT151" t="e">
        <f>AND(#REF!,"AAAAAB727y0=")</f>
        <v>#REF!</v>
      </c>
      <c r="AU151" t="e">
        <f>AND(#REF!,"AAAAAB727y4=")</f>
        <v>#REF!</v>
      </c>
      <c r="AV151" t="e">
        <f>AND(#REF!,"AAAAAB727y8=")</f>
        <v>#REF!</v>
      </c>
      <c r="AW151" t="e">
        <f>AND(#REF!,"AAAAAB727zA=")</f>
        <v>#REF!</v>
      </c>
      <c r="AX151" t="e">
        <f>AND(#REF!,"AAAAAB727zE=")</f>
        <v>#REF!</v>
      </c>
      <c r="AY151" t="e">
        <f>AND(#REF!,"AAAAAB727zI=")</f>
        <v>#REF!</v>
      </c>
      <c r="AZ151" t="e">
        <f>AND(#REF!,"AAAAAB727zM=")</f>
        <v>#REF!</v>
      </c>
      <c r="BA151" t="e">
        <f>AND(#REF!,"AAAAAB727zQ=")</f>
        <v>#REF!</v>
      </c>
      <c r="BB151" t="e">
        <f>AND(#REF!,"AAAAAB727zU=")</f>
        <v>#REF!</v>
      </c>
      <c r="BC151" t="e">
        <f>AND(#REF!,"AAAAAB727zY=")</f>
        <v>#REF!</v>
      </c>
      <c r="BD151" t="e">
        <f>AND(#REF!,"AAAAAB727zc=")</f>
        <v>#REF!</v>
      </c>
      <c r="BE151" t="e">
        <f>AND(#REF!,"AAAAAB727zg=")</f>
        <v>#REF!</v>
      </c>
      <c r="BF151" t="e">
        <f>AND(#REF!,"AAAAAB727zk=")</f>
        <v>#REF!</v>
      </c>
      <c r="BG151" t="e">
        <f>AND(#REF!,"AAAAAB727zo=")</f>
        <v>#REF!</v>
      </c>
      <c r="BH151" t="e">
        <f>AND(#REF!,"AAAAAB727zs=")</f>
        <v>#REF!</v>
      </c>
      <c r="BI151" t="e">
        <f>AND(#REF!,"AAAAAB727zw=")</f>
        <v>#REF!</v>
      </c>
      <c r="BJ151" t="e">
        <f>AND(#REF!,"AAAAAB727z0=")</f>
        <v>#REF!</v>
      </c>
      <c r="BK151" t="e">
        <f>IF(#REF!,"AAAAAB727z4=",0)</f>
        <v>#REF!</v>
      </c>
      <c r="BL151" t="e">
        <f>AND(#REF!,"AAAAAB727z8=")</f>
        <v>#REF!</v>
      </c>
      <c r="BM151" t="e">
        <f>AND(#REF!,"AAAAAB7270A=")</f>
        <v>#REF!</v>
      </c>
      <c r="BN151" t="e">
        <f>AND(#REF!,"AAAAAB7270E=")</f>
        <v>#REF!</v>
      </c>
      <c r="BO151" t="e">
        <f>AND(#REF!,"AAAAAB7270I=")</f>
        <v>#REF!</v>
      </c>
      <c r="BP151" t="e">
        <f>AND(#REF!,"AAAAAB7270M=")</f>
        <v>#REF!</v>
      </c>
      <c r="BQ151" t="e">
        <f>AND(#REF!,"AAAAAB7270Q=")</f>
        <v>#REF!</v>
      </c>
      <c r="BR151" t="e">
        <f>AND(#REF!,"AAAAAB7270U=")</f>
        <v>#REF!</v>
      </c>
      <c r="BS151" t="e">
        <f>AND(#REF!,"AAAAAB7270Y=")</f>
        <v>#REF!</v>
      </c>
      <c r="BT151" t="e">
        <f>AND(#REF!,"AAAAAB7270c=")</f>
        <v>#REF!</v>
      </c>
      <c r="BU151" t="e">
        <f>AND(#REF!,"AAAAAB7270g=")</f>
        <v>#REF!</v>
      </c>
      <c r="BV151" t="e">
        <f>AND(#REF!,"AAAAAB7270k=")</f>
        <v>#REF!</v>
      </c>
      <c r="BW151" t="e">
        <f>AND(#REF!,"AAAAAB7270o=")</f>
        <v>#REF!</v>
      </c>
      <c r="BX151" t="e">
        <f>AND(#REF!,"AAAAAB7270s=")</f>
        <v>#REF!</v>
      </c>
      <c r="BY151" t="e">
        <f>AND(#REF!,"AAAAAB7270w=")</f>
        <v>#REF!</v>
      </c>
      <c r="BZ151" t="e">
        <f>AND(#REF!,"AAAAAB72700=")</f>
        <v>#REF!</v>
      </c>
      <c r="CA151" t="e">
        <f>AND(#REF!,"AAAAAB72704=")</f>
        <v>#REF!</v>
      </c>
      <c r="CB151" t="e">
        <f>AND(#REF!,"AAAAAB72708=")</f>
        <v>#REF!</v>
      </c>
      <c r="CC151" t="e">
        <f>AND(#REF!,"AAAAAB7271A=")</f>
        <v>#REF!</v>
      </c>
      <c r="CD151" t="e">
        <f>AND(#REF!,"AAAAAB7271E=")</f>
        <v>#REF!</v>
      </c>
      <c r="CE151" t="e">
        <f>AND(#REF!,"AAAAAB7271I=")</f>
        <v>#REF!</v>
      </c>
      <c r="CF151" t="e">
        <f>AND(#REF!,"AAAAAB7271M=")</f>
        <v>#REF!</v>
      </c>
      <c r="CG151" t="e">
        <f>IF(#REF!,"AAAAAB7271Q=",0)</f>
        <v>#REF!</v>
      </c>
      <c r="CH151" t="e">
        <f>AND(#REF!,"AAAAAB7271U=")</f>
        <v>#REF!</v>
      </c>
      <c r="CI151" t="e">
        <f>AND(#REF!,"AAAAAB7271Y=")</f>
        <v>#REF!</v>
      </c>
      <c r="CJ151" t="e">
        <f>AND(#REF!,"AAAAAB7271c=")</f>
        <v>#REF!</v>
      </c>
      <c r="CK151" t="e">
        <f>AND(#REF!,"AAAAAB7271g=")</f>
        <v>#REF!</v>
      </c>
      <c r="CL151" t="e">
        <f>AND(#REF!,"AAAAAB7271k=")</f>
        <v>#REF!</v>
      </c>
      <c r="CM151" t="e">
        <f>AND(#REF!,"AAAAAB7271o=")</f>
        <v>#REF!</v>
      </c>
      <c r="CN151" t="e">
        <f>AND(#REF!,"AAAAAB7271s=")</f>
        <v>#REF!</v>
      </c>
      <c r="CO151" t="e">
        <f>AND(#REF!,"AAAAAB7271w=")</f>
        <v>#REF!</v>
      </c>
      <c r="CP151" t="e">
        <f>AND(#REF!,"AAAAAB72710=")</f>
        <v>#REF!</v>
      </c>
      <c r="CQ151" t="e">
        <f>AND(#REF!,"AAAAAB72714=")</f>
        <v>#REF!</v>
      </c>
      <c r="CR151" t="e">
        <f>AND(#REF!,"AAAAAB72718=")</f>
        <v>#REF!</v>
      </c>
      <c r="CS151" t="e">
        <f>AND(#REF!,"AAAAAB7272A=")</f>
        <v>#REF!</v>
      </c>
      <c r="CT151" t="e">
        <f>AND(#REF!,"AAAAAB7272E=")</f>
        <v>#REF!</v>
      </c>
      <c r="CU151" t="e">
        <f>AND(#REF!,"AAAAAB7272I=")</f>
        <v>#REF!</v>
      </c>
      <c r="CV151" t="e">
        <f>AND(#REF!,"AAAAAB7272M=")</f>
        <v>#REF!</v>
      </c>
      <c r="CW151" t="e">
        <f>AND(#REF!,"AAAAAB7272Q=")</f>
        <v>#REF!</v>
      </c>
      <c r="CX151" t="e">
        <f>AND(#REF!,"AAAAAB7272U=")</f>
        <v>#REF!</v>
      </c>
      <c r="CY151" t="e">
        <f>AND(#REF!,"AAAAAB7272Y=")</f>
        <v>#REF!</v>
      </c>
      <c r="CZ151" t="e">
        <f>AND(#REF!,"AAAAAB7272c=")</f>
        <v>#REF!</v>
      </c>
      <c r="DA151" t="e">
        <f>AND(#REF!,"AAAAAB7272g=")</f>
        <v>#REF!</v>
      </c>
      <c r="DB151" t="e">
        <f>AND(#REF!,"AAAAAB7272k=")</f>
        <v>#REF!</v>
      </c>
      <c r="DC151" t="e">
        <f>IF(#REF!,"AAAAAB7272o=",0)</f>
        <v>#REF!</v>
      </c>
      <c r="DD151" t="e">
        <f>AND(#REF!,"AAAAAB7272s=")</f>
        <v>#REF!</v>
      </c>
      <c r="DE151" t="e">
        <f>AND(#REF!,"AAAAAB7272w=")</f>
        <v>#REF!</v>
      </c>
      <c r="DF151" t="e">
        <f>AND(#REF!,"AAAAAB72720=")</f>
        <v>#REF!</v>
      </c>
      <c r="DG151" t="e">
        <f>AND(#REF!,"AAAAAB72724=")</f>
        <v>#REF!</v>
      </c>
      <c r="DH151" t="e">
        <f>AND(#REF!,"AAAAAB72728=")</f>
        <v>#REF!</v>
      </c>
      <c r="DI151" t="e">
        <f>AND(#REF!,"AAAAAB7273A=")</f>
        <v>#REF!</v>
      </c>
      <c r="DJ151" t="e">
        <f>AND(#REF!,"AAAAAB7273E=")</f>
        <v>#REF!</v>
      </c>
      <c r="DK151" t="e">
        <f>AND(#REF!,"AAAAAB7273I=")</f>
        <v>#REF!</v>
      </c>
      <c r="DL151" t="e">
        <f>AND(#REF!,"AAAAAB7273M=")</f>
        <v>#REF!</v>
      </c>
      <c r="DM151" t="e">
        <f>AND(#REF!,"AAAAAB7273Q=")</f>
        <v>#REF!</v>
      </c>
      <c r="DN151" t="e">
        <f>AND(#REF!,"AAAAAB7273U=")</f>
        <v>#REF!</v>
      </c>
      <c r="DO151" t="e">
        <f>AND(#REF!,"AAAAAB7273Y=")</f>
        <v>#REF!</v>
      </c>
      <c r="DP151" t="e">
        <f>AND(#REF!,"AAAAAB7273c=")</f>
        <v>#REF!</v>
      </c>
      <c r="DQ151" t="e">
        <f>AND(#REF!,"AAAAAB7273g=")</f>
        <v>#REF!</v>
      </c>
      <c r="DR151" t="e">
        <f>AND(#REF!,"AAAAAB7273k=")</f>
        <v>#REF!</v>
      </c>
      <c r="DS151" t="e">
        <f>AND(#REF!,"AAAAAB7273o=")</f>
        <v>#REF!</v>
      </c>
      <c r="DT151" t="e">
        <f>AND(#REF!,"AAAAAB7273s=")</f>
        <v>#REF!</v>
      </c>
      <c r="DU151" t="e">
        <f>AND(#REF!,"AAAAAB7273w=")</f>
        <v>#REF!</v>
      </c>
      <c r="DV151" t="e">
        <f>AND(#REF!,"AAAAAB72730=")</f>
        <v>#REF!</v>
      </c>
      <c r="DW151" t="e">
        <f>AND(#REF!,"AAAAAB72734=")</f>
        <v>#REF!</v>
      </c>
      <c r="DX151" t="e">
        <f>AND(#REF!,"AAAAAB72738=")</f>
        <v>#REF!</v>
      </c>
      <c r="DY151" t="e">
        <f>IF(#REF!,"AAAAAB7274A=",0)</f>
        <v>#REF!</v>
      </c>
      <c r="DZ151" t="e">
        <f>AND(#REF!,"AAAAAB7274E=")</f>
        <v>#REF!</v>
      </c>
      <c r="EA151" t="e">
        <f>AND(#REF!,"AAAAAB7274I=")</f>
        <v>#REF!</v>
      </c>
      <c r="EB151" t="e">
        <f>AND(#REF!,"AAAAAB7274M=")</f>
        <v>#REF!</v>
      </c>
      <c r="EC151" t="e">
        <f>AND(#REF!,"AAAAAB7274Q=")</f>
        <v>#REF!</v>
      </c>
      <c r="ED151" t="e">
        <f>AND(#REF!,"AAAAAB7274U=")</f>
        <v>#REF!</v>
      </c>
      <c r="EE151" t="e">
        <f>AND(#REF!,"AAAAAB7274Y=")</f>
        <v>#REF!</v>
      </c>
      <c r="EF151" t="e">
        <f>AND(#REF!,"AAAAAB7274c=")</f>
        <v>#REF!</v>
      </c>
      <c r="EG151" t="e">
        <f>AND(#REF!,"AAAAAB7274g=")</f>
        <v>#REF!</v>
      </c>
      <c r="EH151" t="e">
        <f>AND(#REF!,"AAAAAB7274k=")</f>
        <v>#REF!</v>
      </c>
      <c r="EI151" t="e">
        <f>AND(#REF!,"AAAAAB7274o=")</f>
        <v>#REF!</v>
      </c>
      <c r="EJ151" t="e">
        <f>AND(#REF!,"AAAAAB7274s=")</f>
        <v>#REF!</v>
      </c>
      <c r="EK151" t="e">
        <f>AND(#REF!,"AAAAAB7274w=")</f>
        <v>#REF!</v>
      </c>
      <c r="EL151" t="e">
        <f>AND(#REF!,"AAAAAB72740=")</f>
        <v>#REF!</v>
      </c>
      <c r="EM151" t="e">
        <f>AND(#REF!,"AAAAAB72744=")</f>
        <v>#REF!</v>
      </c>
      <c r="EN151" t="e">
        <f>AND(#REF!,"AAAAAB72748=")</f>
        <v>#REF!</v>
      </c>
      <c r="EO151" t="e">
        <f>AND(#REF!,"AAAAAB7275A=")</f>
        <v>#REF!</v>
      </c>
      <c r="EP151" t="e">
        <f>AND(#REF!,"AAAAAB7275E=")</f>
        <v>#REF!</v>
      </c>
      <c r="EQ151" t="e">
        <f>AND(#REF!,"AAAAAB7275I=")</f>
        <v>#REF!</v>
      </c>
      <c r="ER151" t="e">
        <f>AND(#REF!,"AAAAAB7275M=")</f>
        <v>#REF!</v>
      </c>
      <c r="ES151" t="e">
        <f>AND(#REF!,"AAAAAB7275Q=")</f>
        <v>#REF!</v>
      </c>
      <c r="ET151" t="e">
        <f>AND(#REF!,"AAAAAB7275U=")</f>
        <v>#REF!</v>
      </c>
      <c r="EU151" t="e">
        <f>IF(#REF!,"AAAAAB7275Y=",0)</f>
        <v>#REF!</v>
      </c>
      <c r="EV151" t="e">
        <f>AND(#REF!,"AAAAAB7275c=")</f>
        <v>#REF!</v>
      </c>
      <c r="EW151" t="e">
        <f>AND(#REF!,"AAAAAB7275g=")</f>
        <v>#REF!</v>
      </c>
      <c r="EX151" t="e">
        <f>AND(#REF!,"AAAAAB7275k=")</f>
        <v>#REF!</v>
      </c>
      <c r="EY151" t="e">
        <f>AND(#REF!,"AAAAAB7275o=")</f>
        <v>#REF!</v>
      </c>
      <c r="EZ151" t="e">
        <f>AND(#REF!,"AAAAAB7275s=")</f>
        <v>#REF!</v>
      </c>
      <c r="FA151" t="e">
        <f>AND(#REF!,"AAAAAB7275w=")</f>
        <v>#REF!</v>
      </c>
      <c r="FB151" t="e">
        <f>AND(#REF!,"AAAAAB72750=")</f>
        <v>#REF!</v>
      </c>
      <c r="FC151" t="e">
        <f>AND(#REF!,"AAAAAB72754=")</f>
        <v>#REF!</v>
      </c>
      <c r="FD151" t="e">
        <f>AND(#REF!,"AAAAAB72758=")</f>
        <v>#REF!</v>
      </c>
      <c r="FE151" t="e">
        <f>AND(#REF!,"AAAAAB7276A=")</f>
        <v>#REF!</v>
      </c>
      <c r="FF151" t="e">
        <f>AND(#REF!,"AAAAAB7276E=")</f>
        <v>#REF!</v>
      </c>
      <c r="FG151" t="e">
        <f>AND(#REF!,"AAAAAB7276I=")</f>
        <v>#REF!</v>
      </c>
      <c r="FH151" t="e">
        <f>AND(#REF!,"AAAAAB7276M=")</f>
        <v>#REF!</v>
      </c>
      <c r="FI151" t="e">
        <f>AND(#REF!,"AAAAAB7276Q=")</f>
        <v>#REF!</v>
      </c>
      <c r="FJ151" t="e">
        <f>AND(#REF!,"AAAAAB7276U=")</f>
        <v>#REF!</v>
      </c>
      <c r="FK151" t="e">
        <f>AND(#REF!,"AAAAAB7276Y=")</f>
        <v>#REF!</v>
      </c>
      <c r="FL151" t="e">
        <f>AND(#REF!,"AAAAAB7276c=")</f>
        <v>#REF!</v>
      </c>
      <c r="FM151" t="e">
        <f>AND(#REF!,"AAAAAB7276g=")</f>
        <v>#REF!</v>
      </c>
      <c r="FN151" t="e">
        <f>AND(#REF!,"AAAAAB7276k=")</f>
        <v>#REF!</v>
      </c>
      <c r="FO151" t="e">
        <f>AND(#REF!,"AAAAAB7276o=")</f>
        <v>#REF!</v>
      </c>
      <c r="FP151" t="e">
        <f>AND(#REF!,"AAAAAB7276s=")</f>
        <v>#REF!</v>
      </c>
      <c r="FQ151" t="e">
        <f>IF(#REF!,"AAAAAB7276w=",0)</f>
        <v>#REF!</v>
      </c>
      <c r="FR151" t="e">
        <f>AND(#REF!,"AAAAAB72760=")</f>
        <v>#REF!</v>
      </c>
      <c r="FS151" t="e">
        <f>AND(#REF!,"AAAAAB72764=")</f>
        <v>#REF!</v>
      </c>
      <c r="FT151" t="e">
        <f>AND(#REF!,"AAAAAB72768=")</f>
        <v>#REF!</v>
      </c>
      <c r="FU151" t="e">
        <f>AND(#REF!,"AAAAAB7277A=")</f>
        <v>#REF!</v>
      </c>
      <c r="FV151" t="e">
        <f>AND(#REF!,"AAAAAB7277E=")</f>
        <v>#REF!</v>
      </c>
      <c r="FW151" t="e">
        <f>AND(#REF!,"AAAAAB7277I=")</f>
        <v>#REF!</v>
      </c>
      <c r="FX151" t="e">
        <f>AND(#REF!,"AAAAAB7277M=")</f>
        <v>#REF!</v>
      </c>
      <c r="FY151" t="e">
        <f>AND(#REF!,"AAAAAB7277Q=")</f>
        <v>#REF!</v>
      </c>
      <c r="FZ151" t="e">
        <f>AND(#REF!,"AAAAAB7277U=")</f>
        <v>#REF!</v>
      </c>
      <c r="GA151" t="e">
        <f>AND(#REF!,"AAAAAB7277Y=")</f>
        <v>#REF!</v>
      </c>
      <c r="GB151" t="e">
        <f>AND(#REF!,"AAAAAB7277c=")</f>
        <v>#REF!</v>
      </c>
      <c r="GC151" t="e">
        <f>AND(#REF!,"AAAAAB7277g=")</f>
        <v>#REF!</v>
      </c>
      <c r="GD151" t="e">
        <f>AND(#REF!,"AAAAAB7277k=")</f>
        <v>#REF!</v>
      </c>
      <c r="GE151" t="e">
        <f>AND(#REF!,"AAAAAB7277o=")</f>
        <v>#REF!</v>
      </c>
      <c r="GF151" t="e">
        <f>AND(#REF!,"AAAAAB7277s=")</f>
        <v>#REF!</v>
      </c>
      <c r="GG151" t="e">
        <f>AND(#REF!,"AAAAAB7277w=")</f>
        <v>#REF!</v>
      </c>
      <c r="GH151" t="e">
        <f>AND(#REF!,"AAAAAB72770=")</f>
        <v>#REF!</v>
      </c>
      <c r="GI151" t="e">
        <f>AND(#REF!,"AAAAAB72774=")</f>
        <v>#REF!</v>
      </c>
      <c r="GJ151" t="e">
        <f>AND(#REF!,"AAAAAB72778=")</f>
        <v>#REF!</v>
      </c>
      <c r="GK151" t="e">
        <f>AND(#REF!,"AAAAAB7278A=")</f>
        <v>#REF!</v>
      </c>
      <c r="GL151" t="e">
        <f>AND(#REF!,"AAAAAB7278E=")</f>
        <v>#REF!</v>
      </c>
      <c r="GM151" t="e">
        <f>IF(#REF!,"AAAAAB7278I=",0)</f>
        <v>#REF!</v>
      </c>
      <c r="GN151" t="e">
        <f>AND(#REF!,"AAAAAB7278M=")</f>
        <v>#REF!</v>
      </c>
      <c r="GO151" t="e">
        <f>AND(#REF!,"AAAAAB7278Q=")</f>
        <v>#REF!</v>
      </c>
      <c r="GP151" t="e">
        <f>AND(#REF!,"AAAAAB7278U=")</f>
        <v>#REF!</v>
      </c>
      <c r="GQ151" t="e">
        <f>AND(#REF!,"AAAAAB7278Y=")</f>
        <v>#REF!</v>
      </c>
      <c r="GR151" t="e">
        <f>AND(#REF!,"AAAAAB7278c=")</f>
        <v>#REF!</v>
      </c>
      <c r="GS151" t="e">
        <f>AND(#REF!,"AAAAAB7278g=")</f>
        <v>#REF!</v>
      </c>
      <c r="GT151" t="e">
        <f>AND(#REF!,"AAAAAB7278k=")</f>
        <v>#REF!</v>
      </c>
      <c r="GU151" t="e">
        <f>AND(#REF!,"AAAAAB7278o=")</f>
        <v>#REF!</v>
      </c>
      <c r="GV151" t="e">
        <f>AND(#REF!,"AAAAAB7278s=")</f>
        <v>#REF!</v>
      </c>
      <c r="GW151" t="e">
        <f>AND(#REF!,"AAAAAB7278w=")</f>
        <v>#REF!</v>
      </c>
      <c r="GX151" t="e">
        <f>AND(#REF!,"AAAAAB72780=")</f>
        <v>#REF!</v>
      </c>
      <c r="GY151" t="e">
        <f>AND(#REF!,"AAAAAB72784=")</f>
        <v>#REF!</v>
      </c>
      <c r="GZ151" t="e">
        <f>AND(#REF!,"AAAAAB72788=")</f>
        <v>#REF!</v>
      </c>
      <c r="HA151" t="e">
        <f>AND(#REF!,"AAAAAB7279A=")</f>
        <v>#REF!</v>
      </c>
      <c r="HB151" t="e">
        <f>AND(#REF!,"AAAAAB7279E=")</f>
        <v>#REF!</v>
      </c>
      <c r="HC151" t="e">
        <f>AND(#REF!,"AAAAAB7279I=")</f>
        <v>#REF!</v>
      </c>
      <c r="HD151" t="e">
        <f>AND(#REF!,"AAAAAB7279M=")</f>
        <v>#REF!</v>
      </c>
      <c r="HE151" t="e">
        <f>AND(#REF!,"AAAAAB7279Q=")</f>
        <v>#REF!</v>
      </c>
      <c r="HF151" t="e">
        <f>AND(#REF!,"AAAAAB7279U=")</f>
        <v>#REF!</v>
      </c>
      <c r="HG151" t="e">
        <f>AND(#REF!,"AAAAAB7279Y=")</f>
        <v>#REF!</v>
      </c>
      <c r="HH151" t="e">
        <f>AND(#REF!,"AAAAAB7279c=")</f>
        <v>#REF!</v>
      </c>
      <c r="HI151" t="e">
        <f>IF(#REF!,"AAAAAB7279g=",0)</f>
        <v>#REF!</v>
      </c>
      <c r="HJ151" t="e">
        <f>AND(#REF!,"AAAAAB7279k=")</f>
        <v>#REF!</v>
      </c>
      <c r="HK151" t="e">
        <f>AND(#REF!,"AAAAAB7279o=")</f>
        <v>#REF!</v>
      </c>
      <c r="HL151" t="e">
        <f>AND(#REF!,"AAAAAB7279s=")</f>
        <v>#REF!</v>
      </c>
      <c r="HM151" t="e">
        <f>AND(#REF!,"AAAAAB7279w=")</f>
        <v>#REF!</v>
      </c>
      <c r="HN151" t="e">
        <f>AND(#REF!,"AAAAAB72790=")</f>
        <v>#REF!</v>
      </c>
      <c r="HO151" t="e">
        <f>AND(#REF!,"AAAAAB72794=")</f>
        <v>#REF!</v>
      </c>
      <c r="HP151" t="e">
        <f>AND(#REF!,"AAAAAB72798=")</f>
        <v>#REF!</v>
      </c>
      <c r="HQ151" t="e">
        <f>AND(#REF!,"AAAAAB727+A=")</f>
        <v>#REF!</v>
      </c>
      <c r="HR151" t="e">
        <f>AND(#REF!,"AAAAAB727+E=")</f>
        <v>#REF!</v>
      </c>
      <c r="HS151" t="e">
        <f>AND(#REF!,"AAAAAB727+I=")</f>
        <v>#REF!</v>
      </c>
      <c r="HT151" t="e">
        <f>AND(#REF!,"AAAAAB727+M=")</f>
        <v>#REF!</v>
      </c>
      <c r="HU151" t="e">
        <f>AND(#REF!,"AAAAAB727+Q=")</f>
        <v>#REF!</v>
      </c>
      <c r="HV151" t="e">
        <f>AND(#REF!,"AAAAAB727+U=")</f>
        <v>#REF!</v>
      </c>
      <c r="HW151" t="e">
        <f>AND(#REF!,"AAAAAB727+Y=")</f>
        <v>#REF!</v>
      </c>
      <c r="HX151" t="e">
        <f>AND(#REF!,"AAAAAB727+c=")</f>
        <v>#REF!</v>
      </c>
      <c r="HY151" t="e">
        <f>AND(#REF!,"AAAAAB727+g=")</f>
        <v>#REF!</v>
      </c>
      <c r="HZ151" t="e">
        <f>AND(#REF!,"AAAAAB727+k=")</f>
        <v>#REF!</v>
      </c>
      <c r="IA151" t="e">
        <f>AND(#REF!,"AAAAAB727+o=")</f>
        <v>#REF!</v>
      </c>
      <c r="IB151" t="e">
        <f>AND(#REF!,"AAAAAB727+s=")</f>
        <v>#REF!</v>
      </c>
      <c r="IC151" t="e">
        <f>AND(#REF!,"AAAAAB727+w=")</f>
        <v>#REF!</v>
      </c>
      <c r="ID151" t="e">
        <f>AND(#REF!,"AAAAAB727+0=")</f>
        <v>#REF!</v>
      </c>
      <c r="IE151" t="e">
        <f>IF(#REF!,"AAAAAB727+4=",0)</f>
        <v>#REF!</v>
      </c>
      <c r="IF151" t="e">
        <f>AND(#REF!,"AAAAAB727+8=")</f>
        <v>#REF!</v>
      </c>
      <c r="IG151" t="e">
        <f>AND(#REF!,"AAAAAB727/A=")</f>
        <v>#REF!</v>
      </c>
      <c r="IH151" t="e">
        <f>AND(#REF!,"AAAAAB727/E=")</f>
        <v>#REF!</v>
      </c>
      <c r="II151" t="e">
        <f>AND(#REF!,"AAAAAB727/I=")</f>
        <v>#REF!</v>
      </c>
      <c r="IJ151" t="e">
        <f>AND(#REF!,"AAAAAB727/M=")</f>
        <v>#REF!</v>
      </c>
      <c r="IK151" t="e">
        <f>AND(#REF!,"AAAAAB727/Q=")</f>
        <v>#REF!</v>
      </c>
      <c r="IL151" t="e">
        <f>AND(#REF!,"AAAAAB727/U=")</f>
        <v>#REF!</v>
      </c>
      <c r="IM151" t="e">
        <f>AND(#REF!,"AAAAAB727/Y=")</f>
        <v>#REF!</v>
      </c>
      <c r="IN151" t="e">
        <f>AND(#REF!,"AAAAAB727/c=")</f>
        <v>#REF!</v>
      </c>
      <c r="IO151" t="e">
        <f>AND(#REF!,"AAAAAB727/g=")</f>
        <v>#REF!</v>
      </c>
      <c r="IP151" t="e">
        <f>AND(#REF!,"AAAAAB727/k=")</f>
        <v>#REF!</v>
      </c>
      <c r="IQ151" t="e">
        <f>AND(#REF!,"AAAAAB727/o=")</f>
        <v>#REF!</v>
      </c>
      <c r="IR151" t="e">
        <f>AND(#REF!,"AAAAAB727/s=")</f>
        <v>#REF!</v>
      </c>
      <c r="IS151" t="e">
        <f>AND(#REF!,"AAAAAB727/w=")</f>
        <v>#REF!</v>
      </c>
      <c r="IT151" t="e">
        <f>AND(#REF!,"AAAAAB727/0=")</f>
        <v>#REF!</v>
      </c>
      <c r="IU151" t="e">
        <f>AND(#REF!,"AAAAAB727/4=")</f>
        <v>#REF!</v>
      </c>
      <c r="IV151" t="e">
        <f>AND(#REF!,"AAAAAB727/8=")</f>
        <v>#REF!</v>
      </c>
    </row>
    <row r="152" spans="1:256" x14ac:dyDescent="0.25">
      <c r="A152" t="e">
        <f>AND(#REF!,"AAAAAH3d5wA=")</f>
        <v>#REF!</v>
      </c>
      <c r="B152" t="e">
        <f>AND(#REF!,"AAAAAH3d5wE=")</f>
        <v>#REF!</v>
      </c>
      <c r="C152" t="e">
        <f>AND(#REF!,"AAAAAH3d5wI=")</f>
        <v>#REF!</v>
      </c>
      <c r="D152" t="e">
        <f>AND(#REF!,"AAAAAH3d5wM=")</f>
        <v>#REF!</v>
      </c>
      <c r="E152" t="e">
        <f>IF(#REF!,"AAAAAH3d5wQ=",0)</f>
        <v>#REF!</v>
      </c>
      <c r="F152" t="e">
        <f>AND(#REF!,"AAAAAH3d5wU=")</f>
        <v>#REF!</v>
      </c>
      <c r="G152" t="e">
        <f>AND(#REF!,"AAAAAH3d5wY=")</f>
        <v>#REF!</v>
      </c>
      <c r="H152" t="e">
        <f>AND(#REF!,"AAAAAH3d5wc=")</f>
        <v>#REF!</v>
      </c>
      <c r="I152" t="e">
        <f>AND(#REF!,"AAAAAH3d5wg=")</f>
        <v>#REF!</v>
      </c>
      <c r="J152" t="e">
        <f>AND(#REF!,"AAAAAH3d5wk=")</f>
        <v>#REF!</v>
      </c>
      <c r="K152" t="e">
        <f>AND(#REF!,"AAAAAH3d5wo=")</f>
        <v>#REF!</v>
      </c>
      <c r="L152" t="e">
        <f>AND(#REF!,"AAAAAH3d5ws=")</f>
        <v>#REF!</v>
      </c>
      <c r="M152" t="e">
        <f>AND(#REF!,"AAAAAH3d5ww=")</f>
        <v>#REF!</v>
      </c>
      <c r="N152" t="e">
        <f>AND(#REF!,"AAAAAH3d5w0=")</f>
        <v>#REF!</v>
      </c>
      <c r="O152" t="e">
        <f>AND(#REF!,"AAAAAH3d5w4=")</f>
        <v>#REF!</v>
      </c>
      <c r="P152" t="e">
        <f>AND(#REF!,"AAAAAH3d5w8=")</f>
        <v>#REF!</v>
      </c>
      <c r="Q152" t="e">
        <f>AND(#REF!,"AAAAAH3d5xA=")</f>
        <v>#REF!</v>
      </c>
      <c r="R152" t="e">
        <f>AND(#REF!,"AAAAAH3d5xE=")</f>
        <v>#REF!</v>
      </c>
      <c r="S152" t="e">
        <f>AND(#REF!,"AAAAAH3d5xI=")</f>
        <v>#REF!</v>
      </c>
      <c r="T152" t="e">
        <f>AND(#REF!,"AAAAAH3d5xM=")</f>
        <v>#REF!</v>
      </c>
      <c r="U152" t="e">
        <f>AND(#REF!,"AAAAAH3d5xQ=")</f>
        <v>#REF!</v>
      </c>
      <c r="V152" t="e">
        <f>AND(#REF!,"AAAAAH3d5xU=")</f>
        <v>#REF!</v>
      </c>
      <c r="W152" t="e">
        <f>AND(#REF!,"AAAAAH3d5xY=")</f>
        <v>#REF!</v>
      </c>
      <c r="X152" t="e">
        <f>AND(#REF!,"AAAAAH3d5xc=")</f>
        <v>#REF!</v>
      </c>
      <c r="Y152" t="e">
        <f>AND(#REF!,"AAAAAH3d5xg=")</f>
        <v>#REF!</v>
      </c>
      <c r="Z152" t="e">
        <f>AND(#REF!,"AAAAAH3d5xk=")</f>
        <v>#REF!</v>
      </c>
      <c r="AA152" t="e">
        <f>IF(#REF!,"AAAAAH3d5xo=",0)</f>
        <v>#REF!</v>
      </c>
      <c r="AB152" t="e">
        <f>AND(#REF!,"AAAAAH3d5xs=")</f>
        <v>#REF!</v>
      </c>
      <c r="AC152" t="e">
        <f>AND(#REF!,"AAAAAH3d5xw=")</f>
        <v>#REF!</v>
      </c>
      <c r="AD152" t="e">
        <f>AND(#REF!,"AAAAAH3d5x0=")</f>
        <v>#REF!</v>
      </c>
      <c r="AE152" t="e">
        <f>AND(#REF!,"AAAAAH3d5x4=")</f>
        <v>#REF!</v>
      </c>
      <c r="AF152" t="e">
        <f>AND(#REF!,"AAAAAH3d5x8=")</f>
        <v>#REF!</v>
      </c>
      <c r="AG152" t="e">
        <f>AND(#REF!,"AAAAAH3d5yA=")</f>
        <v>#REF!</v>
      </c>
      <c r="AH152" t="e">
        <f>AND(#REF!,"AAAAAH3d5yE=")</f>
        <v>#REF!</v>
      </c>
      <c r="AI152" t="e">
        <f>AND(#REF!,"AAAAAH3d5yI=")</f>
        <v>#REF!</v>
      </c>
      <c r="AJ152" t="e">
        <f>AND(#REF!,"AAAAAH3d5yM=")</f>
        <v>#REF!</v>
      </c>
      <c r="AK152" t="e">
        <f>AND(#REF!,"AAAAAH3d5yQ=")</f>
        <v>#REF!</v>
      </c>
      <c r="AL152" t="e">
        <f>AND(#REF!,"AAAAAH3d5yU=")</f>
        <v>#REF!</v>
      </c>
      <c r="AM152" t="e">
        <f>AND(#REF!,"AAAAAH3d5yY=")</f>
        <v>#REF!</v>
      </c>
      <c r="AN152" t="e">
        <f>AND(#REF!,"AAAAAH3d5yc=")</f>
        <v>#REF!</v>
      </c>
      <c r="AO152" t="e">
        <f>AND(#REF!,"AAAAAH3d5yg=")</f>
        <v>#REF!</v>
      </c>
      <c r="AP152" t="e">
        <f>AND(#REF!,"AAAAAH3d5yk=")</f>
        <v>#REF!</v>
      </c>
      <c r="AQ152" t="e">
        <f>AND(#REF!,"AAAAAH3d5yo=")</f>
        <v>#REF!</v>
      </c>
      <c r="AR152" t="e">
        <f>AND(#REF!,"AAAAAH3d5ys=")</f>
        <v>#REF!</v>
      </c>
      <c r="AS152" t="e">
        <f>AND(#REF!,"AAAAAH3d5yw=")</f>
        <v>#REF!</v>
      </c>
      <c r="AT152" t="e">
        <f>AND(#REF!,"AAAAAH3d5y0=")</f>
        <v>#REF!</v>
      </c>
      <c r="AU152" t="e">
        <f>AND(#REF!,"AAAAAH3d5y4=")</f>
        <v>#REF!</v>
      </c>
      <c r="AV152" t="e">
        <f>AND(#REF!,"AAAAAH3d5y8=")</f>
        <v>#REF!</v>
      </c>
      <c r="AW152" t="e">
        <f>IF(#REF!,"AAAAAH3d5zA=",0)</f>
        <v>#REF!</v>
      </c>
      <c r="AX152" t="e">
        <f>AND(#REF!,"AAAAAH3d5zE=")</f>
        <v>#REF!</v>
      </c>
      <c r="AY152" t="e">
        <f>AND(#REF!,"AAAAAH3d5zI=")</f>
        <v>#REF!</v>
      </c>
      <c r="AZ152" t="e">
        <f>AND(#REF!,"AAAAAH3d5zM=")</f>
        <v>#REF!</v>
      </c>
      <c r="BA152" t="e">
        <f>AND(#REF!,"AAAAAH3d5zQ=")</f>
        <v>#REF!</v>
      </c>
      <c r="BB152" t="e">
        <f>AND(#REF!,"AAAAAH3d5zU=")</f>
        <v>#REF!</v>
      </c>
      <c r="BC152" t="e">
        <f>AND(#REF!,"AAAAAH3d5zY=")</f>
        <v>#REF!</v>
      </c>
      <c r="BD152" t="e">
        <f>AND(#REF!,"AAAAAH3d5zc=")</f>
        <v>#REF!</v>
      </c>
      <c r="BE152" t="e">
        <f>AND(#REF!,"AAAAAH3d5zg=")</f>
        <v>#REF!</v>
      </c>
      <c r="BF152" t="e">
        <f>AND(#REF!,"AAAAAH3d5zk=")</f>
        <v>#REF!</v>
      </c>
      <c r="BG152" t="e">
        <f>AND(#REF!,"AAAAAH3d5zo=")</f>
        <v>#REF!</v>
      </c>
      <c r="BH152" t="e">
        <f>AND(#REF!,"AAAAAH3d5zs=")</f>
        <v>#REF!</v>
      </c>
      <c r="BI152" t="e">
        <f>AND(#REF!,"AAAAAH3d5zw=")</f>
        <v>#REF!</v>
      </c>
      <c r="BJ152" t="e">
        <f>AND(#REF!,"AAAAAH3d5z0=")</f>
        <v>#REF!</v>
      </c>
      <c r="BK152" t="e">
        <f>AND(#REF!,"AAAAAH3d5z4=")</f>
        <v>#REF!</v>
      </c>
      <c r="BL152" t="e">
        <f>AND(#REF!,"AAAAAH3d5z8=")</f>
        <v>#REF!</v>
      </c>
      <c r="BM152" t="e">
        <f>AND(#REF!,"AAAAAH3d50A=")</f>
        <v>#REF!</v>
      </c>
      <c r="BN152" t="e">
        <f>AND(#REF!,"AAAAAH3d50E=")</f>
        <v>#REF!</v>
      </c>
      <c r="BO152" t="e">
        <f>AND(#REF!,"AAAAAH3d50I=")</f>
        <v>#REF!</v>
      </c>
      <c r="BP152" t="e">
        <f>AND(#REF!,"AAAAAH3d50M=")</f>
        <v>#REF!</v>
      </c>
      <c r="BQ152" t="e">
        <f>AND(#REF!,"AAAAAH3d50Q=")</f>
        <v>#REF!</v>
      </c>
      <c r="BR152" t="e">
        <f>AND(#REF!,"AAAAAH3d50U=")</f>
        <v>#REF!</v>
      </c>
      <c r="BS152" t="e">
        <f>IF(#REF!,"AAAAAH3d50Y=",0)</f>
        <v>#REF!</v>
      </c>
      <c r="BT152" t="e">
        <f>AND(#REF!,"AAAAAH3d50c=")</f>
        <v>#REF!</v>
      </c>
      <c r="BU152" t="e">
        <f>AND(#REF!,"AAAAAH3d50g=")</f>
        <v>#REF!</v>
      </c>
      <c r="BV152" t="e">
        <f>AND(#REF!,"AAAAAH3d50k=")</f>
        <v>#REF!</v>
      </c>
      <c r="BW152" t="e">
        <f>AND(#REF!,"AAAAAH3d50o=")</f>
        <v>#REF!</v>
      </c>
      <c r="BX152" t="e">
        <f>AND(#REF!,"AAAAAH3d50s=")</f>
        <v>#REF!</v>
      </c>
      <c r="BY152" t="e">
        <f>AND(#REF!,"AAAAAH3d50w=")</f>
        <v>#REF!</v>
      </c>
      <c r="BZ152" t="e">
        <f>AND(#REF!,"AAAAAH3d500=")</f>
        <v>#REF!</v>
      </c>
      <c r="CA152" t="e">
        <f>AND(#REF!,"AAAAAH3d504=")</f>
        <v>#REF!</v>
      </c>
      <c r="CB152" t="e">
        <f>AND(#REF!,"AAAAAH3d508=")</f>
        <v>#REF!</v>
      </c>
      <c r="CC152" t="e">
        <f>AND(#REF!,"AAAAAH3d51A=")</f>
        <v>#REF!</v>
      </c>
      <c r="CD152" t="e">
        <f>AND(#REF!,"AAAAAH3d51E=")</f>
        <v>#REF!</v>
      </c>
      <c r="CE152" t="e">
        <f>AND(#REF!,"AAAAAH3d51I=")</f>
        <v>#REF!</v>
      </c>
      <c r="CF152" t="e">
        <f>AND(#REF!,"AAAAAH3d51M=")</f>
        <v>#REF!</v>
      </c>
      <c r="CG152" t="e">
        <f>AND(#REF!,"AAAAAH3d51Q=")</f>
        <v>#REF!</v>
      </c>
      <c r="CH152" t="e">
        <f>AND(#REF!,"AAAAAH3d51U=")</f>
        <v>#REF!</v>
      </c>
      <c r="CI152" t="e">
        <f>AND(#REF!,"AAAAAH3d51Y=")</f>
        <v>#REF!</v>
      </c>
      <c r="CJ152" t="e">
        <f>AND(#REF!,"AAAAAH3d51c=")</f>
        <v>#REF!</v>
      </c>
      <c r="CK152" t="e">
        <f>AND(#REF!,"AAAAAH3d51g=")</f>
        <v>#REF!</v>
      </c>
      <c r="CL152" t="e">
        <f>AND(#REF!,"AAAAAH3d51k=")</f>
        <v>#REF!</v>
      </c>
      <c r="CM152" t="e">
        <f>AND(#REF!,"AAAAAH3d51o=")</f>
        <v>#REF!</v>
      </c>
      <c r="CN152" t="e">
        <f>AND(#REF!,"AAAAAH3d51s=")</f>
        <v>#REF!</v>
      </c>
      <c r="CO152" t="e">
        <f>IF(#REF!,"AAAAAH3d51w=",0)</f>
        <v>#REF!</v>
      </c>
      <c r="CP152" t="e">
        <f>IF(#REF!,"AAAAAH3d510=",0)</f>
        <v>#REF!</v>
      </c>
      <c r="CQ152" t="e">
        <f>IF(#REF!,"AAAAAH3d514=",0)</f>
        <v>#REF!</v>
      </c>
      <c r="CR152" t="e">
        <f>IF(#REF!,"AAAAAH3d518=",0)</f>
        <v>#REF!</v>
      </c>
      <c r="CS152" t="e">
        <f>IF(#REF!,"AAAAAH3d52A=",0)</f>
        <v>#REF!</v>
      </c>
      <c r="CT152" t="e">
        <f>IF(#REF!,"AAAAAH3d52E=",0)</f>
        <v>#REF!</v>
      </c>
      <c r="CU152" t="e">
        <f>IF(#REF!,"AAAAAH3d52I=",0)</f>
        <v>#REF!</v>
      </c>
      <c r="CV152" t="e">
        <f>IF(#REF!,"AAAAAH3d52M=",0)</f>
        <v>#REF!</v>
      </c>
      <c r="CW152" t="e">
        <f>IF(#REF!,"AAAAAH3d52Q=",0)</f>
        <v>#REF!</v>
      </c>
      <c r="CX152" t="e">
        <f>IF(#REF!,"AAAAAH3d52U=",0)</f>
        <v>#REF!</v>
      </c>
      <c r="CY152" t="e">
        <f>IF(#REF!,"AAAAAH3d52Y=",0)</f>
        <v>#REF!</v>
      </c>
      <c r="CZ152" t="e">
        <f>IF(#REF!,"AAAAAH3d52c=",0)</f>
        <v>#REF!</v>
      </c>
      <c r="DA152" t="e">
        <f>IF(#REF!,"AAAAAH3d52g=",0)</f>
        <v>#REF!</v>
      </c>
      <c r="DB152" t="e">
        <f>IF(#REF!,"AAAAAH3d52k=",0)</f>
        <v>#REF!</v>
      </c>
      <c r="DC152" t="e">
        <f>IF(#REF!,"AAAAAH3d52o=",0)</f>
        <v>#REF!</v>
      </c>
      <c r="DD152" t="e">
        <f>IF(#REF!,"AAAAAH3d52s=",0)</f>
        <v>#REF!</v>
      </c>
      <c r="DE152" t="e">
        <f>IF(#REF!,"AAAAAH3d52w=",0)</f>
        <v>#REF!</v>
      </c>
      <c r="DF152" t="e">
        <f>IF(#REF!,"AAAAAH3d520=",0)</f>
        <v>#REF!</v>
      </c>
      <c r="DG152" t="e">
        <f>IF(#REF!,"AAAAAH3d524=",0)</f>
        <v>#REF!</v>
      </c>
      <c r="DH152" t="e">
        <f>IF(#REF!,"AAAAAH3d528=",0)</f>
        <v>#REF!</v>
      </c>
      <c r="DI152" t="e">
        <f>IF(#REF!,"AAAAAH3d53A=",0)</f>
        <v>#REF!</v>
      </c>
      <c r="DJ152" t="e">
        <f>IF(#REF!,"AAAAAH3d53E=",0)</f>
        <v>#REF!</v>
      </c>
      <c r="DK152" t="e">
        <f>AND(#REF!,"AAAAAH3d53I=")</f>
        <v>#REF!</v>
      </c>
      <c r="DL152" t="e">
        <f>AND(#REF!,"AAAAAH3d53M=")</f>
        <v>#REF!</v>
      </c>
      <c r="DM152" t="e">
        <f>AND(#REF!,"AAAAAH3d53Q=")</f>
        <v>#REF!</v>
      </c>
      <c r="DN152" t="e">
        <f>AND(#REF!,"AAAAAH3d53U=")</f>
        <v>#REF!</v>
      </c>
      <c r="DO152" t="e">
        <f>AND(#REF!,"AAAAAH3d53Y=")</f>
        <v>#REF!</v>
      </c>
      <c r="DP152" t="e">
        <f>AND(#REF!,"AAAAAH3d53c=")</f>
        <v>#REF!</v>
      </c>
      <c r="DQ152" t="e">
        <f>AND(#REF!,"AAAAAH3d53g=")</f>
        <v>#REF!</v>
      </c>
      <c r="DR152" t="e">
        <f>AND(#REF!,"AAAAAH3d53k=")</f>
        <v>#REF!</v>
      </c>
      <c r="DS152" t="e">
        <f>AND(#REF!,"AAAAAH3d53o=")</f>
        <v>#REF!</v>
      </c>
      <c r="DT152" t="e">
        <f>AND(#REF!,"AAAAAH3d53s=")</f>
        <v>#REF!</v>
      </c>
      <c r="DU152" t="e">
        <f>AND(#REF!,"AAAAAH3d53w=")</f>
        <v>#REF!</v>
      </c>
      <c r="DV152" t="e">
        <f>AND(#REF!,"AAAAAH3d530=")</f>
        <v>#REF!</v>
      </c>
      <c r="DW152" t="e">
        <f>AND(#REF!,"AAAAAH3d534=")</f>
        <v>#REF!</v>
      </c>
      <c r="DX152" t="e">
        <f>AND(#REF!,"AAAAAH3d538=")</f>
        <v>#REF!</v>
      </c>
      <c r="DY152" t="e">
        <f>AND(#REF!,"AAAAAH3d54A=")</f>
        <v>#REF!</v>
      </c>
      <c r="DZ152" t="e">
        <f>AND(#REF!,"AAAAAH3d54E=")</f>
        <v>#REF!</v>
      </c>
      <c r="EA152" t="e">
        <f>AND(#REF!,"AAAAAH3d54I=")</f>
        <v>#REF!</v>
      </c>
      <c r="EB152" t="e">
        <f>AND(#REF!,"AAAAAH3d54M=")</f>
        <v>#REF!</v>
      </c>
      <c r="EC152" t="e">
        <f>AND(#REF!,"AAAAAH3d54Q=")</f>
        <v>#REF!</v>
      </c>
      <c r="ED152" t="e">
        <f>AND(#REF!,"AAAAAH3d54U=")</f>
        <v>#REF!</v>
      </c>
      <c r="EE152" t="e">
        <f>AND(#REF!,"AAAAAH3d54Y=")</f>
        <v>#REF!</v>
      </c>
      <c r="EF152" t="e">
        <f>IF(#REF!,"AAAAAH3d54c=",0)</f>
        <v>#REF!</v>
      </c>
      <c r="EG152" t="e">
        <f>AND(#REF!,"AAAAAH3d54g=")</f>
        <v>#REF!</v>
      </c>
      <c r="EH152" t="e">
        <f>AND(#REF!,"AAAAAH3d54k=")</f>
        <v>#REF!</v>
      </c>
      <c r="EI152" t="e">
        <f>AND(#REF!,"AAAAAH3d54o=")</f>
        <v>#REF!</v>
      </c>
      <c r="EJ152" t="e">
        <f>AND(#REF!,"AAAAAH3d54s=")</f>
        <v>#REF!</v>
      </c>
      <c r="EK152" t="e">
        <f>AND(#REF!,"AAAAAH3d54w=")</f>
        <v>#REF!</v>
      </c>
      <c r="EL152" t="e">
        <f>AND(#REF!,"AAAAAH3d540=")</f>
        <v>#REF!</v>
      </c>
      <c r="EM152" t="e">
        <f>AND(#REF!,"AAAAAH3d544=")</f>
        <v>#REF!</v>
      </c>
      <c r="EN152" t="e">
        <f>AND(#REF!,"AAAAAH3d548=")</f>
        <v>#REF!</v>
      </c>
      <c r="EO152" t="e">
        <f>AND(#REF!,"AAAAAH3d55A=")</f>
        <v>#REF!</v>
      </c>
      <c r="EP152" t="e">
        <f>AND(#REF!,"AAAAAH3d55E=")</f>
        <v>#REF!</v>
      </c>
      <c r="EQ152" t="e">
        <f>AND(#REF!,"AAAAAH3d55I=")</f>
        <v>#REF!</v>
      </c>
      <c r="ER152" t="e">
        <f>AND(#REF!,"AAAAAH3d55M=")</f>
        <v>#REF!</v>
      </c>
      <c r="ES152" t="e">
        <f>AND(#REF!,"AAAAAH3d55Q=")</f>
        <v>#REF!</v>
      </c>
      <c r="ET152" t="e">
        <f>AND(#REF!,"AAAAAH3d55U=")</f>
        <v>#REF!</v>
      </c>
      <c r="EU152" t="e">
        <f>AND(#REF!,"AAAAAH3d55Y=")</f>
        <v>#REF!</v>
      </c>
      <c r="EV152" t="e">
        <f>AND(#REF!,"AAAAAH3d55c=")</f>
        <v>#REF!</v>
      </c>
      <c r="EW152" t="e">
        <f>AND(#REF!,"AAAAAH3d55g=")</f>
        <v>#REF!</v>
      </c>
      <c r="EX152" t="e">
        <f>AND(#REF!,"AAAAAH3d55k=")</f>
        <v>#REF!</v>
      </c>
      <c r="EY152" t="e">
        <f>AND(#REF!,"AAAAAH3d55o=")</f>
        <v>#REF!</v>
      </c>
      <c r="EZ152" t="e">
        <f>AND(#REF!,"AAAAAH3d55s=")</f>
        <v>#REF!</v>
      </c>
      <c r="FA152" t="e">
        <f>AND(#REF!,"AAAAAH3d55w=")</f>
        <v>#REF!</v>
      </c>
      <c r="FB152" t="e">
        <f>IF(#REF!,"AAAAAH3d550=",0)</f>
        <v>#REF!</v>
      </c>
      <c r="FC152" t="e">
        <f>AND(#REF!,"AAAAAH3d554=")</f>
        <v>#REF!</v>
      </c>
      <c r="FD152" t="e">
        <f>AND(#REF!,"AAAAAH3d558=")</f>
        <v>#REF!</v>
      </c>
      <c r="FE152" t="e">
        <f>AND(#REF!,"AAAAAH3d56A=")</f>
        <v>#REF!</v>
      </c>
      <c r="FF152" t="e">
        <f>AND(#REF!,"AAAAAH3d56E=")</f>
        <v>#REF!</v>
      </c>
      <c r="FG152" t="e">
        <f>AND(#REF!,"AAAAAH3d56I=")</f>
        <v>#REF!</v>
      </c>
      <c r="FH152" t="e">
        <f>AND(#REF!,"AAAAAH3d56M=")</f>
        <v>#REF!</v>
      </c>
      <c r="FI152" t="e">
        <f>AND(#REF!,"AAAAAH3d56Q=")</f>
        <v>#REF!</v>
      </c>
      <c r="FJ152" t="e">
        <f>AND(#REF!,"AAAAAH3d56U=")</f>
        <v>#REF!</v>
      </c>
      <c r="FK152" t="e">
        <f>AND(#REF!,"AAAAAH3d56Y=")</f>
        <v>#REF!</v>
      </c>
      <c r="FL152" t="e">
        <f>AND(#REF!,"AAAAAH3d56c=")</f>
        <v>#REF!</v>
      </c>
      <c r="FM152" t="e">
        <f>AND(#REF!,"AAAAAH3d56g=")</f>
        <v>#REF!</v>
      </c>
      <c r="FN152" t="e">
        <f>AND(#REF!,"AAAAAH3d56k=")</f>
        <v>#REF!</v>
      </c>
      <c r="FO152" t="e">
        <f>AND(#REF!,"AAAAAH3d56o=")</f>
        <v>#REF!</v>
      </c>
      <c r="FP152" t="e">
        <f>AND(#REF!,"AAAAAH3d56s=")</f>
        <v>#REF!</v>
      </c>
      <c r="FQ152" t="e">
        <f>AND(#REF!,"AAAAAH3d56w=")</f>
        <v>#REF!</v>
      </c>
      <c r="FR152" t="e">
        <f>AND(#REF!,"AAAAAH3d560=")</f>
        <v>#REF!</v>
      </c>
      <c r="FS152" t="e">
        <f>AND(#REF!,"AAAAAH3d564=")</f>
        <v>#REF!</v>
      </c>
      <c r="FT152" t="e">
        <f>AND(#REF!,"AAAAAH3d568=")</f>
        <v>#REF!</v>
      </c>
      <c r="FU152" t="e">
        <f>AND(#REF!,"AAAAAH3d57A=")</f>
        <v>#REF!</v>
      </c>
      <c r="FV152" t="e">
        <f>AND(#REF!,"AAAAAH3d57E=")</f>
        <v>#REF!</v>
      </c>
      <c r="FW152" t="e">
        <f>AND(#REF!,"AAAAAH3d57I=")</f>
        <v>#REF!</v>
      </c>
      <c r="FX152" t="e">
        <f>IF(#REF!,"AAAAAH3d57M=",0)</f>
        <v>#REF!</v>
      </c>
      <c r="FY152" t="e">
        <f>AND(#REF!,"AAAAAH3d57Q=")</f>
        <v>#REF!</v>
      </c>
      <c r="FZ152" t="e">
        <f>AND(#REF!,"AAAAAH3d57U=")</f>
        <v>#REF!</v>
      </c>
      <c r="GA152" t="e">
        <f>AND(#REF!,"AAAAAH3d57Y=")</f>
        <v>#REF!</v>
      </c>
      <c r="GB152" t="e">
        <f>AND(#REF!,"AAAAAH3d57c=")</f>
        <v>#REF!</v>
      </c>
      <c r="GC152" t="e">
        <f>AND(#REF!,"AAAAAH3d57g=")</f>
        <v>#REF!</v>
      </c>
      <c r="GD152" t="e">
        <f>AND(#REF!,"AAAAAH3d57k=")</f>
        <v>#REF!</v>
      </c>
      <c r="GE152" t="e">
        <f>AND(#REF!,"AAAAAH3d57o=")</f>
        <v>#REF!</v>
      </c>
      <c r="GF152" t="e">
        <f>AND(#REF!,"AAAAAH3d57s=")</f>
        <v>#REF!</v>
      </c>
      <c r="GG152" t="e">
        <f>AND(#REF!,"AAAAAH3d57w=")</f>
        <v>#REF!</v>
      </c>
      <c r="GH152" t="e">
        <f>AND(#REF!,"AAAAAH3d570=")</f>
        <v>#REF!</v>
      </c>
      <c r="GI152" t="e">
        <f>AND(#REF!,"AAAAAH3d574=")</f>
        <v>#REF!</v>
      </c>
      <c r="GJ152" t="e">
        <f>AND(#REF!,"AAAAAH3d578=")</f>
        <v>#REF!</v>
      </c>
      <c r="GK152" t="e">
        <f>AND(#REF!,"AAAAAH3d58A=")</f>
        <v>#REF!</v>
      </c>
      <c r="GL152" t="e">
        <f>AND(#REF!,"AAAAAH3d58E=")</f>
        <v>#REF!</v>
      </c>
      <c r="GM152" t="e">
        <f>AND(#REF!,"AAAAAH3d58I=")</f>
        <v>#REF!</v>
      </c>
      <c r="GN152" t="e">
        <f>AND(#REF!,"AAAAAH3d58M=")</f>
        <v>#REF!</v>
      </c>
      <c r="GO152" t="e">
        <f>AND(#REF!,"AAAAAH3d58Q=")</f>
        <v>#REF!</v>
      </c>
      <c r="GP152" t="e">
        <f>AND(#REF!,"AAAAAH3d58U=")</f>
        <v>#REF!</v>
      </c>
      <c r="GQ152" t="e">
        <f>AND(#REF!,"AAAAAH3d58Y=")</f>
        <v>#REF!</v>
      </c>
      <c r="GR152" t="e">
        <f>AND(#REF!,"AAAAAH3d58c=")</f>
        <v>#REF!</v>
      </c>
      <c r="GS152" t="e">
        <f>AND(#REF!,"AAAAAH3d58g=")</f>
        <v>#REF!</v>
      </c>
      <c r="GT152" t="e">
        <f>IF(#REF!,"AAAAAH3d58k=",0)</f>
        <v>#REF!</v>
      </c>
      <c r="GU152" t="e">
        <f>AND(#REF!,"AAAAAH3d58o=")</f>
        <v>#REF!</v>
      </c>
      <c r="GV152" t="e">
        <f>AND(#REF!,"AAAAAH3d58s=")</f>
        <v>#REF!</v>
      </c>
      <c r="GW152" t="e">
        <f>AND(#REF!,"AAAAAH3d58w=")</f>
        <v>#REF!</v>
      </c>
      <c r="GX152" t="e">
        <f>AND(#REF!,"AAAAAH3d580=")</f>
        <v>#REF!</v>
      </c>
      <c r="GY152" t="e">
        <f>AND(#REF!,"AAAAAH3d584=")</f>
        <v>#REF!</v>
      </c>
      <c r="GZ152" t="e">
        <f>AND(#REF!,"AAAAAH3d588=")</f>
        <v>#REF!</v>
      </c>
      <c r="HA152" t="e">
        <f>AND(#REF!,"AAAAAH3d59A=")</f>
        <v>#REF!</v>
      </c>
      <c r="HB152" t="e">
        <f>AND(#REF!,"AAAAAH3d59E=")</f>
        <v>#REF!</v>
      </c>
      <c r="HC152" t="e">
        <f>AND(#REF!,"AAAAAH3d59I=")</f>
        <v>#REF!</v>
      </c>
      <c r="HD152" t="e">
        <f>AND(#REF!,"AAAAAH3d59M=")</f>
        <v>#REF!</v>
      </c>
      <c r="HE152" t="e">
        <f>AND(#REF!,"AAAAAH3d59Q=")</f>
        <v>#REF!</v>
      </c>
      <c r="HF152" t="e">
        <f>AND(#REF!,"AAAAAH3d59U=")</f>
        <v>#REF!</v>
      </c>
      <c r="HG152" t="e">
        <f>AND(#REF!,"AAAAAH3d59Y=")</f>
        <v>#REF!</v>
      </c>
      <c r="HH152" t="e">
        <f>AND(#REF!,"AAAAAH3d59c=")</f>
        <v>#REF!</v>
      </c>
      <c r="HI152" t="e">
        <f>AND(#REF!,"AAAAAH3d59g=")</f>
        <v>#REF!</v>
      </c>
      <c r="HJ152" t="e">
        <f>AND(#REF!,"AAAAAH3d59k=")</f>
        <v>#REF!</v>
      </c>
      <c r="HK152" t="e">
        <f>AND(#REF!,"AAAAAH3d59o=")</f>
        <v>#REF!</v>
      </c>
      <c r="HL152" t="e">
        <f>AND(#REF!,"AAAAAH3d59s=")</f>
        <v>#REF!</v>
      </c>
      <c r="HM152" t="e">
        <f>AND(#REF!,"AAAAAH3d59w=")</f>
        <v>#REF!</v>
      </c>
      <c r="HN152" t="e">
        <f>AND(#REF!,"AAAAAH3d590=")</f>
        <v>#REF!</v>
      </c>
      <c r="HO152" t="e">
        <f>AND(#REF!,"AAAAAH3d594=")</f>
        <v>#REF!</v>
      </c>
      <c r="HP152" t="e">
        <f>IF(#REF!,"AAAAAH3d598=",0)</f>
        <v>#REF!</v>
      </c>
      <c r="HQ152" t="e">
        <f>AND(#REF!,"AAAAAH3d5+A=")</f>
        <v>#REF!</v>
      </c>
      <c r="HR152" t="e">
        <f>AND(#REF!,"AAAAAH3d5+E=")</f>
        <v>#REF!</v>
      </c>
      <c r="HS152" t="e">
        <f>AND(#REF!,"AAAAAH3d5+I=")</f>
        <v>#REF!</v>
      </c>
      <c r="HT152" t="e">
        <f>AND(#REF!,"AAAAAH3d5+M=")</f>
        <v>#REF!</v>
      </c>
      <c r="HU152" t="e">
        <f>AND(#REF!,"AAAAAH3d5+Q=")</f>
        <v>#REF!</v>
      </c>
      <c r="HV152" t="e">
        <f>AND(#REF!,"AAAAAH3d5+U=")</f>
        <v>#REF!</v>
      </c>
      <c r="HW152" t="e">
        <f>AND(#REF!,"AAAAAH3d5+Y=")</f>
        <v>#REF!</v>
      </c>
      <c r="HX152" t="e">
        <f>AND(#REF!,"AAAAAH3d5+c=")</f>
        <v>#REF!</v>
      </c>
      <c r="HY152" t="e">
        <f>AND(#REF!,"AAAAAH3d5+g=")</f>
        <v>#REF!</v>
      </c>
      <c r="HZ152" t="e">
        <f>AND(#REF!,"AAAAAH3d5+k=")</f>
        <v>#REF!</v>
      </c>
      <c r="IA152" t="e">
        <f>AND(#REF!,"AAAAAH3d5+o=")</f>
        <v>#REF!</v>
      </c>
      <c r="IB152" t="e">
        <f>AND(#REF!,"AAAAAH3d5+s=")</f>
        <v>#REF!</v>
      </c>
      <c r="IC152" t="e">
        <f>AND(#REF!,"AAAAAH3d5+w=")</f>
        <v>#REF!</v>
      </c>
      <c r="ID152" t="e">
        <f>AND(#REF!,"AAAAAH3d5+0=")</f>
        <v>#REF!</v>
      </c>
      <c r="IE152" t="e">
        <f>AND(#REF!,"AAAAAH3d5+4=")</f>
        <v>#REF!</v>
      </c>
      <c r="IF152" t="e">
        <f>AND(#REF!,"AAAAAH3d5+8=")</f>
        <v>#REF!</v>
      </c>
      <c r="IG152" t="e">
        <f>AND(#REF!,"AAAAAH3d5/A=")</f>
        <v>#REF!</v>
      </c>
      <c r="IH152" t="e">
        <f>AND(#REF!,"AAAAAH3d5/E=")</f>
        <v>#REF!</v>
      </c>
      <c r="II152" t="e">
        <f>AND(#REF!,"AAAAAH3d5/I=")</f>
        <v>#REF!</v>
      </c>
      <c r="IJ152" t="e">
        <f>AND(#REF!,"AAAAAH3d5/M=")</f>
        <v>#REF!</v>
      </c>
      <c r="IK152" t="e">
        <f>AND(#REF!,"AAAAAH3d5/Q=")</f>
        <v>#REF!</v>
      </c>
      <c r="IL152" t="e">
        <f>IF(#REF!,"AAAAAH3d5/U=",0)</f>
        <v>#REF!</v>
      </c>
      <c r="IM152" t="e">
        <f>AND(#REF!,"AAAAAH3d5/Y=")</f>
        <v>#REF!</v>
      </c>
      <c r="IN152" t="e">
        <f>AND(#REF!,"AAAAAH3d5/c=")</f>
        <v>#REF!</v>
      </c>
      <c r="IO152" t="e">
        <f>AND(#REF!,"AAAAAH3d5/g=")</f>
        <v>#REF!</v>
      </c>
      <c r="IP152" t="e">
        <f>AND(#REF!,"AAAAAH3d5/k=")</f>
        <v>#REF!</v>
      </c>
      <c r="IQ152" t="e">
        <f>AND(#REF!,"AAAAAH3d5/o=")</f>
        <v>#REF!</v>
      </c>
      <c r="IR152" t="e">
        <f>AND(#REF!,"AAAAAH3d5/s=")</f>
        <v>#REF!</v>
      </c>
      <c r="IS152" t="e">
        <f>AND(#REF!,"AAAAAH3d5/w=")</f>
        <v>#REF!</v>
      </c>
      <c r="IT152" t="e">
        <f>AND(#REF!,"AAAAAH3d5/0=")</f>
        <v>#REF!</v>
      </c>
      <c r="IU152" t="e">
        <f>AND(#REF!,"AAAAAH3d5/4=")</f>
        <v>#REF!</v>
      </c>
      <c r="IV152" t="e">
        <f>AND(#REF!,"AAAAAH3d5/8=")</f>
        <v>#REF!</v>
      </c>
    </row>
    <row r="153" spans="1:256" x14ac:dyDescent="0.25">
      <c r="A153" t="e">
        <f>AND(#REF!,"AAAAAH43/wA=")</f>
        <v>#REF!</v>
      </c>
      <c r="B153" t="e">
        <f>AND(#REF!,"AAAAAH43/wE=")</f>
        <v>#REF!</v>
      </c>
      <c r="C153" t="e">
        <f>AND(#REF!,"AAAAAH43/wI=")</f>
        <v>#REF!</v>
      </c>
      <c r="D153" t="e">
        <f>AND(#REF!,"AAAAAH43/wM=")</f>
        <v>#REF!</v>
      </c>
      <c r="E153" t="e">
        <f>AND(#REF!,"AAAAAH43/wQ=")</f>
        <v>#REF!</v>
      </c>
      <c r="F153" t="e">
        <f>AND(#REF!,"AAAAAH43/wU=")</f>
        <v>#REF!</v>
      </c>
      <c r="G153" t="e">
        <f>AND(#REF!,"AAAAAH43/wY=")</f>
        <v>#REF!</v>
      </c>
      <c r="H153" t="e">
        <f>AND(#REF!,"AAAAAH43/wc=")</f>
        <v>#REF!</v>
      </c>
      <c r="I153" t="e">
        <f>AND(#REF!,"AAAAAH43/wg=")</f>
        <v>#REF!</v>
      </c>
      <c r="J153" t="e">
        <f>AND(#REF!,"AAAAAH43/wk=")</f>
        <v>#REF!</v>
      </c>
      <c r="K153" t="e">
        <f>AND(#REF!,"AAAAAH43/wo=")</f>
        <v>#REF!</v>
      </c>
      <c r="L153" t="e">
        <f>IF(#REF!,"AAAAAH43/ws=",0)</f>
        <v>#REF!</v>
      </c>
      <c r="M153" t="e">
        <f>AND(#REF!,"AAAAAH43/ww=")</f>
        <v>#REF!</v>
      </c>
      <c r="N153" t="e">
        <f>AND(#REF!,"AAAAAH43/w0=")</f>
        <v>#REF!</v>
      </c>
      <c r="O153" t="e">
        <f>AND(#REF!,"AAAAAH43/w4=")</f>
        <v>#REF!</v>
      </c>
      <c r="P153" t="e">
        <f>AND(#REF!,"AAAAAH43/w8=")</f>
        <v>#REF!</v>
      </c>
      <c r="Q153" t="e">
        <f>AND(#REF!,"AAAAAH43/xA=")</f>
        <v>#REF!</v>
      </c>
      <c r="R153" t="e">
        <f>AND(#REF!,"AAAAAH43/xE=")</f>
        <v>#REF!</v>
      </c>
      <c r="S153" t="e">
        <f>AND(#REF!,"AAAAAH43/xI=")</f>
        <v>#REF!</v>
      </c>
      <c r="T153" t="e">
        <f>AND(#REF!,"AAAAAH43/xM=")</f>
        <v>#REF!</v>
      </c>
      <c r="U153" t="e">
        <f>AND(#REF!,"AAAAAH43/xQ=")</f>
        <v>#REF!</v>
      </c>
      <c r="V153" t="e">
        <f>AND(#REF!,"AAAAAH43/xU=")</f>
        <v>#REF!</v>
      </c>
      <c r="W153" t="e">
        <f>AND(#REF!,"AAAAAH43/xY=")</f>
        <v>#REF!</v>
      </c>
      <c r="X153" t="e">
        <f>AND(#REF!,"AAAAAH43/xc=")</f>
        <v>#REF!</v>
      </c>
      <c r="Y153" t="e">
        <f>AND(#REF!,"AAAAAH43/xg=")</f>
        <v>#REF!</v>
      </c>
      <c r="Z153" t="e">
        <f>AND(#REF!,"AAAAAH43/xk=")</f>
        <v>#REF!</v>
      </c>
      <c r="AA153" t="e">
        <f>AND(#REF!,"AAAAAH43/xo=")</f>
        <v>#REF!</v>
      </c>
      <c r="AB153" t="e">
        <f>AND(#REF!,"AAAAAH43/xs=")</f>
        <v>#REF!</v>
      </c>
      <c r="AC153" t="e">
        <f>AND(#REF!,"AAAAAH43/xw=")</f>
        <v>#REF!</v>
      </c>
      <c r="AD153" t="e">
        <f>AND(#REF!,"AAAAAH43/x0=")</f>
        <v>#REF!</v>
      </c>
      <c r="AE153" t="e">
        <f>AND(#REF!,"AAAAAH43/x4=")</f>
        <v>#REF!</v>
      </c>
      <c r="AF153" t="e">
        <f>AND(#REF!,"AAAAAH43/x8=")</f>
        <v>#REF!</v>
      </c>
      <c r="AG153" t="e">
        <f>AND(#REF!,"AAAAAH43/yA=")</f>
        <v>#REF!</v>
      </c>
      <c r="AH153" t="e">
        <f>IF(#REF!,"AAAAAH43/yE=",0)</f>
        <v>#REF!</v>
      </c>
      <c r="AI153" t="e">
        <f>AND(#REF!,"AAAAAH43/yI=")</f>
        <v>#REF!</v>
      </c>
      <c r="AJ153" t="e">
        <f>AND(#REF!,"AAAAAH43/yM=")</f>
        <v>#REF!</v>
      </c>
      <c r="AK153" t="e">
        <f>AND(#REF!,"AAAAAH43/yQ=")</f>
        <v>#REF!</v>
      </c>
      <c r="AL153" t="e">
        <f>AND(#REF!,"AAAAAH43/yU=")</f>
        <v>#REF!</v>
      </c>
      <c r="AM153" t="e">
        <f>AND(#REF!,"AAAAAH43/yY=")</f>
        <v>#REF!</v>
      </c>
      <c r="AN153" t="e">
        <f>AND(#REF!,"AAAAAH43/yc=")</f>
        <v>#REF!</v>
      </c>
      <c r="AO153" t="e">
        <f>AND(#REF!,"AAAAAH43/yg=")</f>
        <v>#REF!</v>
      </c>
      <c r="AP153" t="e">
        <f>AND(#REF!,"AAAAAH43/yk=")</f>
        <v>#REF!</v>
      </c>
      <c r="AQ153" t="e">
        <f>AND(#REF!,"AAAAAH43/yo=")</f>
        <v>#REF!</v>
      </c>
      <c r="AR153" t="e">
        <f>AND(#REF!,"AAAAAH43/ys=")</f>
        <v>#REF!</v>
      </c>
      <c r="AS153" t="e">
        <f>AND(#REF!,"AAAAAH43/yw=")</f>
        <v>#REF!</v>
      </c>
      <c r="AT153" t="e">
        <f>AND(#REF!,"AAAAAH43/y0=")</f>
        <v>#REF!</v>
      </c>
      <c r="AU153" t="e">
        <f>AND(#REF!,"AAAAAH43/y4=")</f>
        <v>#REF!</v>
      </c>
      <c r="AV153" t="e">
        <f>AND(#REF!,"AAAAAH43/y8=")</f>
        <v>#REF!</v>
      </c>
      <c r="AW153" t="e">
        <f>AND(#REF!,"AAAAAH43/zA=")</f>
        <v>#REF!</v>
      </c>
      <c r="AX153" t="e">
        <f>AND(#REF!,"AAAAAH43/zE=")</f>
        <v>#REF!</v>
      </c>
      <c r="AY153" t="e">
        <f>AND(#REF!,"AAAAAH43/zI=")</f>
        <v>#REF!</v>
      </c>
      <c r="AZ153" t="e">
        <f>AND(#REF!,"AAAAAH43/zM=")</f>
        <v>#REF!</v>
      </c>
      <c r="BA153" t="e">
        <f>AND(#REF!,"AAAAAH43/zQ=")</f>
        <v>#REF!</v>
      </c>
      <c r="BB153" t="e">
        <f>AND(#REF!,"AAAAAH43/zU=")</f>
        <v>#REF!</v>
      </c>
      <c r="BC153" t="e">
        <f>AND(#REF!,"AAAAAH43/zY=")</f>
        <v>#REF!</v>
      </c>
      <c r="BD153" t="e">
        <f>IF(#REF!,"AAAAAH43/zc=",0)</f>
        <v>#REF!</v>
      </c>
      <c r="BE153" t="e">
        <f>AND(#REF!,"AAAAAH43/zg=")</f>
        <v>#REF!</v>
      </c>
      <c r="BF153" t="e">
        <f>AND(#REF!,"AAAAAH43/zk=")</f>
        <v>#REF!</v>
      </c>
      <c r="BG153" t="e">
        <f>AND(#REF!,"AAAAAH43/zo=")</f>
        <v>#REF!</v>
      </c>
      <c r="BH153" t="e">
        <f>AND(#REF!,"AAAAAH43/zs=")</f>
        <v>#REF!</v>
      </c>
      <c r="BI153" t="e">
        <f>AND(#REF!,"AAAAAH43/zw=")</f>
        <v>#REF!</v>
      </c>
      <c r="BJ153" t="e">
        <f>AND(#REF!,"AAAAAH43/z0=")</f>
        <v>#REF!</v>
      </c>
      <c r="BK153" t="e">
        <f>AND(#REF!,"AAAAAH43/z4=")</f>
        <v>#REF!</v>
      </c>
      <c r="BL153" t="e">
        <f>AND(#REF!,"AAAAAH43/z8=")</f>
        <v>#REF!</v>
      </c>
      <c r="BM153" t="e">
        <f>AND(#REF!,"AAAAAH43/0A=")</f>
        <v>#REF!</v>
      </c>
      <c r="BN153" t="e">
        <f>AND(#REF!,"AAAAAH43/0E=")</f>
        <v>#REF!</v>
      </c>
      <c r="BO153" t="e">
        <f>AND(#REF!,"AAAAAH43/0I=")</f>
        <v>#REF!</v>
      </c>
      <c r="BP153" t="e">
        <f>AND(#REF!,"AAAAAH43/0M=")</f>
        <v>#REF!</v>
      </c>
      <c r="BQ153" t="e">
        <f>AND(#REF!,"AAAAAH43/0Q=")</f>
        <v>#REF!</v>
      </c>
      <c r="BR153" t="e">
        <f>AND(#REF!,"AAAAAH43/0U=")</f>
        <v>#REF!</v>
      </c>
      <c r="BS153" t="e">
        <f>AND(#REF!,"AAAAAH43/0Y=")</f>
        <v>#REF!</v>
      </c>
      <c r="BT153" t="e">
        <f>AND(#REF!,"AAAAAH43/0c=")</f>
        <v>#REF!</v>
      </c>
      <c r="BU153" t="e">
        <f>AND(#REF!,"AAAAAH43/0g=")</f>
        <v>#REF!</v>
      </c>
      <c r="BV153" t="e">
        <f>AND(#REF!,"AAAAAH43/0k=")</f>
        <v>#REF!</v>
      </c>
      <c r="BW153" t="e">
        <f>AND(#REF!,"AAAAAH43/0o=")</f>
        <v>#REF!</v>
      </c>
      <c r="BX153" t="e">
        <f>AND(#REF!,"AAAAAH43/0s=")</f>
        <v>#REF!</v>
      </c>
      <c r="BY153" t="e">
        <f>AND(#REF!,"AAAAAH43/0w=")</f>
        <v>#REF!</v>
      </c>
      <c r="BZ153" t="e">
        <f>IF(#REF!,"AAAAAH43/00=",0)</f>
        <v>#REF!</v>
      </c>
      <c r="CA153" t="e">
        <f>AND(#REF!,"AAAAAH43/04=")</f>
        <v>#REF!</v>
      </c>
      <c r="CB153" t="e">
        <f>AND(#REF!,"AAAAAH43/08=")</f>
        <v>#REF!</v>
      </c>
      <c r="CC153" t="e">
        <f>AND(#REF!,"AAAAAH43/1A=")</f>
        <v>#REF!</v>
      </c>
      <c r="CD153" t="e">
        <f>AND(#REF!,"AAAAAH43/1E=")</f>
        <v>#REF!</v>
      </c>
      <c r="CE153" t="e">
        <f>AND(#REF!,"AAAAAH43/1I=")</f>
        <v>#REF!</v>
      </c>
      <c r="CF153" t="e">
        <f>AND(#REF!,"AAAAAH43/1M=")</f>
        <v>#REF!</v>
      </c>
      <c r="CG153" t="e">
        <f>AND(#REF!,"AAAAAH43/1Q=")</f>
        <v>#REF!</v>
      </c>
      <c r="CH153" t="e">
        <f>AND(#REF!,"AAAAAH43/1U=")</f>
        <v>#REF!</v>
      </c>
      <c r="CI153" t="e">
        <f>AND(#REF!,"AAAAAH43/1Y=")</f>
        <v>#REF!</v>
      </c>
      <c r="CJ153" t="e">
        <f>AND(#REF!,"AAAAAH43/1c=")</f>
        <v>#REF!</v>
      </c>
      <c r="CK153" t="e">
        <f>AND(#REF!,"AAAAAH43/1g=")</f>
        <v>#REF!</v>
      </c>
      <c r="CL153" t="e">
        <f>AND(#REF!,"AAAAAH43/1k=")</f>
        <v>#REF!</v>
      </c>
      <c r="CM153" t="e">
        <f>AND(#REF!,"AAAAAH43/1o=")</f>
        <v>#REF!</v>
      </c>
      <c r="CN153" t="e">
        <f>AND(#REF!,"AAAAAH43/1s=")</f>
        <v>#REF!</v>
      </c>
      <c r="CO153" t="e">
        <f>AND(#REF!,"AAAAAH43/1w=")</f>
        <v>#REF!</v>
      </c>
      <c r="CP153" t="e">
        <f>AND(#REF!,"AAAAAH43/10=")</f>
        <v>#REF!</v>
      </c>
      <c r="CQ153" t="e">
        <f>AND(#REF!,"AAAAAH43/14=")</f>
        <v>#REF!</v>
      </c>
      <c r="CR153" t="e">
        <f>AND(#REF!,"AAAAAH43/18=")</f>
        <v>#REF!</v>
      </c>
      <c r="CS153" t="e">
        <f>AND(#REF!,"AAAAAH43/2A=")</f>
        <v>#REF!</v>
      </c>
      <c r="CT153" t="e">
        <f>AND(#REF!,"AAAAAH43/2E=")</f>
        <v>#REF!</v>
      </c>
      <c r="CU153" t="e">
        <f>AND(#REF!,"AAAAAH43/2I=")</f>
        <v>#REF!</v>
      </c>
      <c r="CV153" t="e">
        <f>IF(#REF!,"AAAAAH43/2M=",0)</f>
        <v>#REF!</v>
      </c>
      <c r="CW153" t="e">
        <f>AND(#REF!,"AAAAAH43/2Q=")</f>
        <v>#REF!</v>
      </c>
      <c r="CX153" t="e">
        <f>AND(#REF!,"AAAAAH43/2U=")</f>
        <v>#REF!</v>
      </c>
      <c r="CY153" t="e">
        <f>AND(#REF!,"AAAAAH43/2Y=")</f>
        <v>#REF!</v>
      </c>
      <c r="CZ153" t="e">
        <f>AND(#REF!,"AAAAAH43/2c=")</f>
        <v>#REF!</v>
      </c>
      <c r="DA153" t="e">
        <f>AND(#REF!,"AAAAAH43/2g=")</f>
        <v>#REF!</v>
      </c>
      <c r="DB153" t="e">
        <f>AND(#REF!,"AAAAAH43/2k=")</f>
        <v>#REF!</v>
      </c>
      <c r="DC153" t="e">
        <f>AND(#REF!,"AAAAAH43/2o=")</f>
        <v>#REF!</v>
      </c>
      <c r="DD153" t="e">
        <f>AND(#REF!,"AAAAAH43/2s=")</f>
        <v>#REF!</v>
      </c>
      <c r="DE153" t="e">
        <f>AND(#REF!,"AAAAAH43/2w=")</f>
        <v>#REF!</v>
      </c>
      <c r="DF153" t="e">
        <f>AND(#REF!,"AAAAAH43/20=")</f>
        <v>#REF!</v>
      </c>
      <c r="DG153" t="e">
        <f>AND(#REF!,"AAAAAH43/24=")</f>
        <v>#REF!</v>
      </c>
      <c r="DH153" t="e">
        <f>AND(#REF!,"AAAAAH43/28=")</f>
        <v>#REF!</v>
      </c>
      <c r="DI153" t="e">
        <f>AND(#REF!,"AAAAAH43/3A=")</f>
        <v>#REF!</v>
      </c>
      <c r="DJ153" t="e">
        <f>AND(#REF!,"AAAAAH43/3E=")</f>
        <v>#REF!</v>
      </c>
      <c r="DK153" t="e">
        <f>AND(#REF!,"AAAAAH43/3I=")</f>
        <v>#REF!</v>
      </c>
      <c r="DL153" t="e">
        <f>AND(#REF!,"AAAAAH43/3M=")</f>
        <v>#REF!</v>
      </c>
      <c r="DM153" t="e">
        <f>AND(#REF!,"AAAAAH43/3Q=")</f>
        <v>#REF!</v>
      </c>
      <c r="DN153" t="e">
        <f>AND(#REF!,"AAAAAH43/3U=")</f>
        <v>#REF!</v>
      </c>
      <c r="DO153" t="e">
        <f>AND(#REF!,"AAAAAH43/3Y=")</f>
        <v>#REF!</v>
      </c>
      <c r="DP153" t="e">
        <f>AND(#REF!,"AAAAAH43/3c=")</f>
        <v>#REF!</v>
      </c>
      <c r="DQ153" t="e">
        <f>AND(#REF!,"AAAAAH43/3g=")</f>
        <v>#REF!</v>
      </c>
      <c r="DR153" t="e">
        <f>IF(#REF!,"AAAAAH43/3k=",0)</f>
        <v>#REF!</v>
      </c>
      <c r="DS153" t="e">
        <f>AND(#REF!,"AAAAAH43/3o=")</f>
        <v>#REF!</v>
      </c>
      <c r="DT153" t="e">
        <f>AND(#REF!,"AAAAAH43/3s=")</f>
        <v>#REF!</v>
      </c>
      <c r="DU153" t="e">
        <f>AND(#REF!,"AAAAAH43/3w=")</f>
        <v>#REF!</v>
      </c>
      <c r="DV153" t="e">
        <f>AND(#REF!,"AAAAAH43/30=")</f>
        <v>#REF!</v>
      </c>
      <c r="DW153" t="e">
        <f>AND(#REF!,"AAAAAH43/34=")</f>
        <v>#REF!</v>
      </c>
      <c r="DX153" t="e">
        <f>AND(#REF!,"AAAAAH43/38=")</f>
        <v>#REF!</v>
      </c>
      <c r="DY153" t="e">
        <f>AND(#REF!,"AAAAAH43/4A=")</f>
        <v>#REF!</v>
      </c>
      <c r="DZ153" t="e">
        <f>AND(#REF!,"AAAAAH43/4E=")</f>
        <v>#REF!</v>
      </c>
      <c r="EA153" t="e">
        <f>AND(#REF!,"AAAAAH43/4I=")</f>
        <v>#REF!</v>
      </c>
      <c r="EB153" t="e">
        <f>AND(#REF!,"AAAAAH43/4M=")</f>
        <v>#REF!</v>
      </c>
      <c r="EC153" t="e">
        <f>AND(#REF!,"AAAAAH43/4Q=")</f>
        <v>#REF!</v>
      </c>
      <c r="ED153" t="e">
        <f>AND(#REF!,"AAAAAH43/4U=")</f>
        <v>#REF!</v>
      </c>
      <c r="EE153" t="e">
        <f>AND(#REF!,"AAAAAH43/4Y=")</f>
        <v>#REF!</v>
      </c>
      <c r="EF153" t="e">
        <f>AND(#REF!,"AAAAAH43/4c=")</f>
        <v>#REF!</v>
      </c>
      <c r="EG153" t="e">
        <f>AND(#REF!,"AAAAAH43/4g=")</f>
        <v>#REF!</v>
      </c>
      <c r="EH153" t="e">
        <f>AND(#REF!,"AAAAAH43/4k=")</f>
        <v>#REF!</v>
      </c>
      <c r="EI153" t="e">
        <f>AND(#REF!,"AAAAAH43/4o=")</f>
        <v>#REF!</v>
      </c>
      <c r="EJ153" t="e">
        <f>AND(#REF!,"AAAAAH43/4s=")</f>
        <v>#REF!</v>
      </c>
      <c r="EK153" t="e">
        <f>AND(#REF!,"AAAAAH43/4w=")</f>
        <v>#REF!</v>
      </c>
      <c r="EL153" t="e">
        <f>AND(#REF!,"AAAAAH43/40=")</f>
        <v>#REF!</v>
      </c>
      <c r="EM153" t="e">
        <f>AND(#REF!,"AAAAAH43/44=")</f>
        <v>#REF!</v>
      </c>
      <c r="EN153" t="e">
        <f>IF(#REF!,"AAAAAH43/48=",0)</f>
        <v>#REF!</v>
      </c>
      <c r="EO153" t="e">
        <f>AND(#REF!,"AAAAAH43/5A=")</f>
        <v>#REF!</v>
      </c>
      <c r="EP153" t="e">
        <f>AND(#REF!,"AAAAAH43/5E=")</f>
        <v>#REF!</v>
      </c>
      <c r="EQ153" t="e">
        <f>AND(#REF!,"AAAAAH43/5I=")</f>
        <v>#REF!</v>
      </c>
      <c r="ER153" t="e">
        <f>AND(#REF!,"AAAAAH43/5M=")</f>
        <v>#REF!</v>
      </c>
      <c r="ES153" t="e">
        <f>AND(#REF!,"AAAAAH43/5Q=")</f>
        <v>#REF!</v>
      </c>
      <c r="ET153" t="e">
        <f>AND(#REF!,"AAAAAH43/5U=")</f>
        <v>#REF!</v>
      </c>
      <c r="EU153" t="e">
        <f>AND(#REF!,"AAAAAH43/5Y=")</f>
        <v>#REF!</v>
      </c>
      <c r="EV153" t="e">
        <f>AND(#REF!,"AAAAAH43/5c=")</f>
        <v>#REF!</v>
      </c>
      <c r="EW153" t="e">
        <f>AND(#REF!,"AAAAAH43/5g=")</f>
        <v>#REF!</v>
      </c>
      <c r="EX153" t="e">
        <f>AND(#REF!,"AAAAAH43/5k=")</f>
        <v>#REF!</v>
      </c>
      <c r="EY153" t="e">
        <f>AND(#REF!,"AAAAAH43/5o=")</f>
        <v>#REF!</v>
      </c>
      <c r="EZ153" t="e">
        <f>AND(#REF!,"AAAAAH43/5s=")</f>
        <v>#REF!</v>
      </c>
      <c r="FA153" t="e">
        <f>AND(#REF!,"AAAAAH43/5w=")</f>
        <v>#REF!</v>
      </c>
      <c r="FB153" t="e">
        <f>AND(#REF!,"AAAAAH43/50=")</f>
        <v>#REF!</v>
      </c>
      <c r="FC153" t="e">
        <f>AND(#REF!,"AAAAAH43/54=")</f>
        <v>#REF!</v>
      </c>
      <c r="FD153" t="e">
        <f>AND(#REF!,"AAAAAH43/58=")</f>
        <v>#REF!</v>
      </c>
      <c r="FE153" t="e">
        <f>AND(#REF!,"AAAAAH43/6A=")</f>
        <v>#REF!</v>
      </c>
      <c r="FF153" t="e">
        <f>AND(#REF!,"AAAAAH43/6E=")</f>
        <v>#REF!</v>
      </c>
      <c r="FG153" t="e">
        <f>AND(#REF!,"AAAAAH43/6I=")</f>
        <v>#REF!</v>
      </c>
      <c r="FH153" t="e">
        <f>AND(#REF!,"AAAAAH43/6M=")</f>
        <v>#REF!</v>
      </c>
      <c r="FI153" t="e">
        <f>AND(#REF!,"AAAAAH43/6Q=")</f>
        <v>#REF!</v>
      </c>
      <c r="FJ153" t="e">
        <f>IF(#REF!,"AAAAAH43/6U=",0)</f>
        <v>#REF!</v>
      </c>
      <c r="FK153" t="e">
        <f>AND(#REF!,"AAAAAH43/6Y=")</f>
        <v>#REF!</v>
      </c>
      <c r="FL153" t="e">
        <f>AND(#REF!,"AAAAAH43/6c=")</f>
        <v>#REF!</v>
      </c>
      <c r="FM153" t="e">
        <f>AND(#REF!,"AAAAAH43/6g=")</f>
        <v>#REF!</v>
      </c>
      <c r="FN153" t="e">
        <f>AND(#REF!,"AAAAAH43/6k=")</f>
        <v>#REF!</v>
      </c>
      <c r="FO153" t="e">
        <f>AND(#REF!,"AAAAAH43/6o=")</f>
        <v>#REF!</v>
      </c>
      <c r="FP153" t="e">
        <f>AND(#REF!,"AAAAAH43/6s=")</f>
        <v>#REF!</v>
      </c>
      <c r="FQ153" t="e">
        <f>AND(#REF!,"AAAAAH43/6w=")</f>
        <v>#REF!</v>
      </c>
      <c r="FR153" t="e">
        <f>AND(#REF!,"AAAAAH43/60=")</f>
        <v>#REF!</v>
      </c>
      <c r="FS153" t="e">
        <f>AND(#REF!,"AAAAAH43/64=")</f>
        <v>#REF!</v>
      </c>
      <c r="FT153" t="e">
        <f>AND(#REF!,"AAAAAH43/68=")</f>
        <v>#REF!</v>
      </c>
      <c r="FU153" t="e">
        <f>AND(#REF!,"AAAAAH43/7A=")</f>
        <v>#REF!</v>
      </c>
      <c r="FV153" t="e">
        <f>AND(#REF!,"AAAAAH43/7E=")</f>
        <v>#REF!</v>
      </c>
      <c r="FW153" t="e">
        <f>AND(#REF!,"AAAAAH43/7I=")</f>
        <v>#REF!</v>
      </c>
      <c r="FX153" t="e">
        <f>AND(#REF!,"AAAAAH43/7M=")</f>
        <v>#REF!</v>
      </c>
      <c r="FY153" t="e">
        <f>AND(#REF!,"AAAAAH43/7Q=")</f>
        <v>#REF!</v>
      </c>
      <c r="FZ153" t="e">
        <f>AND(#REF!,"AAAAAH43/7U=")</f>
        <v>#REF!</v>
      </c>
      <c r="GA153" t="e">
        <f>AND(#REF!,"AAAAAH43/7Y=")</f>
        <v>#REF!</v>
      </c>
      <c r="GB153" t="e">
        <f>AND(#REF!,"AAAAAH43/7c=")</f>
        <v>#REF!</v>
      </c>
      <c r="GC153" t="e">
        <f>AND(#REF!,"AAAAAH43/7g=")</f>
        <v>#REF!</v>
      </c>
      <c r="GD153" t="e">
        <f>AND(#REF!,"AAAAAH43/7k=")</f>
        <v>#REF!</v>
      </c>
      <c r="GE153" t="e">
        <f>AND(#REF!,"AAAAAH43/7o=")</f>
        <v>#REF!</v>
      </c>
      <c r="GF153" t="e">
        <f>IF(#REF!,"AAAAAH43/7s=",0)</f>
        <v>#REF!</v>
      </c>
      <c r="GG153" t="e">
        <f>AND(#REF!,"AAAAAH43/7w=")</f>
        <v>#REF!</v>
      </c>
      <c r="GH153" t="e">
        <f>AND(#REF!,"AAAAAH43/70=")</f>
        <v>#REF!</v>
      </c>
      <c r="GI153" t="e">
        <f>AND(#REF!,"AAAAAH43/74=")</f>
        <v>#REF!</v>
      </c>
      <c r="GJ153" t="e">
        <f>AND(#REF!,"AAAAAH43/78=")</f>
        <v>#REF!</v>
      </c>
      <c r="GK153" t="e">
        <f>AND(#REF!,"AAAAAH43/8A=")</f>
        <v>#REF!</v>
      </c>
      <c r="GL153" t="e">
        <f>AND(#REF!,"AAAAAH43/8E=")</f>
        <v>#REF!</v>
      </c>
      <c r="GM153" t="e">
        <f>AND(#REF!,"AAAAAH43/8I=")</f>
        <v>#REF!</v>
      </c>
      <c r="GN153" t="e">
        <f>AND(#REF!,"AAAAAH43/8M=")</f>
        <v>#REF!</v>
      </c>
      <c r="GO153" t="e">
        <f>AND(#REF!,"AAAAAH43/8Q=")</f>
        <v>#REF!</v>
      </c>
      <c r="GP153" t="e">
        <f>AND(#REF!,"AAAAAH43/8U=")</f>
        <v>#REF!</v>
      </c>
      <c r="GQ153" t="e">
        <f>AND(#REF!,"AAAAAH43/8Y=")</f>
        <v>#REF!</v>
      </c>
      <c r="GR153" t="e">
        <f>AND(#REF!,"AAAAAH43/8c=")</f>
        <v>#REF!</v>
      </c>
      <c r="GS153" t="e">
        <f>AND(#REF!,"AAAAAH43/8g=")</f>
        <v>#REF!</v>
      </c>
      <c r="GT153" t="e">
        <f>AND(#REF!,"AAAAAH43/8k=")</f>
        <v>#REF!</v>
      </c>
      <c r="GU153" t="e">
        <f>AND(#REF!,"AAAAAH43/8o=")</f>
        <v>#REF!</v>
      </c>
      <c r="GV153" t="e">
        <f>AND(#REF!,"AAAAAH43/8s=")</f>
        <v>#REF!</v>
      </c>
      <c r="GW153" t="e">
        <f>AND(#REF!,"AAAAAH43/8w=")</f>
        <v>#REF!</v>
      </c>
      <c r="GX153" t="e">
        <f>AND(#REF!,"AAAAAH43/80=")</f>
        <v>#REF!</v>
      </c>
      <c r="GY153" t="e">
        <f>AND(#REF!,"AAAAAH43/84=")</f>
        <v>#REF!</v>
      </c>
      <c r="GZ153" t="e">
        <f>AND(#REF!,"AAAAAH43/88=")</f>
        <v>#REF!</v>
      </c>
      <c r="HA153" t="e">
        <f>AND(#REF!,"AAAAAH43/9A=")</f>
        <v>#REF!</v>
      </c>
      <c r="HB153" t="e">
        <f>IF(#REF!,"AAAAAH43/9E=",0)</f>
        <v>#REF!</v>
      </c>
      <c r="HC153" t="e">
        <f>AND(#REF!,"AAAAAH43/9I=")</f>
        <v>#REF!</v>
      </c>
      <c r="HD153" t="e">
        <f>AND(#REF!,"AAAAAH43/9M=")</f>
        <v>#REF!</v>
      </c>
      <c r="HE153" t="e">
        <f>AND(#REF!,"AAAAAH43/9Q=")</f>
        <v>#REF!</v>
      </c>
      <c r="HF153" t="e">
        <f>AND(#REF!,"AAAAAH43/9U=")</f>
        <v>#REF!</v>
      </c>
      <c r="HG153" t="e">
        <f>AND(#REF!,"AAAAAH43/9Y=")</f>
        <v>#REF!</v>
      </c>
      <c r="HH153" t="e">
        <f>AND(#REF!,"AAAAAH43/9c=")</f>
        <v>#REF!</v>
      </c>
      <c r="HI153" t="e">
        <f>AND(#REF!,"AAAAAH43/9g=")</f>
        <v>#REF!</v>
      </c>
      <c r="HJ153" t="e">
        <f>AND(#REF!,"AAAAAH43/9k=")</f>
        <v>#REF!</v>
      </c>
      <c r="HK153" t="e">
        <f>AND(#REF!,"AAAAAH43/9o=")</f>
        <v>#REF!</v>
      </c>
      <c r="HL153" t="e">
        <f>AND(#REF!,"AAAAAH43/9s=")</f>
        <v>#REF!</v>
      </c>
      <c r="HM153" t="e">
        <f>AND(#REF!,"AAAAAH43/9w=")</f>
        <v>#REF!</v>
      </c>
      <c r="HN153" t="e">
        <f>AND(#REF!,"AAAAAH43/90=")</f>
        <v>#REF!</v>
      </c>
      <c r="HO153" t="e">
        <f>AND(#REF!,"AAAAAH43/94=")</f>
        <v>#REF!</v>
      </c>
      <c r="HP153" t="e">
        <f>AND(#REF!,"AAAAAH43/98=")</f>
        <v>#REF!</v>
      </c>
      <c r="HQ153" t="e">
        <f>AND(#REF!,"AAAAAH43/+A=")</f>
        <v>#REF!</v>
      </c>
      <c r="HR153" t="e">
        <f>AND(#REF!,"AAAAAH43/+E=")</f>
        <v>#REF!</v>
      </c>
      <c r="HS153" t="e">
        <f>AND(#REF!,"AAAAAH43/+I=")</f>
        <v>#REF!</v>
      </c>
      <c r="HT153" t="e">
        <f>AND(#REF!,"AAAAAH43/+M=")</f>
        <v>#REF!</v>
      </c>
      <c r="HU153" t="e">
        <f>AND(#REF!,"AAAAAH43/+Q=")</f>
        <v>#REF!</v>
      </c>
      <c r="HV153" t="e">
        <f>AND(#REF!,"AAAAAH43/+U=")</f>
        <v>#REF!</v>
      </c>
      <c r="HW153" t="e">
        <f>AND(#REF!,"AAAAAH43/+Y=")</f>
        <v>#REF!</v>
      </c>
      <c r="HX153" t="e">
        <f>IF(#REF!,"AAAAAH43/+c=",0)</f>
        <v>#REF!</v>
      </c>
      <c r="HY153" t="e">
        <f>AND(#REF!,"AAAAAH43/+g=")</f>
        <v>#REF!</v>
      </c>
      <c r="HZ153" t="e">
        <f>AND(#REF!,"AAAAAH43/+k=")</f>
        <v>#REF!</v>
      </c>
      <c r="IA153" t="e">
        <f>AND(#REF!,"AAAAAH43/+o=")</f>
        <v>#REF!</v>
      </c>
      <c r="IB153" t="e">
        <f>AND(#REF!,"AAAAAH43/+s=")</f>
        <v>#REF!</v>
      </c>
      <c r="IC153" t="e">
        <f>AND(#REF!,"AAAAAH43/+w=")</f>
        <v>#REF!</v>
      </c>
      <c r="ID153" t="e">
        <f>AND(#REF!,"AAAAAH43/+0=")</f>
        <v>#REF!</v>
      </c>
      <c r="IE153" t="e">
        <f>AND(#REF!,"AAAAAH43/+4=")</f>
        <v>#REF!</v>
      </c>
      <c r="IF153" t="e">
        <f>AND(#REF!,"AAAAAH43/+8=")</f>
        <v>#REF!</v>
      </c>
      <c r="IG153" t="e">
        <f>AND(#REF!,"AAAAAH43//A=")</f>
        <v>#REF!</v>
      </c>
      <c r="IH153" t="e">
        <f>AND(#REF!,"AAAAAH43//E=")</f>
        <v>#REF!</v>
      </c>
      <c r="II153" t="e">
        <f>AND(#REF!,"AAAAAH43//I=")</f>
        <v>#REF!</v>
      </c>
      <c r="IJ153" t="e">
        <f>AND(#REF!,"AAAAAH43//M=")</f>
        <v>#REF!</v>
      </c>
      <c r="IK153" t="e">
        <f>AND(#REF!,"AAAAAH43//Q=")</f>
        <v>#REF!</v>
      </c>
      <c r="IL153" t="e">
        <f>AND(#REF!,"AAAAAH43//U=")</f>
        <v>#REF!</v>
      </c>
      <c r="IM153" t="e">
        <f>AND(#REF!,"AAAAAH43//Y=")</f>
        <v>#REF!</v>
      </c>
      <c r="IN153" t="e">
        <f>AND(#REF!,"AAAAAH43//c=")</f>
        <v>#REF!</v>
      </c>
      <c r="IO153" t="e">
        <f>AND(#REF!,"AAAAAH43//g=")</f>
        <v>#REF!</v>
      </c>
      <c r="IP153" t="e">
        <f>AND(#REF!,"AAAAAH43//k=")</f>
        <v>#REF!</v>
      </c>
      <c r="IQ153" t="e">
        <f>AND(#REF!,"AAAAAH43//o=")</f>
        <v>#REF!</v>
      </c>
      <c r="IR153" t="e">
        <f>AND(#REF!,"AAAAAH43//s=")</f>
        <v>#REF!</v>
      </c>
      <c r="IS153" t="e">
        <f>AND(#REF!,"AAAAAH43//w=")</f>
        <v>#REF!</v>
      </c>
      <c r="IT153" t="e">
        <f>IF(#REF!,"AAAAAH43//0=",0)</f>
        <v>#REF!</v>
      </c>
      <c r="IU153" t="e">
        <f>AND(#REF!,"AAAAAH43//4=")</f>
        <v>#REF!</v>
      </c>
      <c r="IV153" t="e">
        <f>AND(#REF!,"AAAAAH43//8=")</f>
        <v>#REF!</v>
      </c>
    </row>
    <row r="154" spans="1:256" x14ac:dyDescent="0.25">
      <c r="A154" t="e">
        <f>AND(#REF!,"AAAAAG3/vgA=")</f>
        <v>#REF!</v>
      </c>
      <c r="B154" t="e">
        <f>AND(#REF!,"AAAAAG3/vgE=")</f>
        <v>#REF!</v>
      </c>
      <c r="C154" t="e">
        <f>AND(#REF!,"AAAAAG3/vgI=")</f>
        <v>#REF!</v>
      </c>
      <c r="D154" t="e">
        <f>AND(#REF!,"AAAAAG3/vgM=")</f>
        <v>#REF!</v>
      </c>
      <c r="E154" t="e">
        <f>AND(#REF!,"AAAAAG3/vgQ=")</f>
        <v>#REF!</v>
      </c>
      <c r="F154" t="e">
        <f>AND(#REF!,"AAAAAG3/vgU=")</f>
        <v>#REF!</v>
      </c>
      <c r="G154" t="e">
        <f>AND(#REF!,"AAAAAG3/vgY=")</f>
        <v>#REF!</v>
      </c>
      <c r="H154" t="e">
        <f>AND(#REF!,"AAAAAG3/vgc=")</f>
        <v>#REF!</v>
      </c>
      <c r="I154" t="e">
        <f>AND(#REF!,"AAAAAG3/vgg=")</f>
        <v>#REF!</v>
      </c>
      <c r="J154" t="e">
        <f>AND(#REF!,"AAAAAG3/vgk=")</f>
        <v>#REF!</v>
      </c>
      <c r="K154" t="e">
        <f>AND(#REF!,"AAAAAG3/vgo=")</f>
        <v>#REF!</v>
      </c>
      <c r="L154" t="e">
        <f>AND(#REF!,"AAAAAG3/vgs=")</f>
        <v>#REF!</v>
      </c>
      <c r="M154" t="e">
        <f>AND(#REF!,"AAAAAG3/vgw=")</f>
        <v>#REF!</v>
      </c>
      <c r="N154" t="e">
        <f>AND(#REF!,"AAAAAG3/vg0=")</f>
        <v>#REF!</v>
      </c>
      <c r="O154" t="e">
        <f>AND(#REF!,"AAAAAG3/vg4=")</f>
        <v>#REF!</v>
      </c>
      <c r="P154" t="e">
        <f>AND(#REF!,"AAAAAG3/vg8=")</f>
        <v>#REF!</v>
      </c>
      <c r="Q154" t="e">
        <f>AND(#REF!,"AAAAAG3/vhA=")</f>
        <v>#REF!</v>
      </c>
      <c r="R154" t="e">
        <f>AND(#REF!,"AAAAAG3/vhE=")</f>
        <v>#REF!</v>
      </c>
      <c r="S154" t="e">
        <f>AND(#REF!,"AAAAAG3/vhI=")</f>
        <v>#REF!</v>
      </c>
      <c r="T154" t="e">
        <f>IF(#REF!,"AAAAAG3/vhM=",0)</f>
        <v>#REF!</v>
      </c>
      <c r="U154" t="e">
        <f>AND(#REF!,"AAAAAG3/vhQ=")</f>
        <v>#REF!</v>
      </c>
      <c r="V154" t="e">
        <f>AND(#REF!,"AAAAAG3/vhU=")</f>
        <v>#REF!</v>
      </c>
      <c r="W154" t="e">
        <f>AND(#REF!,"AAAAAG3/vhY=")</f>
        <v>#REF!</v>
      </c>
      <c r="X154" t="e">
        <f>AND(#REF!,"AAAAAG3/vhc=")</f>
        <v>#REF!</v>
      </c>
      <c r="Y154" t="e">
        <f>AND(#REF!,"AAAAAG3/vhg=")</f>
        <v>#REF!</v>
      </c>
      <c r="Z154" t="e">
        <f>AND(#REF!,"AAAAAG3/vhk=")</f>
        <v>#REF!</v>
      </c>
      <c r="AA154" t="e">
        <f>AND(#REF!,"AAAAAG3/vho=")</f>
        <v>#REF!</v>
      </c>
      <c r="AB154" t="e">
        <f>AND(#REF!,"AAAAAG3/vhs=")</f>
        <v>#REF!</v>
      </c>
      <c r="AC154" t="e">
        <f>AND(#REF!,"AAAAAG3/vhw=")</f>
        <v>#REF!</v>
      </c>
      <c r="AD154" t="e">
        <f>AND(#REF!,"AAAAAG3/vh0=")</f>
        <v>#REF!</v>
      </c>
      <c r="AE154" t="e">
        <f>AND(#REF!,"AAAAAG3/vh4=")</f>
        <v>#REF!</v>
      </c>
      <c r="AF154" t="e">
        <f>AND(#REF!,"AAAAAG3/vh8=")</f>
        <v>#REF!</v>
      </c>
      <c r="AG154" t="e">
        <f>AND(#REF!,"AAAAAG3/viA=")</f>
        <v>#REF!</v>
      </c>
      <c r="AH154" t="e">
        <f>AND(#REF!,"AAAAAG3/viE=")</f>
        <v>#REF!</v>
      </c>
      <c r="AI154" t="e">
        <f>AND(#REF!,"AAAAAG3/viI=")</f>
        <v>#REF!</v>
      </c>
      <c r="AJ154" t="e">
        <f>AND(#REF!,"AAAAAG3/viM=")</f>
        <v>#REF!</v>
      </c>
      <c r="AK154" t="e">
        <f>AND(#REF!,"AAAAAG3/viQ=")</f>
        <v>#REF!</v>
      </c>
      <c r="AL154" t="e">
        <f>AND(#REF!,"AAAAAG3/viU=")</f>
        <v>#REF!</v>
      </c>
      <c r="AM154" t="e">
        <f>AND(#REF!,"AAAAAG3/viY=")</f>
        <v>#REF!</v>
      </c>
      <c r="AN154" t="e">
        <f>AND(#REF!,"AAAAAG3/vic=")</f>
        <v>#REF!</v>
      </c>
      <c r="AO154" t="e">
        <f>AND(#REF!,"AAAAAG3/vig=")</f>
        <v>#REF!</v>
      </c>
      <c r="AP154" t="e">
        <f>IF(#REF!,"AAAAAG3/vik=",0)</f>
        <v>#REF!</v>
      </c>
      <c r="AQ154" t="e">
        <f>AND(#REF!,"AAAAAG3/vio=")</f>
        <v>#REF!</v>
      </c>
      <c r="AR154" t="e">
        <f>AND(#REF!,"AAAAAG3/vis=")</f>
        <v>#REF!</v>
      </c>
      <c r="AS154" t="e">
        <f>AND(#REF!,"AAAAAG3/viw=")</f>
        <v>#REF!</v>
      </c>
      <c r="AT154" t="e">
        <f>AND(#REF!,"AAAAAG3/vi0=")</f>
        <v>#REF!</v>
      </c>
      <c r="AU154" t="e">
        <f>AND(#REF!,"AAAAAG3/vi4=")</f>
        <v>#REF!</v>
      </c>
      <c r="AV154" t="e">
        <f>AND(#REF!,"AAAAAG3/vi8=")</f>
        <v>#REF!</v>
      </c>
      <c r="AW154" t="e">
        <f>AND(#REF!,"AAAAAG3/vjA=")</f>
        <v>#REF!</v>
      </c>
      <c r="AX154" t="e">
        <f>AND(#REF!,"AAAAAG3/vjE=")</f>
        <v>#REF!</v>
      </c>
      <c r="AY154" t="e">
        <f>AND(#REF!,"AAAAAG3/vjI=")</f>
        <v>#REF!</v>
      </c>
      <c r="AZ154" t="e">
        <f>AND(#REF!,"AAAAAG3/vjM=")</f>
        <v>#REF!</v>
      </c>
      <c r="BA154" t="e">
        <f>AND(#REF!,"AAAAAG3/vjQ=")</f>
        <v>#REF!</v>
      </c>
      <c r="BB154" t="e">
        <f>AND(#REF!,"AAAAAG3/vjU=")</f>
        <v>#REF!</v>
      </c>
      <c r="BC154" t="e">
        <f>AND(#REF!,"AAAAAG3/vjY=")</f>
        <v>#REF!</v>
      </c>
      <c r="BD154" t="e">
        <f>AND(#REF!,"AAAAAG3/vjc=")</f>
        <v>#REF!</v>
      </c>
      <c r="BE154" t="e">
        <f>AND(#REF!,"AAAAAG3/vjg=")</f>
        <v>#REF!</v>
      </c>
      <c r="BF154" t="e">
        <f>AND(#REF!,"AAAAAG3/vjk=")</f>
        <v>#REF!</v>
      </c>
      <c r="BG154" t="e">
        <f>AND(#REF!,"AAAAAG3/vjo=")</f>
        <v>#REF!</v>
      </c>
      <c r="BH154" t="e">
        <f>AND(#REF!,"AAAAAG3/vjs=")</f>
        <v>#REF!</v>
      </c>
      <c r="BI154" t="e">
        <f>AND(#REF!,"AAAAAG3/vjw=")</f>
        <v>#REF!</v>
      </c>
      <c r="BJ154" t="e">
        <f>AND(#REF!,"AAAAAG3/vj0=")</f>
        <v>#REF!</v>
      </c>
      <c r="BK154" t="e">
        <f>AND(#REF!,"AAAAAG3/vj4=")</f>
        <v>#REF!</v>
      </c>
      <c r="BL154" t="e">
        <f>IF(#REF!,"AAAAAG3/vj8=",0)</f>
        <v>#REF!</v>
      </c>
      <c r="BM154" t="e">
        <f>AND(#REF!,"AAAAAG3/vkA=")</f>
        <v>#REF!</v>
      </c>
      <c r="BN154" t="e">
        <f>AND(#REF!,"AAAAAG3/vkE=")</f>
        <v>#REF!</v>
      </c>
      <c r="BO154" t="e">
        <f>AND(#REF!,"AAAAAG3/vkI=")</f>
        <v>#REF!</v>
      </c>
      <c r="BP154" t="e">
        <f>AND(#REF!,"AAAAAG3/vkM=")</f>
        <v>#REF!</v>
      </c>
      <c r="BQ154" t="e">
        <f>AND(#REF!,"AAAAAG3/vkQ=")</f>
        <v>#REF!</v>
      </c>
      <c r="BR154" t="e">
        <f>AND(#REF!,"AAAAAG3/vkU=")</f>
        <v>#REF!</v>
      </c>
      <c r="BS154" t="e">
        <f>AND(#REF!,"AAAAAG3/vkY=")</f>
        <v>#REF!</v>
      </c>
      <c r="BT154" t="e">
        <f>AND(#REF!,"AAAAAG3/vkc=")</f>
        <v>#REF!</v>
      </c>
      <c r="BU154" t="e">
        <f>AND(#REF!,"AAAAAG3/vkg=")</f>
        <v>#REF!</v>
      </c>
      <c r="BV154" t="e">
        <f>AND(#REF!,"AAAAAG3/vkk=")</f>
        <v>#REF!</v>
      </c>
      <c r="BW154" t="e">
        <f>AND(#REF!,"AAAAAG3/vko=")</f>
        <v>#REF!</v>
      </c>
      <c r="BX154" t="e">
        <f>AND(#REF!,"AAAAAG3/vks=")</f>
        <v>#REF!</v>
      </c>
      <c r="BY154" t="e">
        <f>AND(#REF!,"AAAAAG3/vkw=")</f>
        <v>#REF!</v>
      </c>
      <c r="BZ154" t="e">
        <f>AND(#REF!,"AAAAAG3/vk0=")</f>
        <v>#REF!</v>
      </c>
      <c r="CA154" t="e">
        <f>AND(#REF!,"AAAAAG3/vk4=")</f>
        <v>#REF!</v>
      </c>
      <c r="CB154" t="e">
        <f>AND(#REF!,"AAAAAG3/vk8=")</f>
        <v>#REF!</v>
      </c>
      <c r="CC154" t="e">
        <f>AND(#REF!,"AAAAAG3/vlA=")</f>
        <v>#REF!</v>
      </c>
      <c r="CD154" t="e">
        <f>AND(#REF!,"AAAAAG3/vlE=")</f>
        <v>#REF!</v>
      </c>
      <c r="CE154" t="e">
        <f>AND(#REF!,"AAAAAG3/vlI=")</f>
        <v>#REF!</v>
      </c>
      <c r="CF154" t="e">
        <f>AND(#REF!,"AAAAAG3/vlM=")</f>
        <v>#REF!</v>
      </c>
      <c r="CG154" t="e">
        <f>AND(#REF!,"AAAAAG3/vlQ=")</f>
        <v>#REF!</v>
      </c>
      <c r="CH154" t="e">
        <f>IF(#REF!,"AAAAAG3/vlU=",0)</f>
        <v>#REF!</v>
      </c>
      <c r="CI154" t="e">
        <f>AND(#REF!,"AAAAAG3/vlY=")</f>
        <v>#REF!</v>
      </c>
      <c r="CJ154" t="e">
        <f>AND(#REF!,"AAAAAG3/vlc=")</f>
        <v>#REF!</v>
      </c>
      <c r="CK154" t="e">
        <f>AND(#REF!,"AAAAAG3/vlg=")</f>
        <v>#REF!</v>
      </c>
      <c r="CL154" t="e">
        <f>AND(#REF!,"AAAAAG3/vlk=")</f>
        <v>#REF!</v>
      </c>
      <c r="CM154" t="e">
        <f>AND(#REF!,"AAAAAG3/vlo=")</f>
        <v>#REF!</v>
      </c>
      <c r="CN154" t="e">
        <f>AND(#REF!,"AAAAAG3/vls=")</f>
        <v>#REF!</v>
      </c>
      <c r="CO154" t="e">
        <f>AND(#REF!,"AAAAAG3/vlw=")</f>
        <v>#REF!</v>
      </c>
      <c r="CP154" t="e">
        <f>AND(#REF!,"AAAAAG3/vl0=")</f>
        <v>#REF!</v>
      </c>
      <c r="CQ154" t="e">
        <f>AND(#REF!,"AAAAAG3/vl4=")</f>
        <v>#REF!</v>
      </c>
      <c r="CR154" t="e">
        <f>AND(#REF!,"AAAAAG3/vl8=")</f>
        <v>#REF!</v>
      </c>
      <c r="CS154" t="e">
        <f>AND(#REF!,"AAAAAG3/vmA=")</f>
        <v>#REF!</v>
      </c>
      <c r="CT154" t="e">
        <f>AND(#REF!,"AAAAAG3/vmE=")</f>
        <v>#REF!</v>
      </c>
      <c r="CU154" t="e">
        <f>AND(#REF!,"AAAAAG3/vmI=")</f>
        <v>#REF!</v>
      </c>
      <c r="CV154" t="e">
        <f>AND(#REF!,"AAAAAG3/vmM=")</f>
        <v>#REF!</v>
      </c>
      <c r="CW154" t="e">
        <f>AND(#REF!,"AAAAAG3/vmQ=")</f>
        <v>#REF!</v>
      </c>
      <c r="CX154" t="e">
        <f>AND(#REF!,"AAAAAG3/vmU=")</f>
        <v>#REF!</v>
      </c>
      <c r="CY154" t="e">
        <f>AND(#REF!,"AAAAAG3/vmY=")</f>
        <v>#REF!</v>
      </c>
      <c r="CZ154" t="e">
        <f>AND(#REF!,"AAAAAG3/vmc=")</f>
        <v>#REF!</v>
      </c>
      <c r="DA154" t="e">
        <f>AND(#REF!,"AAAAAG3/vmg=")</f>
        <v>#REF!</v>
      </c>
      <c r="DB154" t="e">
        <f>AND(#REF!,"AAAAAG3/vmk=")</f>
        <v>#REF!</v>
      </c>
      <c r="DC154" t="e">
        <f>AND(#REF!,"AAAAAG3/vmo=")</f>
        <v>#REF!</v>
      </c>
      <c r="DD154" t="e">
        <f>IF(#REF!,"AAAAAG3/vms=",0)</f>
        <v>#REF!</v>
      </c>
      <c r="DE154" t="e">
        <f>AND(#REF!,"AAAAAG3/vmw=")</f>
        <v>#REF!</v>
      </c>
      <c r="DF154" t="e">
        <f>AND(#REF!,"AAAAAG3/vm0=")</f>
        <v>#REF!</v>
      </c>
      <c r="DG154" t="e">
        <f>AND(#REF!,"AAAAAG3/vm4=")</f>
        <v>#REF!</v>
      </c>
      <c r="DH154" t="e">
        <f>AND(#REF!,"AAAAAG3/vm8=")</f>
        <v>#REF!</v>
      </c>
      <c r="DI154" t="e">
        <f>AND(#REF!,"AAAAAG3/vnA=")</f>
        <v>#REF!</v>
      </c>
      <c r="DJ154" t="e">
        <f>AND(#REF!,"AAAAAG3/vnE=")</f>
        <v>#REF!</v>
      </c>
      <c r="DK154" t="e">
        <f>AND(#REF!,"AAAAAG3/vnI=")</f>
        <v>#REF!</v>
      </c>
      <c r="DL154" t="e">
        <f>AND(#REF!,"AAAAAG3/vnM=")</f>
        <v>#REF!</v>
      </c>
      <c r="DM154" t="e">
        <f>AND(#REF!,"AAAAAG3/vnQ=")</f>
        <v>#REF!</v>
      </c>
      <c r="DN154" t="e">
        <f>AND(#REF!,"AAAAAG3/vnU=")</f>
        <v>#REF!</v>
      </c>
      <c r="DO154" t="e">
        <f>AND(#REF!,"AAAAAG3/vnY=")</f>
        <v>#REF!</v>
      </c>
      <c r="DP154" t="e">
        <f>AND(#REF!,"AAAAAG3/vnc=")</f>
        <v>#REF!</v>
      </c>
      <c r="DQ154" t="e">
        <f>AND(#REF!,"AAAAAG3/vng=")</f>
        <v>#REF!</v>
      </c>
      <c r="DR154" t="e">
        <f>AND(#REF!,"AAAAAG3/vnk=")</f>
        <v>#REF!</v>
      </c>
      <c r="DS154" t="e">
        <f>AND(#REF!,"AAAAAG3/vno=")</f>
        <v>#REF!</v>
      </c>
      <c r="DT154" t="e">
        <f>AND(#REF!,"AAAAAG3/vns=")</f>
        <v>#REF!</v>
      </c>
      <c r="DU154" t="e">
        <f>AND(#REF!,"AAAAAG3/vnw=")</f>
        <v>#REF!</v>
      </c>
      <c r="DV154" t="e">
        <f>AND(#REF!,"AAAAAG3/vn0=")</f>
        <v>#REF!</v>
      </c>
      <c r="DW154" t="e">
        <f>AND(#REF!,"AAAAAG3/vn4=")</f>
        <v>#REF!</v>
      </c>
      <c r="DX154" t="e">
        <f>AND(#REF!,"AAAAAG3/vn8=")</f>
        <v>#REF!</v>
      </c>
      <c r="DY154" t="e">
        <f>AND(#REF!,"AAAAAG3/voA=")</f>
        <v>#REF!</v>
      </c>
      <c r="DZ154" t="e">
        <f>IF(#REF!,"AAAAAG3/voE=",0)</f>
        <v>#REF!</v>
      </c>
      <c r="EA154" t="e">
        <f>AND(#REF!,"AAAAAG3/voI=")</f>
        <v>#REF!</v>
      </c>
      <c r="EB154" t="e">
        <f>AND(#REF!,"AAAAAG3/voM=")</f>
        <v>#REF!</v>
      </c>
      <c r="EC154" t="e">
        <f>AND(#REF!,"AAAAAG3/voQ=")</f>
        <v>#REF!</v>
      </c>
      <c r="ED154" t="e">
        <f>AND(#REF!,"AAAAAG3/voU=")</f>
        <v>#REF!</v>
      </c>
      <c r="EE154" t="e">
        <f>AND(#REF!,"AAAAAG3/voY=")</f>
        <v>#REF!</v>
      </c>
      <c r="EF154" t="e">
        <f>AND(#REF!,"AAAAAG3/voc=")</f>
        <v>#REF!</v>
      </c>
      <c r="EG154" t="e">
        <f>AND(#REF!,"AAAAAG3/vog=")</f>
        <v>#REF!</v>
      </c>
      <c r="EH154" t="e">
        <f>AND(#REF!,"AAAAAG3/vok=")</f>
        <v>#REF!</v>
      </c>
      <c r="EI154" t="e">
        <f>AND(#REF!,"AAAAAG3/voo=")</f>
        <v>#REF!</v>
      </c>
      <c r="EJ154" t="e">
        <f>AND(#REF!,"AAAAAG3/vos=")</f>
        <v>#REF!</v>
      </c>
      <c r="EK154" t="e">
        <f>AND(#REF!,"AAAAAG3/vow=")</f>
        <v>#REF!</v>
      </c>
      <c r="EL154" t="e">
        <f>AND(#REF!,"AAAAAG3/vo0=")</f>
        <v>#REF!</v>
      </c>
      <c r="EM154" t="e">
        <f>AND(#REF!,"AAAAAG3/vo4=")</f>
        <v>#REF!</v>
      </c>
      <c r="EN154" t="e">
        <f>AND(#REF!,"AAAAAG3/vo8=")</f>
        <v>#REF!</v>
      </c>
      <c r="EO154" t="e">
        <f>AND(#REF!,"AAAAAG3/vpA=")</f>
        <v>#REF!</v>
      </c>
      <c r="EP154" t="e">
        <f>AND(#REF!,"AAAAAG3/vpE=")</f>
        <v>#REF!</v>
      </c>
      <c r="EQ154" t="e">
        <f>AND(#REF!,"AAAAAG3/vpI=")</f>
        <v>#REF!</v>
      </c>
      <c r="ER154" t="e">
        <f>AND(#REF!,"AAAAAG3/vpM=")</f>
        <v>#REF!</v>
      </c>
      <c r="ES154" t="e">
        <f>AND(#REF!,"AAAAAG3/vpQ=")</f>
        <v>#REF!</v>
      </c>
      <c r="ET154" t="e">
        <f>AND(#REF!,"AAAAAG3/vpU=")</f>
        <v>#REF!</v>
      </c>
      <c r="EU154" t="e">
        <f>AND(#REF!,"AAAAAG3/vpY=")</f>
        <v>#REF!</v>
      </c>
      <c r="EV154" t="e">
        <f>IF(#REF!,"AAAAAG3/vpc=",0)</f>
        <v>#REF!</v>
      </c>
      <c r="EW154" t="e">
        <f>AND(#REF!,"AAAAAG3/vpg=")</f>
        <v>#REF!</v>
      </c>
      <c r="EX154" t="e">
        <f>AND(#REF!,"AAAAAG3/vpk=")</f>
        <v>#REF!</v>
      </c>
      <c r="EY154" t="e">
        <f>AND(#REF!,"AAAAAG3/vpo=")</f>
        <v>#REF!</v>
      </c>
      <c r="EZ154" t="e">
        <f>AND(#REF!,"AAAAAG3/vps=")</f>
        <v>#REF!</v>
      </c>
      <c r="FA154" t="e">
        <f>AND(#REF!,"AAAAAG3/vpw=")</f>
        <v>#REF!</v>
      </c>
      <c r="FB154" t="e">
        <f>AND(#REF!,"AAAAAG3/vp0=")</f>
        <v>#REF!</v>
      </c>
      <c r="FC154" t="e">
        <f>AND(#REF!,"AAAAAG3/vp4=")</f>
        <v>#REF!</v>
      </c>
      <c r="FD154" t="e">
        <f>AND(#REF!,"AAAAAG3/vp8=")</f>
        <v>#REF!</v>
      </c>
      <c r="FE154" t="e">
        <f>AND(#REF!,"AAAAAG3/vqA=")</f>
        <v>#REF!</v>
      </c>
      <c r="FF154" t="e">
        <f>AND(#REF!,"AAAAAG3/vqE=")</f>
        <v>#REF!</v>
      </c>
      <c r="FG154" t="e">
        <f>AND(#REF!,"AAAAAG3/vqI=")</f>
        <v>#REF!</v>
      </c>
      <c r="FH154" t="e">
        <f>AND(#REF!,"AAAAAG3/vqM=")</f>
        <v>#REF!</v>
      </c>
      <c r="FI154" t="e">
        <f>AND(#REF!,"AAAAAG3/vqQ=")</f>
        <v>#REF!</v>
      </c>
      <c r="FJ154" t="e">
        <f>AND(#REF!,"AAAAAG3/vqU=")</f>
        <v>#REF!</v>
      </c>
      <c r="FK154" t="e">
        <f>AND(#REF!,"AAAAAG3/vqY=")</f>
        <v>#REF!</v>
      </c>
      <c r="FL154" t="e">
        <f>AND(#REF!,"AAAAAG3/vqc=")</f>
        <v>#REF!</v>
      </c>
      <c r="FM154" t="e">
        <f>AND(#REF!,"AAAAAG3/vqg=")</f>
        <v>#REF!</v>
      </c>
      <c r="FN154" t="e">
        <f>AND(#REF!,"AAAAAG3/vqk=")</f>
        <v>#REF!</v>
      </c>
      <c r="FO154" t="e">
        <f>AND(#REF!,"AAAAAG3/vqo=")</f>
        <v>#REF!</v>
      </c>
      <c r="FP154" t="e">
        <f>AND(#REF!,"AAAAAG3/vqs=")</f>
        <v>#REF!</v>
      </c>
      <c r="FQ154" t="e">
        <f>AND(#REF!,"AAAAAG3/vqw=")</f>
        <v>#REF!</v>
      </c>
      <c r="FR154" t="e">
        <f>IF(#REF!,"AAAAAG3/vq0=",0)</f>
        <v>#REF!</v>
      </c>
      <c r="FS154" t="e">
        <f>AND(#REF!,"AAAAAG3/vq4=")</f>
        <v>#REF!</v>
      </c>
      <c r="FT154" t="e">
        <f>AND(#REF!,"AAAAAG3/vq8=")</f>
        <v>#REF!</v>
      </c>
      <c r="FU154" t="e">
        <f>AND(#REF!,"AAAAAG3/vrA=")</f>
        <v>#REF!</v>
      </c>
      <c r="FV154" t="e">
        <f>AND(#REF!,"AAAAAG3/vrE=")</f>
        <v>#REF!</v>
      </c>
      <c r="FW154" t="e">
        <f>AND(#REF!,"AAAAAG3/vrI=")</f>
        <v>#REF!</v>
      </c>
      <c r="FX154" t="e">
        <f>AND(#REF!,"AAAAAG3/vrM=")</f>
        <v>#REF!</v>
      </c>
      <c r="FY154" t="e">
        <f>AND(#REF!,"AAAAAG3/vrQ=")</f>
        <v>#REF!</v>
      </c>
      <c r="FZ154" t="e">
        <f>AND(#REF!,"AAAAAG3/vrU=")</f>
        <v>#REF!</v>
      </c>
      <c r="GA154" t="e">
        <f>AND(#REF!,"AAAAAG3/vrY=")</f>
        <v>#REF!</v>
      </c>
      <c r="GB154" t="e">
        <f>AND(#REF!,"AAAAAG3/vrc=")</f>
        <v>#REF!</v>
      </c>
      <c r="GC154" t="e">
        <f>AND(#REF!,"AAAAAG3/vrg=")</f>
        <v>#REF!</v>
      </c>
      <c r="GD154" t="e">
        <f>AND(#REF!,"AAAAAG3/vrk=")</f>
        <v>#REF!</v>
      </c>
      <c r="GE154" t="e">
        <f>AND(#REF!,"AAAAAG3/vro=")</f>
        <v>#REF!</v>
      </c>
      <c r="GF154" t="e">
        <f>AND(#REF!,"AAAAAG3/vrs=")</f>
        <v>#REF!</v>
      </c>
      <c r="GG154" t="e">
        <f>AND(#REF!,"AAAAAG3/vrw=")</f>
        <v>#REF!</v>
      </c>
      <c r="GH154" t="e">
        <f>AND(#REF!,"AAAAAG3/vr0=")</f>
        <v>#REF!</v>
      </c>
      <c r="GI154" t="e">
        <f>AND(#REF!,"AAAAAG3/vr4=")</f>
        <v>#REF!</v>
      </c>
      <c r="GJ154" t="e">
        <f>AND(#REF!,"AAAAAG3/vr8=")</f>
        <v>#REF!</v>
      </c>
      <c r="GK154" t="e">
        <f>AND(#REF!,"AAAAAG3/vsA=")</f>
        <v>#REF!</v>
      </c>
      <c r="GL154" t="e">
        <f>AND(#REF!,"AAAAAG3/vsE=")</f>
        <v>#REF!</v>
      </c>
      <c r="GM154" t="e">
        <f>AND(#REF!,"AAAAAG3/vsI=")</f>
        <v>#REF!</v>
      </c>
      <c r="GN154" t="e">
        <f>IF(#REF!,"AAAAAG3/vsM=",0)</f>
        <v>#REF!</v>
      </c>
      <c r="GO154" t="e">
        <f>AND(#REF!,"AAAAAG3/vsQ=")</f>
        <v>#REF!</v>
      </c>
      <c r="GP154" t="e">
        <f>AND(#REF!,"AAAAAG3/vsU=")</f>
        <v>#REF!</v>
      </c>
      <c r="GQ154" t="e">
        <f>AND(#REF!,"AAAAAG3/vsY=")</f>
        <v>#REF!</v>
      </c>
      <c r="GR154" t="e">
        <f>AND(#REF!,"AAAAAG3/vsc=")</f>
        <v>#REF!</v>
      </c>
      <c r="GS154" t="e">
        <f>AND(#REF!,"AAAAAG3/vsg=")</f>
        <v>#REF!</v>
      </c>
      <c r="GT154" t="e">
        <f>AND(#REF!,"AAAAAG3/vsk=")</f>
        <v>#REF!</v>
      </c>
      <c r="GU154" t="e">
        <f>AND(#REF!,"AAAAAG3/vso=")</f>
        <v>#REF!</v>
      </c>
      <c r="GV154" t="e">
        <f>AND(#REF!,"AAAAAG3/vss=")</f>
        <v>#REF!</v>
      </c>
      <c r="GW154" t="e">
        <f>AND(#REF!,"AAAAAG3/vsw=")</f>
        <v>#REF!</v>
      </c>
      <c r="GX154" t="e">
        <f>AND(#REF!,"AAAAAG3/vs0=")</f>
        <v>#REF!</v>
      </c>
      <c r="GY154" t="e">
        <f>AND(#REF!,"AAAAAG3/vs4=")</f>
        <v>#REF!</v>
      </c>
      <c r="GZ154" t="e">
        <f>AND(#REF!,"AAAAAG3/vs8=")</f>
        <v>#REF!</v>
      </c>
      <c r="HA154" t="e">
        <f>AND(#REF!,"AAAAAG3/vtA=")</f>
        <v>#REF!</v>
      </c>
      <c r="HB154" t="e">
        <f>AND(#REF!,"AAAAAG3/vtE=")</f>
        <v>#REF!</v>
      </c>
      <c r="HC154" t="e">
        <f>AND(#REF!,"AAAAAG3/vtI=")</f>
        <v>#REF!</v>
      </c>
      <c r="HD154" t="e">
        <f>AND(#REF!,"AAAAAG3/vtM=")</f>
        <v>#REF!</v>
      </c>
      <c r="HE154" t="e">
        <f>AND(#REF!,"AAAAAG3/vtQ=")</f>
        <v>#REF!</v>
      </c>
      <c r="HF154" t="e">
        <f>AND(#REF!,"AAAAAG3/vtU=")</f>
        <v>#REF!</v>
      </c>
      <c r="HG154" t="e">
        <f>AND(#REF!,"AAAAAG3/vtY=")</f>
        <v>#REF!</v>
      </c>
      <c r="HH154" t="e">
        <f>AND(#REF!,"AAAAAG3/vtc=")</f>
        <v>#REF!</v>
      </c>
      <c r="HI154" t="e">
        <f>AND(#REF!,"AAAAAG3/vtg=")</f>
        <v>#REF!</v>
      </c>
      <c r="HJ154" t="e">
        <f>IF(#REF!,"AAAAAG3/vtk=",0)</f>
        <v>#REF!</v>
      </c>
      <c r="HK154" t="e">
        <f>AND(#REF!,"AAAAAG3/vto=")</f>
        <v>#REF!</v>
      </c>
      <c r="HL154" t="e">
        <f>AND(#REF!,"AAAAAG3/vts=")</f>
        <v>#REF!</v>
      </c>
      <c r="HM154" t="e">
        <f>AND(#REF!,"AAAAAG3/vtw=")</f>
        <v>#REF!</v>
      </c>
      <c r="HN154" t="e">
        <f>AND(#REF!,"AAAAAG3/vt0=")</f>
        <v>#REF!</v>
      </c>
      <c r="HO154" t="e">
        <f>AND(#REF!,"AAAAAG3/vt4=")</f>
        <v>#REF!</v>
      </c>
      <c r="HP154" t="e">
        <f>AND(#REF!,"AAAAAG3/vt8=")</f>
        <v>#REF!</v>
      </c>
      <c r="HQ154" t="e">
        <f>AND(#REF!,"AAAAAG3/vuA=")</f>
        <v>#REF!</v>
      </c>
      <c r="HR154" t="e">
        <f>AND(#REF!,"AAAAAG3/vuE=")</f>
        <v>#REF!</v>
      </c>
      <c r="HS154" t="e">
        <f>AND(#REF!,"AAAAAG3/vuI=")</f>
        <v>#REF!</v>
      </c>
      <c r="HT154" t="e">
        <f>AND(#REF!,"AAAAAG3/vuM=")</f>
        <v>#REF!</v>
      </c>
      <c r="HU154" t="e">
        <f>AND(#REF!,"AAAAAG3/vuQ=")</f>
        <v>#REF!</v>
      </c>
      <c r="HV154" t="e">
        <f>AND(#REF!,"AAAAAG3/vuU=")</f>
        <v>#REF!</v>
      </c>
      <c r="HW154" t="e">
        <f>AND(#REF!,"AAAAAG3/vuY=")</f>
        <v>#REF!</v>
      </c>
      <c r="HX154" t="e">
        <f>AND(#REF!,"AAAAAG3/vuc=")</f>
        <v>#REF!</v>
      </c>
      <c r="HY154" t="e">
        <f>AND(#REF!,"AAAAAG3/vug=")</f>
        <v>#REF!</v>
      </c>
      <c r="HZ154" t="e">
        <f>AND(#REF!,"AAAAAG3/vuk=")</f>
        <v>#REF!</v>
      </c>
      <c r="IA154" t="e">
        <f>AND(#REF!,"AAAAAG3/vuo=")</f>
        <v>#REF!</v>
      </c>
      <c r="IB154" t="e">
        <f>AND(#REF!,"AAAAAG3/vus=")</f>
        <v>#REF!</v>
      </c>
      <c r="IC154" t="e">
        <f>AND(#REF!,"AAAAAG3/vuw=")</f>
        <v>#REF!</v>
      </c>
      <c r="ID154" t="e">
        <f>AND(#REF!,"AAAAAG3/vu0=")</f>
        <v>#REF!</v>
      </c>
      <c r="IE154" t="e">
        <f>AND(#REF!,"AAAAAG3/vu4=")</f>
        <v>#REF!</v>
      </c>
      <c r="IF154" t="e">
        <f>IF(#REF!,"AAAAAG3/vu8=",0)</f>
        <v>#REF!</v>
      </c>
      <c r="IG154" t="e">
        <f>AND(#REF!,"AAAAAG3/vvA=")</f>
        <v>#REF!</v>
      </c>
      <c r="IH154" t="e">
        <f>AND(#REF!,"AAAAAG3/vvE=")</f>
        <v>#REF!</v>
      </c>
      <c r="II154" t="e">
        <f>AND(#REF!,"AAAAAG3/vvI=")</f>
        <v>#REF!</v>
      </c>
      <c r="IJ154" t="e">
        <f>AND(#REF!,"AAAAAG3/vvM=")</f>
        <v>#REF!</v>
      </c>
      <c r="IK154" t="e">
        <f>AND(#REF!,"AAAAAG3/vvQ=")</f>
        <v>#REF!</v>
      </c>
      <c r="IL154" t="e">
        <f>AND(#REF!,"AAAAAG3/vvU=")</f>
        <v>#REF!</v>
      </c>
      <c r="IM154" t="e">
        <f>AND(#REF!,"AAAAAG3/vvY=")</f>
        <v>#REF!</v>
      </c>
      <c r="IN154" t="e">
        <f>AND(#REF!,"AAAAAG3/vvc=")</f>
        <v>#REF!</v>
      </c>
      <c r="IO154" t="e">
        <f>AND(#REF!,"AAAAAG3/vvg=")</f>
        <v>#REF!</v>
      </c>
      <c r="IP154" t="e">
        <f>AND(#REF!,"AAAAAG3/vvk=")</f>
        <v>#REF!</v>
      </c>
      <c r="IQ154" t="e">
        <f>AND(#REF!,"AAAAAG3/vvo=")</f>
        <v>#REF!</v>
      </c>
      <c r="IR154" t="e">
        <f>AND(#REF!,"AAAAAG3/vvs=")</f>
        <v>#REF!</v>
      </c>
      <c r="IS154" t="e">
        <f>AND(#REF!,"AAAAAG3/vvw=")</f>
        <v>#REF!</v>
      </c>
      <c r="IT154" t="e">
        <f>AND(#REF!,"AAAAAG3/vv0=")</f>
        <v>#REF!</v>
      </c>
      <c r="IU154" t="e">
        <f>AND(#REF!,"AAAAAG3/vv4=")</f>
        <v>#REF!</v>
      </c>
      <c r="IV154" t="e">
        <f>AND(#REF!,"AAAAAG3/vv8=")</f>
        <v>#REF!</v>
      </c>
    </row>
    <row r="155" spans="1:256" x14ac:dyDescent="0.25">
      <c r="A155" t="e">
        <f>AND(#REF!,"AAAAAB/3vgA=")</f>
        <v>#REF!</v>
      </c>
      <c r="B155" t="e">
        <f>AND(#REF!,"AAAAAB/3vgE=")</f>
        <v>#REF!</v>
      </c>
      <c r="C155" t="e">
        <f>AND(#REF!,"AAAAAB/3vgI=")</f>
        <v>#REF!</v>
      </c>
      <c r="D155" t="e">
        <f>AND(#REF!,"AAAAAB/3vgM=")</f>
        <v>#REF!</v>
      </c>
      <c r="E155" t="e">
        <f>AND(#REF!,"AAAAAB/3vgQ=")</f>
        <v>#REF!</v>
      </c>
      <c r="F155" t="e">
        <f>IF(#REF!,"AAAAAB/3vgU=",0)</f>
        <v>#REF!</v>
      </c>
      <c r="G155" t="e">
        <f>AND(#REF!,"AAAAAB/3vgY=")</f>
        <v>#REF!</v>
      </c>
      <c r="H155" t="e">
        <f>AND(#REF!,"AAAAAB/3vgc=")</f>
        <v>#REF!</v>
      </c>
      <c r="I155" t="e">
        <f>AND(#REF!,"AAAAAB/3vgg=")</f>
        <v>#REF!</v>
      </c>
      <c r="J155" t="e">
        <f>AND(#REF!,"AAAAAB/3vgk=")</f>
        <v>#REF!</v>
      </c>
      <c r="K155" t="e">
        <f>AND(#REF!,"AAAAAB/3vgo=")</f>
        <v>#REF!</v>
      </c>
      <c r="L155" t="e">
        <f>AND(#REF!,"AAAAAB/3vgs=")</f>
        <v>#REF!</v>
      </c>
      <c r="M155" t="e">
        <f>AND(#REF!,"AAAAAB/3vgw=")</f>
        <v>#REF!</v>
      </c>
      <c r="N155" t="e">
        <f>AND(#REF!,"AAAAAB/3vg0=")</f>
        <v>#REF!</v>
      </c>
      <c r="O155" t="e">
        <f>AND(#REF!,"AAAAAB/3vg4=")</f>
        <v>#REF!</v>
      </c>
      <c r="P155" t="e">
        <f>AND(#REF!,"AAAAAB/3vg8=")</f>
        <v>#REF!</v>
      </c>
      <c r="Q155" t="e">
        <f>AND(#REF!,"AAAAAB/3vhA=")</f>
        <v>#REF!</v>
      </c>
      <c r="R155" t="e">
        <f>AND(#REF!,"AAAAAB/3vhE=")</f>
        <v>#REF!</v>
      </c>
      <c r="S155" t="e">
        <f>AND(#REF!,"AAAAAB/3vhI=")</f>
        <v>#REF!</v>
      </c>
      <c r="T155" t="e">
        <f>AND(#REF!,"AAAAAB/3vhM=")</f>
        <v>#REF!</v>
      </c>
      <c r="U155" t="e">
        <f>AND(#REF!,"AAAAAB/3vhQ=")</f>
        <v>#REF!</v>
      </c>
      <c r="V155" t="e">
        <f>AND(#REF!,"AAAAAB/3vhU=")</f>
        <v>#REF!</v>
      </c>
      <c r="W155" t="e">
        <f>AND(#REF!,"AAAAAB/3vhY=")</f>
        <v>#REF!</v>
      </c>
      <c r="X155" t="e">
        <f>AND(#REF!,"AAAAAB/3vhc=")</f>
        <v>#REF!</v>
      </c>
      <c r="Y155" t="e">
        <f>AND(#REF!,"AAAAAB/3vhg=")</f>
        <v>#REF!</v>
      </c>
      <c r="Z155" t="e">
        <f>AND(#REF!,"AAAAAB/3vhk=")</f>
        <v>#REF!</v>
      </c>
      <c r="AA155" t="e">
        <f>AND(#REF!,"AAAAAB/3vho=")</f>
        <v>#REF!</v>
      </c>
      <c r="AB155" t="e">
        <f>IF(#REF!,"AAAAAB/3vhs=",0)</f>
        <v>#REF!</v>
      </c>
      <c r="AC155" t="e">
        <f>AND(#REF!,"AAAAAB/3vhw=")</f>
        <v>#REF!</v>
      </c>
      <c r="AD155" t="e">
        <f>AND(#REF!,"AAAAAB/3vh0=")</f>
        <v>#REF!</v>
      </c>
      <c r="AE155" t="e">
        <f>AND(#REF!,"AAAAAB/3vh4=")</f>
        <v>#REF!</v>
      </c>
      <c r="AF155" t="e">
        <f>AND(#REF!,"AAAAAB/3vh8=")</f>
        <v>#REF!</v>
      </c>
      <c r="AG155" t="e">
        <f>AND(#REF!,"AAAAAB/3viA=")</f>
        <v>#REF!</v>
      </c>
      <c r="AH155" t="e">
        <f>AND(#REF!,"AAAAAB/3viE=")</f>
        <v>#REF!</v>
      </c>
      <c r="AI155" t="e">
        <f>AND(#REF!,"AAAAAB/3viI=")</f>
        <v>#REF!</v>
      </c>
      <c r="AJ155" t="e">
        <f>AND(#REF!,"AAAAAB/3viM=")</f>
        <v>#REF!</v>
      </c>
      <c r="AK155" t="e">
        <f>AND(#REF!,"AAAAAB/3viQ=")</f>
        <v>#REF!</v>
      </c>
      <c r="AL155" t="e">
        <f>AND(#REF!,"AAAAAB/3viU=")</f>
        <v>#REF!</v>
      </c>
      <c r="AM155" t="e">
        <f>AND(#REF!,"AAAAAB/3viY=")</f>
        <v>#REF!</v>
      </c>
      <c r="AN155" t="e">
        <f>AND(#REF!,"AAAAAB/3vic=")</f>
        <v>#REF!</v>
      </c>
      <c r="AO155" t="e">
        <f>AND(#REF!,"AAAAAB/3vig=")</f>
        <v>#REF!</v>
      </c>
      <c r="AP155" t="e">
        <f>AND(#REF!,"AAAAAB/3vik=")</f>
        <v>#REF!</v>
      </c>
      <c r="AQ155" t="e">
        <f>AND(#REF!,"AAAAAB/3vio=")</f>
        <v>#REF!</v>
      </c>
      <c r="AR155" t="e">
        <f>AND(#REF!,"AAAAAB/3vis=")</f>
        <v>#REF!</v>
      </c>
      <c r="AS155" t="e">
        <f>AND(#REF!,"AAAAAB/3viw=")</f>
        <v>#REF!</v>
      </c>
      <c r="AT155" t="e">
        <f>AND(#REF!,"AAAAAB/3vi0=")</f>
        <v>#REF!</v>
      </c>
      <c r="AU155" t="e">
        <f>AND(#REF!,"AAAAAB/3vi4=")</f>
        <v>#REF!</v>
      </c>
      <c r="AV155" t="e">
        <f>AND(#REF!,"AAAAAB/3vi8=")</f>
        <v>#REF!</v>
      </c>
      <c r="AW155" t="e">
        <f>AND(#REF!,"AAAAAB/3vjA=")</f>
        <v>#REF!</v>
      </c>
      <c r="AX155" t="e">
        <f>IF(#REF!,"AAAAAB/3vjE=",0)</f>
        <v>#REF!</v>
      </c>
      <c r="AY155" t="e">
        <f>AND(#REF!,"AAAAAB/3vjI=")</f>
        <v>#REF!</v>
      </c>
      <c r="AZ155" t="e">
        <f>AND(#REF!,"AAAAAB/3vjM=")</f>
        <v>#REF!</v>
      </c>
      <c r="BA155" t="e">
        <f>AND(#REF!,"AAAAAB/3vjQ=")</f>
        <v>#REF!</v>
      </c>
      <c r="BB155" t="e">
        <f>AND(#REF!,"AAAAAB/3vjU=")</f>
        <v>#REF!</v>
      </c>
      <c r="BC155" t="e">
        <f>AND(#REF!,"AAAAAB/3vjY=")</f>
        <v>#REF!</v>
      </c>
      <c r="BD155" t="e">
        <f>AND(#REF!,"AAAAAB/3vjc=")</f>
        <v>#REF!</v>
      </c>
      <c r="BE155" t="e">
        <f>AND(#REF!,"AAAAAB/3vjg=")</f>
        <v>#REF!</v>
      </c>
      <c r="BF155" t="e">
        <f>AND(#REF!,"AAAAAB/3vjk=")</f>
        <v>#REF!</v>
      </c>
      <c r="BG155" t="e">
        <f>AND(#REF!,"AAAAAB/3vjo=")</f>
        <v>#REF!</v>
      </c>
      <c r="BH155" t="e">
        <f>AND(#REF!,"AAAAAB/3vjs=")</f>
        <v>#REF!</v>
      </c>
      <c r="BI155" t="e">
        <f>AND(#REF!,"AAAAAB/3vjw=")</f>
        <v>#REF!</v>
      </c>
      <c r="BJ155" t="e">
        <f>AND(#REF!,"AAAAAB/3vj0=")</f>
        <v>#REF!</v>
      </c>
      <c r="BK155" t="e">
        <f>AND(#REF!,"AAAAAB/3vj4=")</f>
        <v>#REF!</v>
      </c>
      <c r="BL155" t="e">
        <f>AND(#REF!,"AAAAAB/3vj8=")</f>
        <v>#REF!</v>
      </c>
      <c r="BM155" t="e">
        <f>AND(#REF!,"AAAAAB/3vkA=")</f>
        <v>#REF!</v>
      </c>
      <c r="BN155" t="e">
        <f>AND(#REF!,"AAAAAB/3vkE=")</f>
        <v>#REF!</v>
      </c>
      <c r="BO155" t="e">
        <f>AND(#REF!,"AAAAAB/3vkI=")</f>
        <v>#REF!</v>
      </c>
      <c r="BP155" t="e">
        <f>AND(#REF!,"AAAAAB/3vkM=")</f>
        <v>#REF!</v>
      </c>
      <c r="BQ155" t="e">
        <f>AND(#REF!,"AAAAAB/3vkQ=")</f>
        <v>#REF!</v>
      </c>
      <c r="BR155" t="e">
        <f>AND(#REF!,"AAAAAB/3vkU=")</f>
        <v>#REF!</v>
      </c>
      <c r="BS155" t="e">
        <f>AND(#REF!,"AAAAAB/3vkY=")</f>
        <v>#REF!</v>
      </c>
      <c r="BT155" t="e">
        <f>IF(#REF!,"AAAAAB/3vkc=",0)</f>
        <v>#REF!</v>
      </c>
      <c r="BU155" t="e">
        <f>AND(#REF!,"AAAAAB/3vkg=")</f>
        <v>#REF!</v>
      </c>
      <c r="BV155" t="e">
        <f>AND(#REF!,"AAAAAB/3vkk=")</f>
        <v>#REF!</v>
      </c>
      <c r="BW155" t="e">
        <f>AND(#REF!,"AAAAAB/3vko=")</f>
        <v>#REF!</v>
      </c>
      <c r="BX155" t="e">
        <f>AND(#REF!,"AAAAAB/3vks=")</f>
        <v>#REF!</v>
      </c>
      <c r="BY155" t="e">
        <f>AND(#REF!,"AAAAAB/3vkw=")</f>
        <v>#REF!</v>
      </c>
      <c r="BZ155" t="e">
        <f>AND(#REF!,"AAAAAB/3vk0=")</f>
        <v>#REF!</v>
      </c>
      <c r="CA155" t="e">
        <f>AND(#REF!,"AAAAAB/3vk4=")</f>
        <v>#REF!</v>
      </c>
      <c r="CB155" t="e">
        <f>AND(#REF!,"AAAAAB/3vk8=")</f>
        <v>#REF!</v>
      </c>
      <c r="CC155" t="e">
        <f>AND(#REF!,"AAAAAB/3vlA=")</f>
        <v>#REF!</v>
      </c>
      <c r="CD155" t="e">
        <f>AND(#REF!,"AAAAAB/3vlE=")</f>
        <v>#REF!</v>
      </c>
      <c r="CE155" t="e">
        <f>AND(#REF!,"AAAAAB/3vlI=")</f>
        <v>#REF!</v>
      </c>
      <c r="CF155" t="e">
        <f>AND(#REF!,"AAAAAB/3vlM=")</f>
        <v>#REF!</v>
      </c>
      <c r="CG155" t="e">
        <f>AND(#REF!,"AAAAAB/3vlQ=")</f>
        <v>#REF!</v>
      </c>
      <c r="CH155" t="e">
        <f>AND(#REF!,"AAAAAB/3vlU=")</f>
        <v>#REF!</v>
      </c>
      <c r="CI155" t="e">
        <f>AND(#REF!,"AAAAAB/3vlY=")</f>
        <v>#REF!</v>
      </c>
      <c r="CJ155" t="e">
        <f>AND(#REF!,"AAAAAB/3vlc=")</f>
        <v>#REF!</v>
      </c>
      <c r="CK155" t="e">
        <f>AND(#REF!,"AAAAAB/3vlg=")</f>
        <v>#REF!</v>
      </c>
      <c r="CL155" t="e">
        <f>AND(#REF!,"AAAAAB/3vlk=")</f>
        <v>#REF!</v>
      </c>
      <c r="CM155" t="e">
        <f>AND(#REF!,"AAAAAB/3vlo=")</f>
        <v>#REF!</v>
      </c>
      <c r="CN155" t="e">
        <f>AND(#REF!,"AAAAAB/3vls=")</f>
        <v>#REF!</v>
      </c>
      <c r="CO155" t="e">
        <f>AND(#REF!,"AAAAAB/3vlw=")</f>
        <v>#REF!</v>
      </c>
      <c r="CP155" t="e">
        <f>IF(#REF!,"AAAAAB/3vl0=",0)</f>
        <v>#REF!</v>
      </c>
      <c r="CQ155" t="e">
        <f>IF(#REF!,"AAAAAB/3vl4=",0)</f>
        <v>#REF!</v>
      </c>
      <c r="CR155" t="e">
        <f>IF(#REF!,"AAAAAB/3vl8=",0)</f>
        <v>#REF!</v>
      </c>
      <c r="CS155" t="e">
        <f>IF(#REF!,"AAAAAB/3vmA=",0)</f>
        <v>#REF!</v>
      </c>
      <c r="CT155" t="e">
        <f>IF(#REF!,"AAAAAB/3vmE=",0)</f>
        <v>#REF!</v>
      </c>
      <c r="CU155" t="e">
        <f>IF(#REF!,"AAAAAB/3vmI=",0)</f>
        <v>#REF!</v>
      </c>
      <c r="CV155" t="e">
        <f>IF(#REF!,"AAAAAB/3vmM=",0)</f>
        <v>#REF!</v>
      </c>
      <c r="CW155" t="e">
        <f>IF(#REF!,"AAAAAB/3vmQ=",0)</f>
        <v>#REF!</v>
      </c>
      <c r="CX155" t="e">
        <f>IF(#REF!,"AAAAAB/3vmU=",0)</f>
        <v>#REF!</v>
      </c>
      <c r="CY155" t="e">
        <f>IF(#REF!,"AAAAAB/3vmY=",0)</f>
        <v>#REF!</v>
      </c>
      <c r="CZ155" t="e">
        <f>IF(#REF!,"AAAAAB/3vmc=",0)</f>
        <v>#REF!</v>
      </c>
      <c r="DA155" t="e">
        <f>IF(#REF!,"AAAAAB/3vmg=",0)</f>
        <v>#REF!</v>
      </c>
      <c r="DB155" t="e">
        <f>IF(#REF!,"AAAAAB/3vmk=",0)</f>
        <v>#REF!</v>
      </c>
      <c r="DC155" t="e">
        <f>IF(#REF!,"AAAAAB/3vmo=",0)</f>
        <v>#REF!</v>
      </c>
      <c r="DD155" t="e">
        <f>IF(#REF!,"AAAAAB/3vms=",0)</f>
        <v>#REF!</v>
      </c>
      <c r="DE155" t="e">
        <f>IF(#REF!,"AAAAAB/3vmw=",0)</f>
        <v>#REF!</v>
      </c>
      <c r="DF155" t="e">
        <f>IF(#REF!,"AAAAAB/3vm0=",0)</f>
        <v>#REF!</v>
      </c>
      <c r="DG155" t="e">
        <f>IF(#REF!,"AAAAAB/3vm4=",0)</f>
        <v>#REF!</v>
      </c>
      <c r="DH155" t="e">
        <f>IF(#REF!,"AAAAAB/3vm8=",0)</f>
        <v>#REF!</v>
      </c>
      <c r="DI155" t="e">
        <f>IF(#REF!,"AAAAAB/3vnA=",0)</f>
        <v>#REF!</v>
      </c>
      <c r="DJ155" t="e">
        <f>IF(#REF!,"AAAAAB/3vnE=",0)</f>
        <v>#REF!</v>
      </c>
      <c r="DK155" t="e">
        <f>IF(#REF!,"AAAAAB/3vnI=",0)</f>
        <v>#REF!</v>
      </c>
      <c r="DL155" t="e">
        <f>AND(#REF!,"AAAAAB/3vnM=")</f>
        <v>#REF!</v>
      </c>
      <c r="DM155" t="e">
        <f>AND(#REF!,"AAAAAB/3vnQ=")</f>
        <v>#REF!</v>
      </c>
      <c r="DN155" t="e">
        <f>AND(#REF!,"AAAAAB/3vnU=")</f>
        <v>#REF!</v>
      </c>
      <c r="DO155" t="e">
        <f>AND(#REF!,"AAAAAB/3vnY=")</f>
        <v>#REF!</v>
      </c>
      <c r="DP155" t="e">
        <f>AND(#REF!,"AAAAAB/3vnc=")</f>
        <v>#REF!</v>
      </c>
      <c r="DQ155" t="e">
        <f>AND(#REF!,"AAAAAB/3vng=")</f>
        <v>#REF!</v>
      </c>
      <c r="DR155" t="e">
        <f>AND(#REF!,"AAAAAB/3vnk=")</f>
        <v>#REF!</v>
      </c>
      <c r="DS155" t="e">
        <f>AND(#REF!,"AAAAAB/3vno=")</f>
        <v>#REF!</v>
      </c>
      <c r="DT155" t="e">
        <f>AND(#REF!,"AAAAAB/3vns=")</f>
        <v>#REF!</v>
      </c>
      <c r="DU155" t="e">
        <f>AND(#REF!,"AAAAAB/3vnw=")</f>
        <v>#REF!</v>
      </c>
      <c r="DV155" t="e">
        <f>AND(#REF!,"AAAAAB/3vn0=")</f>
        <v>#REF!</v>
      </c>
      <c r="DW155" t="e">
        <f>AND(#REF!,"AAAAAB/3vn4=")</f>
        <v>#REF!</v>
      </c>
      <c r="DX155" t="e">
        <f>AND(#REF!,"AAAAAB/3vn8=")</f>
        <v>#REF!</v>
      </c>
      <c r="DY155" t="e">
        <f>AND(#REF!,"AAAAAB/3voA=")</f>
        <v>#REF!</v>
      </c>
      <c r="DZ155" t="e">
        <f>AND(#REF!,"AAAAAB/3voE=")</f>
        <v>#REF!</v>
      </c>
      <c r="EA155" t="e">
        <f>AND(#REF!,"AAAAAB/3voI=")</f>
        <v>#REF!</v>
      </c>
      <c r="EB155" t="e">
        <f>AND(#REF!,"AAAAAB/3voM=")</f>
        <v>#REF!</v>
      </c>
      <c r="EC155" t="e">
        <f>AND(#REF!,"AAAAAB/3voQ=")</f>
        <v>#REF!</v>
      </c>
      <c r="ED155" t="e">
        <f>AND(#REF!,"AAAAAB/3voU=")</f>
        <v>#REF!</v>
      </c>
      <c r="EE155" t="e">
        <f>AND(#REF!,"AAAAAB/3voY=")</f>
        <v>#REF!</v>
      </c>
      <c r="EF155" t="e">
        <f>AND(#REF!,"AAAAAB/3voc=")</f>
        <v>#REF!</v>
      </c>
      <c r="EG155" t="e">
        <f>IF(#REF!,"AAAAAB/3vog=",0)</f>
        <v>#REF!</v>
      </c>
      <c r="EH155" t="e">
        <f>AND(#REF!,"AAAAAB/3vok=")</f>
        <v>#REF!</v>
      </c>
      <c r="EI155" t="e">
        <f>AND(#REF!,"AAAAAB/3voo=")</f>
        <v>#REF!</v>
      </c>
      <c r="EJ155" t="e">
        <f>AND(#REF!,"AAAAAB/3vos=")</f>
        <v>#REF!</v>
      </c>
      <c r="EK155" t="e">
        <f>AND(#REF!,"AAAAAB/3vow=")</f>
        <v>#REF!</v>
      </c>
      <c r="EL155" t="e">
        <f>AND(#REF!,"AAAAAB/3vo0=")</f>
        <v>#REF!</v>
      </c>
      <c r="EM155" t="e">
        <f>AND(#REF!,"AAAAAB/3vo4=")</f>
        <v>#REF!</v>
      </c>
      <c r="EN155" t="e">
        <f>AND(#REF!,"AAAAAB/3vo8=")</f>
        <v>#REF!</v>
      </c>
      <c r="EO155" t="e">
        <f>AND(#REF!,"AAAAAB/3vpA=")</f>
        <v>#REF!</v>
      </c>
      <c r="EP155" t="e">
        <f>AND(#REF!,"AAAAAB/3vpE=")</f>
        <v>#REF!</v>
      </c>
      <c r="EQ155" t="e">
        <f>AND(#REF!,"AAAAAB/3vpI=")</f>
        <v>#REF!</v>
      </c>
      <c r="ER155" t="e">
        <f>AND(#REF!,"AAAAAB/3vpM=")</f>
        <v>#REF!</v>
      </c>
      <c r="ES155" t="e">
        <f>AND(#REF!,"AAAAAB/3vpQ=")</f>
        <v>#REF!</v>
      </c>
      <c r="ET155" t="e">
        <f>AND(#REF!,"AAAAAB/3vpU=")</f>
        <v>#REF!</v>
      </c>
      <c r="EU155" t="e">
        <f>AND(#REF!,"AAAAAB/3vpY=")</f>
        <v>#REF!</v>
      </c>
      <c r="EV155" t="e">
        <f>AND(#REF!,"AAAAAB/3vpc=")</f>
        <v>#REF!</v>
      </c>
      <c r="EW155" t="e">
        <f>AND(#REF!,"AAAAAB/3vpg=")</f>
        <v>#REF!</v>
      </c>
      <c r="EX155" t="e">
        <f>AND(#REF!,"AAAAAB/3vpk=")</f>
        <v>#REF!</v>
      </c>
      <c r="EY155" t="e">
        <f>AND(#REF!,"AAAAAB/3vpo=")</f>
        <v>#REF!</v>
      </c>
      <c r="EZ155" t="e">
        <f>AND(#REF!,"AAAAAB/3vps=")</f>
        <v>#REF!</v>
      </c>
      <c r="FA155" t="e">
        <f>AND(#REF!,"AAAAAB/3vpw=")</f>
        <v>#REF!</v>
      </c>
      <c r="FB155" t="e">
        <f>AND(#REF!,"AAAAAB/3vp0=")</f>
        <v>#REF!</v>
      </c>
      <c r="FC155" t="e">
        <f>IF(#REF!,"AAAAAB/3vp4=",0)</f>
        <v>#REF!</v>
      </c>
      <c r="FD155" t="e">
        <f>AND(#REF!,"AAAAAB/3vp8=")</f>
        <v>#REF!</v>
      </c>
      <c r="FE155" t="e">
        <f>AND(#REF!,"AAAAAB/3vqA=")</f>
        <v>#REF!</v>
      </c>
      <c r="FF155" t="e">
        <f>AND(#REF!,"AAAAAB/3vqE=")</f>
        <v>#REF!</v>
      </c>
      <c r="FG155" t="e">
        <f>AND(#REF!,"AAAAAB/3vqI=")</f>
        <v>#REF!</v>
      </c>
      <c r="FH155" t="e">
        <f>AND(#REF!,"AAAAAB/3vqM=")</f>
        <v>#REF!</v>
      </c>
      <c r="FI155" t="e">
        <f>AND(#REF!,"AAAAAB/3vqQ=")</f>
        <v>#REF!</v>
      </c>
      <c r="FJ155" t="e">
        <f>AND(#REF!,"AAAAAB/3vqU=")</f>
        <v>#REF!</v>
      </c>
      <c r="FK155" t="e">
        <f>AND(#REF!,"AAAAAB/3vqY=")</f>
        <v>#REF!</v>
      </c>
      <c r="FL155" t="e">
        <f>AND(#REF!,"AAAAAB/3vqc=")</f>
        <v>#REF!</v>
      </c>
      <c r="FM155" t="e">
        <f>AND(#REF!,"AAAAAB/3vqg=")</f>
        <v>#REF!</v>
      </c>
      <c r="FN155" t="e">
        <f>AND(#REF!,"AAAAAB/3vqk=")</f>
        <v>#REF!</v>
      </c>
      <c r="FO155" t="e">
        <f>AND(#REF!,"AAAAAB/3vqo=")</f>
        <v>#REF!</v>
      </c>
      <c r="FP155" t="e">
        <f>AND(#REF!,"AAAAAB/3vqs=")</f>
        <v>#REF!</v>
      </c>
      <c r="FQ155" t="e">
        <f>AND(#REF!,"AAAAAB/3vqw=")</f>
        <v>#REF!</v>
      </c>
      <c r="FR155" t="e">
        <f>AND(#REF!,"AAAAAB/3vq0=")</f>
        <v>#REF!</v>
      </c>
      <c r="FS155" t="e">
        <f>AND(#REF!,"AAAAAB/3vq4=")</f>
        <v>#REF!</v>
      </c>
      <c r="FT155" t="e">
        <f>AND(#REF!,"AAAAAB/3vq8=")</f>
        <v>#REF!</v>
      </c>
      <c r="FU155" t="e">
        <f>AND(#REF!,"AAAAAB/3vrA=")</f>
        <v>#REF!</v>
      </c>
      <c r="FV155" t="e">
        <f>AND(#REF!,"AAAAAB/3vrE=")</f>
        <v>#REF!</v>
      </c>
      <c r="FW155" t="e">
        <f>AND(#REF!,"AAAAAB/3vrI=")</f>
        <v>#REF!</v>
      </c>
      <c r="FX155" t="e">
        <f>AND(#REF!,"AAAAAB/3vrM=")</f>
        <v>#REF!</v>
      </c>
      <c r="FY155" t="e">
        <f>IF(#REF!,"AAAAAB/3vrQ=",0)</f>
        <v>#REF!</v>
      </c>
      <c r="FZ155" t="e">
        <f>AND(#REF!,"AAAAAB/3vrU=")</f>
        <v>#REF!</v>
      </c>
      <c r="GA155" t="e">
        <f>AND(#REF!,"AAAAAB/3vrY=")</f>
        <v>#REF!</v>
      </c>
      <c r="GB155" t="e">
        <f>AND(#REF!,"AAAAAB/3vrc=")</f>
        <v>#REF!</v>
      </c>
      <c r="GC155" t="e">
        <f>AND(#REF!,"AAAAAB/3vrg=")</f>
        <v>#REF!</v>
      </c>
      <c r="GD155" t="e">
        <f>AND(#REF!,"AAAAAB/3vrk=")</f>
        <v>#REF!</v>
      </c>
      <c r="GE155" t="e">
        <f>AND(#REF!,"AAAAAB/3vro=")</f>
        <v>#REF!</v>
      </c>
      <c r="GF155" t="e">
        <f>AND(#REF!,"AAAAAB/3vrs=")</f>
        <v>#REF!</v>
      </c>
      <c r="GG155" t="e">
        <f>AND(#REF!,"AAAAAB/3vrw=")</f>
        <v>#REF!</v>
      </c>
      <c r="GH155" t="e">
        <f>AND(#REF!,"AAAAAB/3vr0=")</f>
        <v>#REF!</v>
      </c>
      <c r="GI155" t="e">
        <f>AND(#REF!,"AAAAAB/3vr4=")</f>
        <v>#REF!</v>
      </c>
      <c r="GJ155" t="e">
        <f>AND(#REF!,"AAAAAB/3vr8=")</f>
        <v>#REF!</v>
      </c>
      <c r="GK155" t="e">
        <f>AND(#REF!,"AAAAAB/3vsA=")</f>
        <v>#REF!</v>
      </c>
      <c r="GL155" t="e">
        <f>AND(#REF!,"AAAAAB/3vsE=")</f>
        <v>#REF!</v>
      </c>
      <c r="GM155" t="e">
        <f>AND(#REF!,"AAAAAB/3vsI=")</f>
        <v>#REF!</v>
      </c>
      <c r="GN155" t="e">
        <f>AND(#REF!,"AAAAAB/3vsM=")</f>
        <v>#REF!</v>
      </c>
      <c r="GO155" t="e">
        <f>AND(#REF!,"AAAAAB/3vsQ=")</f>
        <v>#REF!</v>
      </c>
      <c r="GP155" t="e">
        <f>AND(#REF!,"AAAAAB/3vsU=")</f>
        <v>#REF!</v>
      </c>
      <c r="GQ155" t="e">
        <f>AND(#REF!,"AAAAAB/3vsY=")</f>
        <v>#REF!</v>
      </c>
      <c r="GR155" t="e">
        <f>AND(#REF!,"AAAAAB/3vsc=")</f>
        <v>#REF!</v>
      </c>
      <c r="GS155" t="e">
        <f>AND(#REF!,"AAAAAB/3vsg=")</f>
        <v>#REF!</v>
      </c>
      <c r="GT155" t="e">
        <f>AND(#REF!,"AAAAAB/3vsk=")</f>
        <v>#REF!</v>
      </c>
      <c r="GU155" t="e">
        <f>IF(#REF!,"AAAAAB/3vso=",0)</f>
        <v>#REF!</v>
      </c>
      <c r="GV155" t="e">
        <f>AND(#REF!,"AAAAAB/3vss=")</f>
        <v>#REF!</v>
      </c>
      <c r="GW155" t="e">
        <f>AND(#REF!,"AAAAAB/3vsw=")</f>
        <v>#REF!</v>
      </c>
      <c r="GX155" t="e">
        <f>AND(#REF!,"AAAAAB/3vs0=")</f>
        <v>#REF!</v>
      </c>
      <c r="GY155" t="e">
        <f>AND(#REF!,"AAAAAB/3vs4=")</f>
        <v>#REF!</v>
      </c>
      <c r="GZ155" t="e">
        <f>AND(#REF!,"AAAAAB/3vs8=")</f>
        <v>#REF!</v>
      </c>
      <c r="HA155" t="e">
        <f>AND(#REF!,"AAAAAB/3vtA=")</f>
        <v>#REF!</v>
      </c>
      <c r="HB155" t="e">
        <f>AND(#REF!,"AAAAAB/3vtE=")</f>
        <v>#REF!</v>
      </c>
      <c r="HC155" t="e">
        <f>AND(#REF!,"AAAAAB/3vtI=")</f>
        <v>#REF!</v>
      </c>
      <c r="HD155" t="e">
        <f>AND(#REF!,"AAAAAB/3vtM=")</f>
        <v>#REF!</v>
      </c>
      <c r="HE155" t="e">
        <f>AND(#REF!,"AAAAAB/3vtQ=")</f>
        <v>#REF!</v>
      </c>
      <c r="HF155" t="e">
        <f>AND(#REF!,"AAAAAB/3vtU=")</f>
        <v>#REF!</v>
      </c>
      <c r="HG155" t="e">
        <f>AND(#REF!,"AAAAAB/3vtY=")</f>
        <v>#REF!</v>
      </c>
      <c r="HH155" t="e">
        <f>AND(#REF!,"AAAAAB/3vtc=")</f>
        <v>#REF!</v>
      </c>
      <c r="HI155" t="e">
        <f>AND(#REF!,"AAAAAB/3vtg=")</f>
        <v>#REF!</v>
      </c>
      <c r="HJ155" t="e">
        <f>AND(#REF!,"AAAAAB/3vtk=")</f>
        <v>#REF!</v>
      </c>
      <c r="HK155" t="e">
        <f>AND(#REF!,"AAAAAB/3vto=")</f>
        <v>#REF!</v>
      </c>
      <c r="HL155" t="e">
        <f>AND(#REF!,"AAAAAB/3vts=")</f>
        <v>#REF!</v>
      </c>
      <c r="HM155" t="e">
        <f>AND(#REF!,"AAAAAB/3vtw=")</f>
        <v>#REF!</v>
      </c>
      <c r="HN155" t="e">
        <f>AND(#REF!,"AAAAAB/3vt0=")</f>
        <v>#REF!</v>
      </c>
      <c r="HO155" t="e">
        <f>AND(#REF!,"AAAAAB/3vt4=")</f>
        <v>#REF!</v>
      </c>
      <c r="HP155" t="e">
        <f>AND(#REF!,"AAAAAB/3vt8=")</f>
        <v>#REF!</v>
      </c>
      <c r="HQ155" t="e">
        <f>IF(#REF!,"AAAAAB/3vuA=",0)</f>
        <v>#REF!</v>
      </c>
      <c r="HR155" t="e">
        <f>AND(#REF!,"AAAAAB/3vuE=")</f>
        <v>#REF!</v>
      </c>
      <c r="HS155" t="e">
        <f>AND(#REF!,"AAAAAB/3vuI=")</f>
        <v>#REF!</v>
      </c>
      <c r="HT155" t="e">
        <f>AND(#REF!,"AAAAAB/3vuM=")</f>
        <v>#REF!</v>
      </c>
      <c r="HU155" t="e">
        <f>AND(#REF!,"AAAAAB/3vuQ=")</f>
        <v>#REF!</v>
      </c>
      <c r="HV155" t="e">
        <f>AND(#REF!,"AAAAAB/3vuU=")</f>
        <v>#REF!</v>
      </c>
      <c r="HW155" t="e">
        <f>AND(#REF!,"AAAAAB/3vuY=")</f>
        <v>#REF!</v>
      </c>
      <c r="HX155" t="e">
        <f>AND(#REF!,"AAAAAB/3vuc=")</f>
        <v>#REF!</v>
      </c>
      <c r="HY155" t="e">
        <f>AND(#REF!,"AAAAAB/3vug=")</f>
        <v>#REF!</v>
      </c>
      <c r="HZ155" t="e">
        <f>AND(#REF!,"AAAAAB/3vuk=")</f>
        <v>#REF!</v>
      </c>
      <c r="IA155" t="e">
        <f>AND(#REF!,"AAAAAB/3vuo=")</f>
        <v>#REF!</v>
      </c>
      <c r="IB155" t="e">
        <f>AND(#REF!,"AAAAAB/3vus=")</f>
        <v>#REF!</v>
      </c>
      <c r="IC155" t="e">
        <f>AND(#REF!,"AAAAAB/3vuw=")</f>
        <v>#REF!</v>
      </c>
      <c r="ID155" t="e">
        <f>AND(#REF!,"AAAAAB/3vu0=")</f>
        <v>#REF!</v>
      </c>
      <c r="IE155" t="e">
        <f>AND(#REF!,"AAAAAB/3vu4=")</f>
        <v>#REF!</v>
      </c>
      <c r="IF155" t="e">
        <f>AND(#REF!,"AAAAAB/3vu8=")</f>
        <v>#REF!</v>
      </c>
      <c r="IG155" t="e">
        <f>AND(#REF!,"AAAAAB/3vvA=")</f>
        <v>#REF!</v>
      </c>
      <c r="IH155" t="e">
        <f>AND(#REF!,"AAAAAB/3vvE=")</f>
        <v>#REF!</v>
      </c>
      <c r="II155" t="e">
        <f>AND(#REF!,"AAAAAB/3vvI=")</f>
        <v>#REF!</v>
      </c>
      <c r="IJ155" t="e">
        <f>AND(#REF!,"AAAAAB/3vvM=")</f>
        <v>#REF!</v>
      </c>
      <c r="IK155" t="e">
        <f>AND(#REF!,"AAAAAB/3vvQ=")</f>
        <v>#REF!</v>
      </c>
      <c r="IL155" t="e">
        <f>AND(#REF!,"AAAAAB/3vvU=")</f>
        <v>#REF!</v>
      </c>
      <c r="IM155" t="e">
        <f>IF(#REF!,"AAAAAB/3vvY=",0)</f>
        <v>#REF!</v>
      </c>
      <c r="IN155" t="e">
        <f>AND(#REF!,"AAAAAB/3vvc=")</f>
        <v>#REF!</v>
      </c>
      <c r="IO155" t="e">
        <f>AND(#REF!,"AAAAAB/3vvg=")</f>
        <v>#REF!</v>
      </c>
      <c r="IP155" t="e">
        <f>AND(#REF!,"AAAAAB/3vvk=")</f>
        <v>#REF!</v>
      </c>
      <c r="IQ155" t="e">
        <f>AND(#REF!,"AAAAAB/3vvo=")</f>
        <v>#REF!</v>
      </c>
      <c r="IR155" t="e">
        <f>AND(#REF!,"AAAAAB/3vvs=")</f>
        <v>#REF!</v>
      </c>
      <c r="IS155" t="e">
        <f>AND(#REF!,"AAAAAB/3vvw=")</f>
        <v>#REF!</v>
      </c>
      <c r="IT155" t="e">
        <f>AND(#REF!,"AAAAAB/3vv0=")</f>
        <v>#REF!</v>
      </c>
      <c r="IU155" t="e">
        <f>AND(#REF!,"AAAAAB/3vv4=")</f>
        <v>#REF!</v>
      </c>
      <c r="IV155" t="e">
        <f>AND(#REF!,"AAAAAB/3vv8=")</f>
        <v>#REF!</v>
      </c>
    </row>
    <row r="156" spans="1:256" x14ac:dyDescent="0.25">
      <c r="A156" t="e">
        <f>AND(#REF!,"AAAAAHc3dQA=")</f>
        <v>#REF!</v>
      </c>
      <c r="B156" t="e">
        <f>AND(#REF!,"AAAAAHc3dQE=")</f>
        <v>#REF!</v>
      </c>
      <c r="C156" t="e">
        <f>AND(#REF!,"AAAAAHc3dQI=")</f>
        <v>#REF!</v>
      </c>
      <c r="D156" t="e">
        <f>AND(#REF!,"AAAAAHc3dQM=")</f>
        <v>#REF!</v>
      </c>
      <c r="E156" t="e">
        <f>AND(#REF!,"AAAAAHc3dQQ=")</f>
        <v>#REF!</v>
      </c>
      <c r="F156" t="e">
        <f>AND(#REF!,"AAAAAHc3dQU=")</f>
        <v>#REF!</v>
      </c>
      <c r="G156" t="e">
        <f>AND(#REF!,"AAAAAHc3dQY=")</f>
        <v>#REF!</v>
      </c>
      <c r="H156" t="e">
        <f>AND(#REF!,"AAAAAHc3dQc=")</f>
        <v>#REF!</v>
      </c>
      <c r="I156" t="e">
        <f>AND(#REF!,"AAAAAHc3dQg=")</f>
        <v>#REF!</v>
      </c>
      <c r="J156" t="e">
        <f>AND(#REF!,"AAAAAHc3dQk=")</f>
        <v>#REF!</v>
      </c>
      <c r="K156" t="e">
        <f>AND(#REF!,"AAAAAHc3dQo=")</f>
        <v>#REF!</v>
      </c>
      <c r="L156" t="e">
        <f>AND(#REF!,"AAAAAHc3dQs=")</f>
        <v>#REF!</v>
      </c>
      <c r="M156" t="e">
        <f>IF(#REF!,"AAAAAHc3dQw=",0)</f>
        <v>#REF!</v>
      </c>
      <c r="N156" t="e">
        <f>AND(#REF!,"AAAAAHc3dQ0=")</f>
        <v>#REF!</v>
      </c>
      <c r="O156" t="e">
        <f>AND(#REF!,"AAAAAHc3dQ4=")</f>
        <v>#REF!</v>
      </c>
      <c r="P156" t="e">
        <f>AND(#REF!,"AAAAAHc3dQ8=")</f>
        <v>#REF!</v>
      </c>
      <c r="Q156" t="e">
        <f>AND(#REF!,"AAAAAHc3dRA=")</f>
        <v>#REF!</v>
      </c>
      <c r="R156" t="e">
        <f>AND(#REF!,"AAAAAHc3dRE=")</f>
        <v>#REF!</v>
      </c>
      <c r="S156" t="e">
        <f>AND(#REF!,"AAAAAHc3dRI=")</f>
        <v>#REF!</v>
      </c>
      <c r="T156" t="e">
        <f>AND(#REF!,"AAAAAHc3dRM=")</f>
        <v>#REF!</v>
      </c>
      <c r="U156" t="e">
        <f>AND(#REF!,"AAAAAHc3dRQ=")</f>
        <v>#REF!</v>
      </c>
      <c r="V156" t="e">
        <f>AND(#REF!,"AAAAAHc3dRU=")</f>
        <v>#REF!</v>
      </c>
      <c r="W156" t="e">
        <f>AND(#REF!,"AAAAAHc3dRY=")</f>
        <v>#REF!</v>
      </c>
      <c r="X156" t="e">
        <f>AND(#REF!,"AAAAAHc3dRc=")</f>
        <v>#REF!</v>
      </c>
      <c r="Y156" t="e">
        <f>AND(#REF!,"AAAAAHc3dRg=")</f>
        <v>#REF!</v>
      </c>
      <c r="Z156" t="e">
        <f>AND(#REF!,"AAAAAHc3dRk=")</f>
        <v>#REF!</v>
      </c>
      <c r="AA156" t="e">
        <f>AND(#REF!,"AAAAAHc3dRo=")</f>
        <v>#REF!</v>
      </c>
      <c r="AB156" t="e">
        <f>AND(#REF!,"AAAAAHc3dRs=")</f>
        <v>#REF!</v>
      </c>
      <c r="AC156" t="e">
        <f>AND(#REF!,"AAAAAHc3dRw=")</f>
        <v>#REF!</v>
      </c>
      <c r="AD156" t="e">
        <f>AND(#REF!,"AAAAAHc3dR0=")</f>
        <v>#REF!</v>
      </c>
      <c r="AE156" t="e">
        <f>AND(#REF!,"AAAAAHc3dR4=")</f>
        <v>#REF!</v>
      </c>
      <c r="AF156" t="e">
        <f>AND(#REF!,"AAAAAHc3dR8=")</f>
        <v>#REF!</v>
      </c>
      <c r="AG156" t="e">
        <f>AND(#REF!,"AAAAAHc3dSA=")</f>
        <v>#REF!</v>
      </c>
      <c r="AH156" t="e">
        <f>AND(#REF!,"AAAAAHc3dSE=")</f>
        <v>#REF!</v>
      </c>
      <c r="AI156" t="e">
        <f>IF(#REF!,"AAAAAHc3dSI=",0)</f>
        <v>#REF!</v>
      </c>
      <c r="AJ156" t="e">
        <f>AND(#REF!,"AAAAAHc3dSM=")</f>
        <v>#REF!</v>
      </c>
      <c r="AK156" t="e">
        <f>AND(#REF!,"AAAAAHc3dSQ=")</f>
        <v>#REF!</v>
      </c>
      <c r="AL156" t="e">
        <f>AND(#REF!,"AAAAAHc3dSU=")</f>
        <v>#REF!</v>
      </c>
      <c r="AM156" t="e">
        <f>AND(#REF!,"AAAAAHc3dSY=")</f>
        <v>#REF!</v>
      </c>
      <c r="AN156" t="e">
        <f>AND(#REF!,"AAAAAHc3dSc=")</f>
        <v>#REF!</v>
      </c>
      <c r="AO156" t="e">
        <f>AND(#REF!,"AAAAAHc3dSg=")</f>
        <v>#REF!</v>
      </c>
      <c r="AP156" t="e">
        <f>AND(#REF!,"AAAAAHc3dSk=")</f>
        <v>#REF!</v>
      </c>
      <c r="AQ156" t="e">
        <f>AND(#REF!,"AAAAAHc3dSo=")</f>
        <v>#REF!</v>
      </c>
      <c r="AR156" t="e">
        <f>AND(#REF!,"AAAAAHc3dSs=")</f>
        <v>#REF!</v>
      </c>
      <c r="AS156" t="e">
        <f>AND(#REF!,"AAAAAHc3dSw=")</f>
        <v>#REF!</v>
      </c>
      <c r="AT156" t="e">
        <f>AND(#REF!,"AAAAAHc3dS0=")</f>
        <v>#REF!</v>
      </c>
      <c r="AU156" t="e">
        <f>AND(#REF!,"AAAAAHc3dS4=")</f>
        <v>#REF!</v>
      </c>
      <c r="AV156" t="e">
        <f>AND(#REF!,"AAAAAHc3dS8=")</f>
        <v>#REF!</v>
      </c>
      <c r="AW156" t="e">
        <f>AND(#REF!,"AAAAAHc3dTA=")</f>
        <v>#REF!</v>
      </c>
      <c r="AX156" t="e">
        <f>AND(#REF!,"AAAAAHc3dTE=")</f>
        <v>#REF!</v>
      </c>
      <c r="AY156" t="e">
        <f>AND(#REF!,"AAAAAHc3dTI=")</f>
        <v>#REF!</v>
      </c>
      <c r="AZ156" t="e">
        <f>AND(#REF!,"AAAAAHc3dTM=")</f>
        <v>#REF!</v>
      </c>
      <c r="BA156" t="e">
        <f>AND(#REF!,"AAAAAHc3dTQ=")</f>
        <v>#REF!</v>
      </c>
      <c r="BB156" t="e">
        <f>AND(#REF!,"AAAAAHc3dTU=")</f>
        <v>#REF!</v>
      </c>
      <c r="BC156" t="e">
        <f>AND(#REF!,"AAAAAHc3dTY=")</f>
        <v>#REF!</v>
      </c>
      <c r="BD156" t="e">
        <f>AND(#REF!,"AAAAAHc3dTc=")</f>
        <v>#REF!</v>
      </c>
      <c r="BE156" t="e">
        <f>IF(#REF!,"AAAAAHc3dTg=",0)</f>
        <v>#REF!</v>
      </c>
      <c r="BF156" t="e">
        <f>AND(#REF!,"AAAAAHc3dTk=")</f>
        <v>#REF!</v>
      </c>
      <c r="BG156" t="e">
        <f>AND(#REF!,"AAAAAHc3dTo=")</f>
        <v>#REF!</v>
      </c>
      <c r="BH156" t="e">
        <f>AND(#REF!,"AAAAAHc3dTs=")</f>
        <v>#REF!</v>
      </c>
      <c r="BI156" t="e">
        <f>AND(#REF!,"AAAAAHc3dTw=")</f>
        <v>#REF!</v>
      </c>
      <c r="BJ156" t="e">
        <f>AND(#REF!,"AAAAAHc3dT0=")</f>
        <v>#REF!</v>
      </c>
      <c r="BK156" t="e">
        <f>AND(#REF!,"AAAAAHc3dT4=")</f>
        <v>#REF!</v>
      </c>
      <c r="BL156" t="e">
        <f>AND(#REF!,"AAAAAHc3dT8=")</f>
        <v>#REF!</v>
      </c>
      <c r="BM156" t="e">
        <f>AND(#REF!,"AAAAAHc3dUA=")</f>
        <v>#REF!</v>
      </c>
      <c r="BN156" t="e">
        <f>AND(#REF!,"AAAAAHc3dUE=")</f>
        <v>#REF!</v>
      </c>
      <c r="BO156" t="e">
        <f>AND(#REF!,"AAAAAHc3dUI=")</f>
        <v>#REF!</v>
      </c>
      <c r="BP156" t="e">
        <f>AND(#REF!,"AAAAAHc3dUM=")</f>
        <v>#REF!</v>
      </c>
      <c r="BQ156" t="e">
        <f>AND(#REF!,"AAAAAHc3dUQ=")</f>
        <v>#REF!</v>
      </c>
      <c r="BR156" t="e">
        <f>AND(#REF!,"AAAAAHc3dUU=")</f>
        <v>#REF!</v>
      </c>
      <c r="BS156" t="e">
        <f>AND(#REF!,"AAAAAHc3dUY=")</f>
        <v>#REF!</v>
      </c>
      <c r="BT156" t="e">
        <f>AND(#REF!,"AAAAAHc3dUc=")</f>
        <v>#REF!</v>
      </c>
      <c r="BU156" t="e">
        <f>AND(#REF!,"AAAAAHc3dUg=")</f>
        <v>#REF!</v>
      </c>
      <c r="BV156" t="e">
        <f>AND(#REF!,"AAAAAHc3dUk=")</f>
        <v>#REF!</v>
      </c>
      <c r="BW156" t="e">
        <f>AND(#REF!,"AAAAAHc3dUo=")</f>
        <v>#REF!</v>
      </c>
      <c r="BX156" t="e">
        <f>AND(#REF!,"AAAAAHc3dUs=")</f>
        <v>#REF!</v>
      </c>
      <c r="BY156" t="e">
        <f>AND(#REF!,"AAAAAHc3dUw=")</f>
        <v>#REF!</v>
      </c>
      <c r="BZ156" t="e">
        <f>AND(#REF!,"AAAAAHc3dU0=")</f>
        <v>#REF!</v>
      </c>
      <c r="CA156" t="e">
        <f>IF(#REF!,"AAAAAHc3dU4=",0)</f>
        <v>#REF!</v>
      </c>
      <c r="CB156" t="e">
        <f>AND(#REF!,"AAAAAHc3dU8=")</f>
        <v>#REF!</v>
      </c>
      <c r="CC156" t="e">
        <f>AND(#REF!,"AAAAAHc3dVA=")</f>
        <v>#REF!</v>
      </c>
      <c r="CD156" t="e">
        <f>AND(#REF!,"AAAAAHc3dVE=")</f>
        <v>#REF!</v>
      </c>
      <c r="CE156" t="e">
        <f>AND(#REF!,"AAAAAHc3dVI=")</f>
        <v>#REF!</v>
      </c>
      <c r="CF156" t="e">
        <f>AND(#REF!,"AAAAAHc3dVM=")</f>
        <v>#REF!</v>
      </c>
      <c r="CG156" t="e">
        <f>AND(#REF!,"AAAAAHc3dVQ=")</f>
        <v>#REF!</v>
      </c>
      <c r="CH156" t="e">
        <f>AND(#REF!,"AAAAAHc3dVU=")</f>
        <v>#REF!</v>
      </c>
      <c r="CI156" t="e">
        <f>AND(#REF!,"AAAAAHc3dVY=")</f>
        <v>#REF!</v>
      </c>
      <c r="CJ156" t="e">
        <f>AND(#REF!,"AAAAAHc3dVc=")</f>
        <v>#REF!</v>
      </c>
      <c r="CK156" t="e">
        <f>AND(#REF!,"AAAAAHc3dVg=")</f>
        <v>#REF!</v>
      </c>
      <c r="CL156" t="e">
        <f>AND(#REF!,"AAAAAHc3dVk=")</f>
        <v>#REF!</v>
      </c>
      <c r="CM156" t="e">
        <f>AND(#REF!,"AAAAAHc3dVo=")</f>
        <v>#REF!</v>
      </c>
      <c r="CN156" t="e">
        <f>AND(#REF!,"AAAAAHc3dVs=")</f>
        <v>#REF!</v>
      </c>
      <c r="CO156" t="e">
        <f>AND(#REF!,"AAAAAHc3dVw=")</f>
        <v>#REF!</v>
      </c>
      <c r="CP156" t="e">
        <f>AND(#REF!,"AAAAAHc3dV0=")</f>
        <v>#REF!</v>
      </c>
      <c r="CQ156" t="e">
        <f>AND(#REF!,"AAAAAHc3dV4=")</f>
        <v>#REF!</v>
      </c>
      <c r="CR156" t="e">
        <f>AND(#REF!,"AAAAAHc3dV8=")</f>
        <v>#REF!</v>
      </c>
      <c r="CS156" t="e">
        <f>AND(#REF!,"AAAAAHc3dWA=")</f>
        <v>#REF!</v>
      </c>
      <c r="CT156" t="e">
        <f>AND(#REF!,"AAAAAHc3dWE=")</f>
        <v>#REF!</v>
      </c>
      <c r="CU156" t="e">
        <f>AND(#REF!,"AAAAAHc3dWI=")</f>
        <v>#REF!</v>
      </c>
      <c r="CV156" t="e">
        <f>AND(#REF!,"AAAAAHc3dWM=")</f>
        <v>#REF!</v>
      </c>
      <c r="CW156" t="e">
        <f>IF(#REF!,"AAAAAHc3dWQ=",0)</f>
        <v>#REF!</v>
      </c>
      <c r="CX156" t="e">
        <f>AND(#REF!,"AAAAAHc3dWU=")</f>
        <v>#REF!</v>
      </c>
      <c r="CY156" t="e">
        <f>AND(#REF!,"AAAAAHc3dWY=")</f>
        <v>#REF!</v>
      </c>
      <c r="CZ156" t="e">
        <f>AND(#REF!,"AAAAAHc3dWc=")</f>
        <v>#REF!</v>
      </c>
      <c r="DA156" t="e">
        <f>AND(#REF!,"AAAAAHc3dWg=")</f>
        <v>#REF!</v>
      </c>
      <c r="DB156" t="e">
        <f>AND(#REF!,"AAAAAHc3dWk=")</f>
        <v>#REF!</v>
      </c>
      <c r="DC156" t="e">
        <f>AND(#REF!,"AAAAAHc3dWo=")</f>
        <v>#REF!</v>
      </c>
      <c r="DD156" t="e">
        <f>AND(#REF!,"AAAAAHc3dWs=")</f>
        <v>#REF!</v>
      </c>
      <c r="DE156" t="e">
        <f>AND(#REF!,"AAAAAHc3dWw=")</f>
        <v>#REF!</v>
      </c>
      <c r="DF156" t="e">
        <f>AND(#REF!,"AAAAAHc3dW0=")</f>
        <v>#REF!</v>
      </c>
      <c r="DG156" t="e">
        <f>AND(#REF!,"AAAAAHc3dW4=")</f>
        <v>#REF!</v>
      </c>
      <c r="DH156" t="e">
        <f>AND(#REF!,"AAAAAHc3dW8=")</f>
        <v>#REF!</v>
      </c>
      <c r="DI156" t="e">
        <f>AND(#REF!,"AAAAAHc3dXA=")</f>
        <v>#REF!</v>
      </c>
      <c r="DJ156" t="e">
        <f>AND(#REF!,"AAAAAHc3dXE=")</f>
        <v>#REF!</v>
      </c>
      <c r="DK156" t="e">
        <f>AND(#REF!,"AAAAAHc3dXI=")</f>
        <v>#REF!</v>
      </c>
      <c r="DL156" t="e">
        <f>AND(#REF!,"AAAAAHc3dXM=")</f>
        <v>#REF!</v>
      </c>
      <c r="DM156" t="e">
        <f>AND(#REF!,"AAAAAHc3dXQ=")</f>
        <v>#REF!</v>
      </c>
      <c r="DN156" t="e">
        <f>AND(#REF!,"AAAAAHc3dXU=")</f>
        <v>#REF!</v>
      </c>
      <c r="DO156" t="e">
        <f>AND(#REF!,"AAAAAHc3dXY=")</f>
        <v>#REF!</v>
      </c>
      <c r="DP156" t="e">
        <f>AND(#REF!,"AAAAAHc3dXc=")</f>
        <v>#REF!</v>
      </c>
      <c r="DQ156" t="e">
        <f>AND(#REF!,"AAAAAHc3dXg=")</f>
        <v>#REF!</v>
      </c>
      <c r="DR156" t="e">
        <f>AND(#REF!,"AAAAAHc3dXk=")</f>
        <v>#REF!</v>
      </c>
      <c r="DS156" t="e">
        <f>IF(#REF!,"AAAAAHc3dXo=",0)</f>
        <v>#REF!</v>
      </c>
      <c r="DT156" t="e">
        <f>AND(#REF!,"AAAAAHc3dXs=")</f>
        <v>#REF!</v>
      </c>
      <c r="DU156" t="e">
        <f>AND(#REF!,"AAAAAHc3dXw=")</f>
        <v>#REF!</v>
      </c>
      <c r="DV156" t="e">
        <f>AND(#REF!,"AAAAAHc3dX0=")</f>
        <v>#REF!</v>
      </c>
      <c r="DW156" t="e">
        <f>AND(#REF!,"AAAAAHc3dX4=")</f>
        <v>#REF!</v>
      </c>
      <c r="DX156" t="e">
        <f>AND(#REF!,"AAAAAHc3dX8=")</f>
        <v>#REF!</v>
      </c>
      <c r="DY156" t="e">
        <f>AND(#REF!,"AAAAAHc3dYA=")</f>
        <v>#REF!</v>
      </c>
      <c r="DZ156" t="e">
        <f>AND(#REF!,"AAAAAHc3dYE=")</f>
        <v>#REF!</v>
      </c>
      <c r="EA156" t="e">
        <f>AND(#REF!,"AAAAAHc3dYI=")</f>
        <v>#REF!</v>
      </c>
      <c r="EB156" t="e">
        <f>AND(#REF!,"AAAAAHc3dYM=")</f>
        <v>#REF!</v>
      </c>
      <c r="EC156" t="e">
        <f>AND(#REF!,"AAAAAHc3dYQ=")</f>
        <v>#REF!</v>
      </c>
      <c r="ED156" t="e">
        <f>AND(#REF!,"AAAAAHc3dYU=")</f>
        <v>#REF!</v>
      </c>
      <c r="EE156" t="e">
        <f>AND(#REF!,"AAAAAHc3dYY=")</f>
        <v>#REF!</v>
      </c>
      <c r="EF156" t="e">
        <f>AND(#REF!,"AAAAAHc3dYc=")</f>
        <v>#REF!</v>
      </c>
      <c r="EG156" t="e">
        <f>AND(#REF!,"AAAAAHc3dYg=")</f>
        <v>#REF!</v>
      </c>
      <c r="EH156" t="e">
        <f>AND(#REF!,"AAAAAHc3dYk=")</f>
        <v>#REF!</v>
      </c>
      <c r="EI156" t="e">
        <f>AND(#REF!,"AAAAAHc3dYo=")</f>
        <v>#REF!</v>
      </c>
      <c r="EJ156" t="e">
        <f>AND(#REF!,"AAAAAHc3dYs=")</f>
        <v>#REF!</v>
      </c>
      <c r="EK156" t="e">
        <f>AND(#REF!,"AAAAAHc3dYw=")</f>
        <v>#REF!</v>
      </c>
      <c r="EL156" t="e">
        <f>AND(#REF!,"AAAAAHc3dY0=")</f>
        <v>#REF!</v>
      </c>
      <c r="EM156" t="e">
        <f>AND(#REF!,"AAAAAHc3dY4=")</f>
        <v>#REF!</v>
      </c>
      <c r="EN156" t="e">
        <f>AND(#REF!,"AAAAAHc3dY8=")</f>
        <v>#REF!</v>
      </c>
      <c r="EO156" t="e">
        <f>IF(#REF!,"AAAAAHc3dZA=",0)</f>
        <v>#REF!</v>
      </c>
      <c r="EP156" t="e">
        <f>AND(#REF!,"AAAAAHc3dZE=")</f>
        <v>#REF!</v>
      </c>
      <c r="EQ156" t="e">
        <f>AND(#REF!,"AAAAAHc3dZI=")</f>
        <v>#REF!</v>
      </c>
      <c r="ER156" t="e">
        <f>AND(#REF!,"AAAAAHc3dZM=")</f>
        <v>#REF!</v>
      </c>
      <c r="ES156" t="e">
        <f>AND(#REF!,"AAAAAHc3dZQ=")</f>
        <v>#REF!</v>
      </c>
      <c r="ET156" t="e">
        <f>AND(#REF!,"AAAAAHc3dZU=")</f>
        <v>#REF!</v>
      </c>
      <c r="EU156" t="e">
        <f>AND(#REF!,"AAAAAHc3dZY=")</f>
        <v>#REF!</v>
      </c>
      <c r="EV156" t="e">
        <f>AND(#REF!,"AAAAAHc3dZc=")</f>
        <v>#REF!</v>
      </c>
      <c r="EW156" t="e">
        <f>AND(#REF!,"AAAAAHc3dZg=")</f>
        <v>#REF!</v>
      </c>
      <c r="EX156" t="e">
        <f>AND(#REF!,"AAAAAHc3dZk=")</f>
        <v>#REF!</v>
      </c>
      <c r="EY156" t="e">
        <f>AND(#REF!,"AAAAAHc3dZo=")</f>
        <v>#REF!</v>
      </c>
      <c r="EZ156" t="e">
        <f>AND(#REF!,"AAAAAHc3dZs=")</f>
        <v>#REF!</v>
      </c>
      <c r="FA156" t="e">
        <f>AND(#REF!,"AAAAAHc3dZw=")</f>
        <v>#REF!</v>
      </c>
      <c r="FB156" t="e">
        <f>AND(#REF!,"AAAAAHc3dZ0=")</f>
        <v>#REF!</v>
      </c>
      <c r="FC156" t="e">
        <f>AND(#REF!,"AAAAAHc3dZ4=")</f>
        <v>#REF!</v>
      </c>
      <c r="FD156" t="e">
        <f>AND(#REF!,"AAAAAHc3dZ8=")</f>
        <v>#REF!</v>
      </c>
      <c r="FE156" t="e">
        <f>AND(#REF!,"AAAAAHc3daA=")</f>
        <v>#REF!</v>
      </c>
      <c r="FF156" t="e">
        <f>AND(#REF!,"AAAAAHc3daE=")</f>
        <v>#REF!</v>
      </c>
      <c r="FG156" t="e">
        <f>AND(#REF!,"AAAAAHc3daI=")</f>
        <v>#REF!</v>
      </c>
      <c r="FH156" t="e">
        <f>AND(#REF!,"AAAAAHc3daM=")</f>
        <v>#REF!</v>
      </c>
      <c r="FI156" t="e">
        <f>AND(#REF!,"AAAAAHc3daQ=")</f>
        <v>#REF!</v>
      </c>
      <c r="FJ156" t="e">
        <f>AND(#REF!,"AAAAAHc3daU=")</f>
        <v>#REF!</v>
      </c>
      <c r="FK156" t="e">
        <f>IF(#REF!,"AAAAAHc3daY=",0)</f>
        <v>#REF!</v>
      </c>
      <c r="FL156" t="e">
        <f>AND(#REF!,"AAAAAHc3dac=")</f>
        <v>#REF!</v>
      </c>
      <c r="FM156" t="e">
        <f>AND(#REF!,"AAAAAHc3dag=")</f>
        <v>#REF!</v>
      </c>
      <c r="FN156" t="e">
        <f>AND(#REF!,"AAAAAHc3dak=")</f>
        <v>#REF!</v>
      </c>
      <c r="FO156" t="e">
        <f>AND(#REF!,"AAAAAHc3dao=")</f>
        <v>#REF!</v>
      </c>
      <c r="FP156" t="e">
        <f>AND(#REF!,"AAAAAHc3das=")</f>
        <v>#REF!</v>
      </c>
      <c r="FQ156" t="e">
        <f>AND(#REF!,"AAAAAHc3daw=")</f>
        <v>#REF!</v>
      </c>
      <c r="FR156" t="e">
        <f>AND(#REF!,"AAAAAHc3da0=")</f>
        <v>#REF!</v>
      </c>
      <c r="FS156" t="e">
        <f>AND(#REF!,"AAAAAHc3da4=")</f>
        <v>#REF!</v>
      </c>
      <c r="FT156" t="e">
        <f>AND(#REF!,"AAAAAHc3da8=")</f>
        <v>#REF!</v>
      </c>
      <c r="FU156" t="e">
        <f>AND(#REF!,"AAAAAHc3dbA=")</f>
        <v>#REF!</v>
      </c>
      <c r="FV156" t="e">
        <f>AND(#REF!,"AAAAAHc3dbE=")</f>
        <v>#REF!</v>
      </c>
      <c r="FW156" t="e">
        <f>AND(#REF!,"AAAAAHc3dbI=")</f>
        <v>#REF!</v>
      </c>
      <c r="FX156" t="e">
        <f>AND(#REF!,"AAAAAHc3dbM=")</f>
        <v>#REF!</v>
      </c>
      <c r="FY156" t="e">
        <f>AND(#REF!,"AAAAAHc3dbQ=")</f>
        <v>#REF!</v>
      </c>
      <c r="FZ156" t="e">
        <f>AND(#REF!,"AAAAAHc3dbU=")</f>
        <v>#REF!</v>
      </c>
      <c r="GA156" t="e">
        <f>AND(#REF!,"AAAAAHc3dbY=")</f>
        <v>#REF!</v>
      </c>
      <c r="GB156" t="e">
        <f>AND(#REF!,"AAAAAHc3dbc=")</f>
        <v>#REF!</v>
      </c>
      <c r="GC156" t="e">
        <f>AND(#REF!,"AAAAAHc3dbg=")</f>
        <v>#REF!</v>
      </c>
      <c r="GD156" t="e">
        <f>AND(#REF!,"AAAAAHc3dbk=")</f>
        <v>#REF!</v>
      </c>
      <c r="GE156" t="e">
        <f>AND(#REF!,"AAAAAHc3dbo=")</f>
        <v>#REF!</v>
      </c>
      <c r="GF156" t="e">
        <f>AND(#REF!,"AAAAAHc3dbs=")</f>
        <v>#REF!</v>
      </c>
      <c r="GG156" t="e">
        <f>IF(#REF!,"AAAAAHc3dbw=",0)</f>
        <v>#REF!</v>
      </c>
      <c r="GH156" t="e">
        <f>AND(#REF!,"AAAAAHc3db0=")</f>
        <v>#REF!</v>
      </c>
      <c r="GI156" t="e">
        <f>AND(#REF!,"AAAAAHc3db4=")</f>
        <v>#REF!</v>
      </c>
      <c r="GJ156" t="e">
        <f>AND(#REF!,"AAAAAHc3db8=")</f>
        <v>#REF!</v>
      </c>
      <c r="GK156" t="e">
        <f>AND(#REF!,"AAAAAHc3dcA=")</f>
        <v>#REF!</v>
      </c>
      <c r="GL156" t="e">
        <f>AND(#REF!,"AAAAAHc3dcE=")</f>
        <v>#REF!</v>
      </c>
      <c r="GM156" t="e">
        <f>AND(#REF!,"AAAAAHc3dcI=")</f>
        <v>#REF!</v>
      </c>
      <c r="GN156" t="e">
        <f>AND(#REF!,"AAAAAHc3dcM=")</f>
        <v>#REF!</v>
      </c>
      <c r="GO156" t="e">
        <f>AND(#REF!,"AAAAAHc3dcQ=")</f>
        <v>#REF!</v>
      </c>
      <c r="GP156" t="e">
        <f>AND(#REF!,"AAAAAHc3dcU=")</f>
        <v>#REF!</v>
      </c>
      <c r="GQ156" t="e">
        <f>AND(#REF!,"AAAAAHc3dcY=")</f>
        <v>#REF!</v>
      </c>
      <c r="GR156" t="e">
        <f>AND(#REF!,"AAAAAHc3dcc=")</f>
        <v>#REF!</v>
      </c>
      <c r="GS156" t="e">
        <f>AND(#REF!,"AAAAAHc3dcg=")</f>
        <v>#REF!</v>
      </c>
      <c r="GT156" t="e">
        <f>AND(#REF!,"AAAAAHc3dck=")</f>
        <v>#REF!</v>
      </c>
      <c r="GU156" t="e">
        <f>AND(#REF!,"AAAAAHc3dco=")</f>
        <v>#REF!</v>
      </c>
      <c r="GV156" t="e">
        <f>AND(#REF!,"AAAAAHc3dcs=")</f>
        <v>#REF!</v>
      </c>
      <c r="GW156" t="e">
        <f>AND(#REF!,"AAAAAHc3dcw=")</f>
        <v>#REF!</v>
      </c>
      <c r="GX156" t="e">
        <f>AND(#REF!,"AAAAAHc3dc0=")</f>
        <v>#REF!</v>
      </c>
      <c r="GY156" t="e">
        <f>AND(#REF!,"AAAAAHc3dc4=")</f>
        <v>#REF!</v>
      </c>
      <c r="GZ156" t="e">
        <f>AND(#REF!,"AAAAAHc3dc8=")</f>
        <v>#REF!</v>
      </c>
      <c r="HA156" t="e">
        <f>AND(#REF!,"AAAAAHc3ddA=")</f>
        <v>#REF!</v>
      </c>
      <c r="HB156" t="e">
        <f>AND(#REF!,"AAAAAHc3ddE=")</f>
        <v>#REF!</v>
      </c>
      <c r="HC156" t="e">
        <f>IF(#REF!,"AAAAAHc3ddI=",0)</f>
        <v>#REF!</v>
      </c>
      <c r="HD156" t="e">
        <f>AND(#REF!,"AAAAAHc3ddM=")</f>
        <v>#REF!</v>
      </c>
      <c r="HE156" t="e">
        <f>AND(#REF!,"AAAAAHc3ddQ=")</f>
        <v>#REF!</v>
      </c>
      <c r="HF156" t="e">
        <f>AND(#REF!,"AAAAAHc3ddU=")</f>
        <v>#REF!</v>
      </c>
      <c r="HG156" t="e">
        <f>AND(#REF!,"AAAAAHc3ddY=")</f>
        <v>#REF!</v>
      </c>
      <c r="HH156" t="e">
        <f>AND(#REF!,"AAAAAHc3ddc=")</f>
        <v>#REF!</v>
      </c>
      <c r="HI156" t="e">
        <f>AND(#REF!,"AAAAAHc3ddg=")</f>
        <v>#REF!</v>
      </c>
      <c r="HJ156" t="e">
        <f>AND(#REF!,"AAAAAHc3ddk=")</f>
        <v>#REF!</v>
      </c>
      <c r="HK156" t="e">
        <f>AND(#REF!,"AAAAAHc3ddo=")</f>
        <v>#REF!</v>
      </c>
      <c r="HL156" t="e">
        <f>AND(#REF!,"AAAAAHc3dds=")</f>
        <v>#REF!</v>
      </c>
      <c r="HM156" t="e">
        <f>AND(#REF!,"AAAAAHc3ddw=")</f>
        <v>#REF!</v>
      </c>
      <c r="HN156" t="e">
        <f>AND(#REF!,"AAAAAHc3dd0=")</f>
        <v>#REF!</v>
      </c>
      <c r="HO156" t="e">
        <f>AND(#REF!,"AAAAAHc3dd4=")</f>
        <v>#REF!</v>
      </c>
      <c r="HP156" t="e">
        <f>AND(#REF!,"AAAAAHc3dd8=")</f>
        <v>#REF!</v>
      </c>
      <c r="HQ156" t="e">
        <f>AND(#REF!,"AAAAAHc3deA=")</f>
        <v>#REF!</v>
      </c>
      <c r="HR156" t="e">
        <f>AND(#REF!,"AAAAAHc3deE=")</f>
        <v>#REF!</v>
      </c>
      <c r="HS156" t="e">
        <f>AND(#REF!,"AAAAAHc3deI=")</f>
        <v>#REF!</v>
      </c>
      <c r="HT156" t="e">
        <f>AND(#REF!,"AAAAAHc3deM=")</f>
        <v>#REF!</v>
      </c>
      <c r="HU156" t="e">
        <f>AND(#REF!,"AAAAAHc3deQ=")</f>
        <v>#REF!</v>
      </c>
      <c r="HV156" t="e">
        <f>AND(#REF!,"AAAAAHc3deU=")</f>
        <v>#REF!</v>
      </c>
      <c r="HW156" t="e">
        <f>AND(#REF!,"AAAAAHc3deY=")</f>
        <v>#REF!</v>
      </c>
      <c r="HX156" t="e">
        <f>AND(#REF!,"AAAAAHc3dec=")</f>
        <v>#REF!</v>
      </c>
      <c r="HY156" t="e">
        <f>IF(#REF!,"AAAAAHc3deg=",0)</f>
        <v>#REF!</v>
      </c>
      <c r="HZ156" t="e">
        <f>AND(#REF!,"AAAAAHc3dek=")</f>
        <v>#REF!</v>
      </c>
      <c r="IA156" t="e">
        <f>AND(#REF!,"AAAAAHc3deo=")</f>
        <v>#REF!</v>
      </c>
      <c r="IB156" t="e">
        <f>AND(#REF!,"AAAAAHc3des=")</f>
        <v>#REF!</v>
      </c>
      <c r="IC156" t="e">
        <f>AND(#REF!,"AAAAAHc3dew=")</f>
        <v>#REF!</v>
      </c>
      <c r="ID156" t="e">
        <f>AND(#REF!,"AAAAAHc3de0=")</f>
        <v>#REF!</v>
      </c>
      <c r="IE156" t="e">
        <f>AND(#REF!,"AAAAAHc3de4=")</f>
        <v>#REF!</v>
      </c>
      <c r="IF156" t="e">
        <f>AND(#REF!,"AAAAAHc3de8=")</f>
        <v>#REF!</v>
      </c>
      <c r="IG156" t="e">
        <f>AND(#REF!,"AAAAAHc3dfA=")</f>
        <v>#REF!</v>
      </c>
      <c r="IH156" t="e">
        <f>AND(#REF!,"AAAAAHc3dfE=")</f>
        <v>#REF!</v>
      </c>
      <c r="II156" t="e">
        <f>AND(#REF!,"AAAAAHc3dfI=")</f>
        <v>#REF!</v>
      </c>
      <c r="IJ156" t="e">
        <f>AND(#REF!,"AAAAAHc3dfM=")</f>
        <v>#REF!</v>
      </c>
      <c r="IK156" t="e">
        <f>AND(#REF!,"AAAAAHc3dfQ=")</f>
        <v>#REF!</v>
      </c>
      <c r="IL156" t="e">
        <f>AND(#REF!,"AAAAAHc3dfU=")</f>
        <v>#REF!</v>
      </c>
      <c r="IM156" t="e">
        <f>AND(#REF!,"AAAAAHc3dfY=")</f>
        <v>#REF!</v>
      </c>
      <c r="IN156" t="e">
        <f>AND(#REF!,"AAAAAHc3dfc=")</f>
        <v>#REF!</v>
      </c>
      <c r="IO156" t="e">
        <f>AND(#REF!,"AAAAAHc3dfg=")</f>
        <v>#REF!</v>
      </c>
      <c r="IP156" t="e">
        <f>AND(#REF!,"AAAAAHc3dfk=")</f>
        <v>#REF!</v>
      </c>
      <c r="IQ156" t="e">
        <f>AND(#REF!,"AAAAAHc3dfo=")</f>
        <v>#REF!</v>
      </c>
      <c r="IR156" t="e">
        <f>AND(#REF!,"AAAAAHc3dfs=")</f>
        <v>#REF!</v>
      </c>
      <c r="IS156" t="e">
        <f>AND(#REF!,"AAAAAHc3dfw=")</f>
        <v>#REF!</v>
      </c>
      <c r="IT156" t="e">
        <f>AND(#REF!,"AAAAAHc3df0=")</f>
        <v>#REF!</v>
      </c>
      <c r="IU156" t="e">
        <f>IF(#REF!,"AAAAAHc3df4=",0)</f>
        <v>#REF!</v>
      </c>
      <c r="IV156" t="e">
        <f>AND(#REF!,"AAAAAHc3df8=")</f>
        <v>#REF!</v>
      </c>
    </row>
    <row r="157" spans="1:256" x14ac:dyDescent="0.25">
      <c r="A157" t="e">
        <f>AND(#REF!,"AAAAAGf39wA=")</f>
        <v>#REF!</v>
      </c>
      <c r="B157" t="e">
        <f>AND(#REF!,"AAAAAGf39wE=")</f>
        <v>#REF!</v>
      </c>
      <c r="C157" t="e">
        <f>AND(#REF!,"AAAAAGf39wI=")</f>
        <v>#REF!</v>
      </c>
      <c r="D157" t="e">
        <f>AND(#REF!,"AAAAAGf39wM=")</f>
        <v>#REF!</v>
      </c>
      <c r="E157" t="e">
        <f>AND(#REF!,"AAAAAGf39wQ=")</f>
        <v>#REF!</v>
      </c>
      <c r="F157" t="e">
        <f>AND(#REF!,"AAAAAGf39wU=")</f>
        <v>#REF!</v>
      </c>
      <c r="G157" t="e">
        <f>AND(#REF!,"AAAAAGf39wY=")</f>
        <v>#REF!</v>
      </c>
      <c r="H157" t="e">
        <f>AND(#REF!,"AAAAAGf39wc=")</f>
        <v>#REF!</v>
      </c>
      <c r="I157" t="e">
        <f>AND(#REF!,"AAAAAGf39wg=")</f>
        <v>#REF!</v>
      </c>
      <c r="J157" t="e">
        <f>AND(#REF!,"AAAAAGf39wk=")</f>
        <v>#REF!</v>
      </c>
      <c r="K157" t="e">
        <f>AND(#REF!,"AAAAAGf39wo=")</f>
        <v>#REF!</v>
      </c>
      <c r="L157" t="e">
        <f>AND(#REF!,"AAAAAGf39ws=")</f>
        <v>#REF!</v>
      </c>
      <c r="M157" t="e">
        <f>AND(#REF!,"AAAAAGf39ww=")</f>
        <v>#REF!</v>
      </c>
      <c r="N157" t="e">
        <f>AND(#REF!,"AAAAAGf39w0=")</f>
        <v>#REF!</v>
      </c>
      <c r="O157" t="e">
        <f>AND(#REF!,"AAAAAGf39w4=")</f>
        <v>#REF!</v>
      </c>
      <c r="P157" t="e">
        <f>AND(#REF!,"AAAAAGf39w8=")</f>
        <v>#REF!</v>
      </c>
      <c r="Q157" t="e">
        <f>AND(#REF!,"AAAAAGf39xA=")</f>
        <v>#REF!</v>
      </c>
      <c r="R157" t="e">
        <f>AND(#REF!,"AAAAAGf39xE=")</f>
        <v>#REF!</v>
      </c>
      <c r="S157" t="e">
        <f>AND(#REF!,"AAAAAGf39xI=")</f>
        <v>#REF!</v>
      </c>
      <c r="T157" t="e">
        <f>AND(#REF!,"AAAAAGf39xM=")</f>
        <v>#REF!</v>
      </c>
      <c r="U157" t="e">
        <f>IF(#REF!,"AAAAAGf39xQ=",0)</f>
        <v>#REF!</v>
      </c>
      <c r="V157" t="e">
        <f>AND(#REF!,"AAAAAGf39xU=")</f>
        <v>#REF!</v>
      </c>
      <c r="W157" t="e">
        <f>AND(#REF!,"AAAAAGf39xY=")</f>
        <v>#REF!</v>
      </c>
      <c r="X157" t="e">
        <f>AND(#REF!,"AAAAAGf39xc=")</f>
        <v>#REF!</v>
      </c>
      <c r="Y157" t="e">
        <f>AND(#REF!,"AAAAAGf39xg=")</f>
        <v>#REF!</v>
      </c>
      <c r="Z157" t="e">
        <f>AND(#REF!,"AAAAAGf39xk=")</f>
        <v>#REF!</v>
      </c>
      <c r="AA157" t="e">
        <f>AND(#REF!,"AAAAAGf39xo=")</f>
        <v>#REF!</v>
      </c>
      <c r="AB157" t="e">
        <f>AND(#REF!,"AAAAAGf39xs=")</f>
        <v>#REF!</v>
      </c>
      <c r="AC157" t="e">
        <f>AND(#REF!,"AAAAAGf39xw=")</f>
        <v>#REF!</v>
      </c>
      <c r="AD157" t="e">
        <f>AND(#REF!,"AAAAAGf39x0=")</f>
        <v>#REF!</v>
      </c>
      <c r="AE157" t="e">
        <f>AND(#REF!,"AAAAAGf39x4=")</f>
        <v>#REF!</v>
      </c>
      <c r="AF157" t="e">
        <f>AND(#REF!,"AAAAAGf39x8=")</f>
        <v>#REF!</v>
      </c>
      <c r="AG157" t="e">
        <f>AND(#REF!,"AAAAAGf39yA=")</f>
        <v>#REF!</v>
      </c>
      <c r="AH157" t="e">
        <f>AND(#REF!,"AAAAAGf39yE=")</f>
        <v>#REF!</v>
      </c>
      <c r="AI157" t="e">
        <f>AND(#REF!,"AAAAAGf39yI=")</f>
        <v>#REF!</v>
      </c>
      <c r="AJ157" t="e">
        <f>AND(#REF!,"AAAAAGf39yM=")</f>
        <v>#REF!</v>
      </c>
      <c r="AK157" t="e">
        <f>AND(#REF!,"AAAAAGf39yQ=")</f>
        <v>#REF!</v>
      </c>
      <c r="AL157" t="e">
        <f>AND(#REF!,"AAAAAGf39yU=")</f>
        <v>#REF!</v>
      </c>
      <c r="AM157" t="e">
        <f>AND(#REF!,"AAAAAGf39yY=")</f>
        <v>#REF!</v>
      </c>
      <c r="AN157" t="e">
        <f>AND(#REF!,"AAAAAGf39yc=")</f>
        <v>#REF!</v>
      </c>
      <c r="AO157" t="e">
        <f>AND(#REF!,"AAAAAGf39yg=")</f>
        <v>#REF!</v>
      </c>
      <c r="AP157" t="e">
        <f>AND(#REF!,"AAAAAGf39yk=")</f>
        <v>#REF!</v>
      </c>
      <c r="AQ157" t="e">
        <f>IF(#REF!,"AAAAAGf39yo=",0)</f>
        <v>#REF!</v>
      </c>
      <c r="AR157" t="e">
        <f>AND(#REF!,"AAAAAGf39ys=")</f>
        <v>#REF!</v>
      </c>
      <c r="AS157" t="e">
        <f>AND(#REF!,"AAAAAGf39yw=")</f>
        <v>#REF!</v>
      </c>
      <c r="AT157" t="e">
        <f>AND(#REF!,"AAAAAGf39y0=")</f>
        <v>#REF!</v>
      </c>
      <c r="AU157" t="e">
        <f>AND(#REF!,"AAAAAGf39y4=")</f>
        <v>#REF!</v>
      </c>
      <c r="AV157" t="e">
        <f>AND(#REF!,"AAAAAGf39y8=")</f>
        <v>#REF!</v>
      </c>
      <c r="AW157" t="e">
        <f>AND(#REF!,"AAAAAGf39zA=")</f>
        <v>#REF!</v>
      </c>
      <c r="AX157" t="e">
        <f>AND(#REF!,"AAAAAGf39zE=")</f>
        <v>#REF!</v>
      </c>
      <c r="AY157" t="e">
        <f>AND(#REF!,"AAAAAGf39zI=")</f>
        <v>#REF!</v>
      </c>
      <c r="AZ157" t="e">
        <f>AND(#REF!,"AAAAAGf39zM=")</f>
        <v>#REF!</v>
      </c>
      <c r="BA157" t="e">
        <f>AND(#REF!,"AAAAAGf39zQ=")</f>
        <v>#REF!</v>
      </c>
      <c r="BB157" t="e">
        <f>AND(#REF!,"AAAAAGf39zU=")</f>
        <v>#REF!</v>
      </c>
      <c r="BC157" t="e">
        <f>AND(#REF!,"AAAAAGf39zY=")</f>
        <v>#REF!</v>
      </c>
      <c r="BD157" t="e">
        <f>AND(#REF!,"AAAAAGf39zc=")</f>
        <v>#REF!</v>
      </c>
      <c r="BE157" t="e">
        <f>AND(#REF!,"AAAAAGf39zg=")</f>
        <v>#REF!</v>
      </c>
      <c r="BF157" t="e">
        <f>AND(#REF!,"AAAAAGf39zk=")</f>
        <v>#REF!</v>
      </c>
      <c r="BG157" t="e">
        <f>AND(#REF!,"AAAAAGf39zo=")</f>
        <v>#REF!</v>
      </c>
      <c r="BH157" t="e">
        <f>AND(#REF!,"AAAAAGf39zs=")</f>
        <v>#REF!</v>
      </c>
      <c r="BI157" t="e">
        <f>AND(#REF!,"AAAAAGf39zw=")</f>
        <v>#REF!</v>
      </c>
      <c r="BJ157" t="e">
        <f>AND(#REF!,"AAAAAGf39z0=")</f>
        <v>#REF!</v>
      </c>
      <c r="BK157" t="e">
        <f>AND(#REF!,"AAAAAGf39z4=")</f>
        <v>#REF!</v>
      </c>
      <c r="BL157" t="e">
        <f>AND(#REF!,"AAAAAGf39z8=")</f>
        <v>#REF!</v>
      </c>
      <c r="BM157" t="e">
        <f>IF(#REF!,"AAAAAGf390A=",0)</f>
        <v>#REF!</v>
      </c>
      <c r="BN157" t="e">
        <f>AND(#REF!,"AAAAAGf390E=")</f>
        <v>#REF!</v>
      </c>
      <c r="BO157" t="e">
        <f>AND(#REF!,"AAAAAGf390I=")</f>
        <v>#REF!</v>
      </c>
      <c r="BP157" t="e">
        <f>AND(#REF!,"AAAAAGf390M=")</f>
        <v>#REF!</v>
      </c>
      <c r="BQ157" t="e">
        <f>AND(#REF!,"AAAAAGf390Q=")</f>
        <v>#REF!</v>
      </c>
      <c r="BR157" t="e">
        <f>AND(#REF!,"AAAAAGf390U=")</f>
        <v>#REF!</v>
      </c>
      <c r="BS157" t="e">
        <f>AND(#REF!,"AAAAAGf390Y=")</f>
        <v>#REF!</v>
      </c>
      <c r="BT157" t="e">
        <f>AND(#REF!,"AAAAAGf390c=")</f>
        <v>#REF!</v>
      </c>
      <c r="BU157" t="e">
        <f>AND(#REF!,"AAAAAGf390g=")</f>
        <v>#REF!</v>
      </c>
      <c r="BV157" t="e">
        <f>AND(#REF!,"AAAAAGf390k=")</f>
        <v>#REF!</v>
      </c>
      <c r="BW157" t="e">
        <f>AND(#REF!,"AAAAAGf390o=")</f>
        <v>#REF!</v>
      </c>
      <c r="BX157" t="e">
        <f>AND(#REF!,"AAAAAGf390s=")</f>
        <v>#REF!</v>
      </c>
      <c r="BY157" t="e">
        <f>AND(#REF!,"AAAAAGf390w=")</f>
        <v>#REF!</v>
      </c>
      <c r="BZ157" t="e">
        <f>AND(#REF!,"AAAAAGf3900=")</f>
        <v>#REF!</v>
      </c>
      <c r="CA157" t="e">
        <f>AND(#REF!,"AAAAAGf3904=")</f>
        <v>#REF!</v>
      </c>
      <c r="CB157" t="e">
        <f>AND(#REF!,"AAAAAGf3908=")</f>
        <v>#REF!</v>
      </c>
      <c r="CC157" t="e">
        <f>AND(#REF!,"AAAAAGf391A=")</f>
        <v>#REF!</v>
      </c>
      <c r="CD157" t="e">
        <f>AND(#REF!,"AAAAAGf391E=")</f>
        <v>#REF!</v>
      </c>
      <c r="CE157" t="e">
        <f>AND(#REF!,"AAAAAGf391I=")</f>
        <v>#REF!</v>
      </c>
      <c r="CF157" t="e">
        <f>AND(#REF!,"AAAAAGf391M=")</f>
        <v>#REF!</v>
      </c>
      <c r="CG157" t="e">
        <f>AND(#REF!,"AAAAAGf391Q=")</f>
        <v>#REF!</v>
      </c>
      <c r="CH157" t="e">
        <f>AND(#REF!,"AAAAAGf391U=")</f>
        <v>#REF!</v>
      </c>
      <c r="CI157" t="e">
        <f>IF(#REF!,"AAAAAGf391Y=",0)</f>
        <v>#REF!</v>
      </c>
      <c r="CJ157" t="e">
        <f>AND(#REF!,"AAAAAGf391c=")</f>
        <v>#REF!</v>
      </c>
      <c r="CK157" t="e">
        <f>AND(#REF!,"AAAAAGf391g=")</f>
        <v>#REF!</v>
      </c>
      <c r="CL157" t="e">
        <f>AND(#REF!,"AAAAAGf391k=")</f>
        <v>#REF!</v>
      </c>
      <c r="CM157" t="e">
        <f>AND(#REF!,"AAAAAGf391o=")</f>
        <v>#REF!</v>
      </c>
      <c r="CN157" t="e">
        <f>AND(#REF!,"AAAAAGf391s=")</f>
        <v>#REF!</v>
      </c>
      <c r="CO157" t="e">
        <f>AND(#REF!,"AAAAAGf391w=")</f>
        <v>#REF!</v>
      </c>
      <c r="CP157" t="e">
        <f>AND(#REF!,"AAAAAGf3910=")</f>
        <v>#REF!</v>
      </c>
      <c r="CQ157" t="e">
        <f>AND(#REF!,"AAAAAGf3914=")</f>
        <v>#REF!</v>
      </c>
      <c r="CR157" t="e">
        <f>AND(#REF!,"AAAAAGf3918=")</f>
        <v>#REF!</v>
      </c>
      <c r="CS157" t="e">
        <f>AND(#REF!,"AAAAAGf392A=")</f>
        <v>#REF!</v>
      </c>
      <c r="CT157" t="e">
        <f>AND(#REF!,"AAAAAGf392E=")</f>
        <v>#REF!</v>
      </c>
      <c r="CU157" t="e">
        <f>AND(#REF!,"AAAAAGf392I=")</f>
        <v>#REF!</v>
      </c>
      <c r="CV157" t="e">
        <f>AND(#REF!,"AAAAAGf392M=")</f>
        <v>#REF!</v>
      </c>
      <c r="CW157" t="e">
        <f>AND(#REF!,"AAAAAGf392Q=")</f>
        <v>#REF!</v>
      </c>
      <c r="CX157" t="e">
        <f>AND(#REF!,"AAAAAGf392U=")</f>
        <v>#REF!</v>
      </c>
      <c r="CY157" t="e">
        <f>AND(#REF!,"AAAAAGf392Y=")</f>
        <v>#REF!</v>
      </c>
      <c r="CZ157" t="e">
        <f>AND(#REF!,"AAAAAGf392c=")</f>
        <v>#REF!</v>
      </c>
      <c r="DA157" t="e">
        <f>AND(#REF!,"AAAAAGf392g=")</f>
        <v>#REF!</v>
      </c>
      <c r="DB157" t="e">
        <f>AND(#REF!,"AAAAAGf392k=")</f>
        <v>#REF!</v>
      </c>
      <c r="DC157" t="e">
        <f>AND(#REF!,"AAAAAGf392o=")</f>
        <v>#REF!</v>
      </c>
      <c r="DD157" t="e">
        <f>AND(#REF!,"AAAAAGf392s=")</f>
        <v>#REF!</v>
      </c>
      <c r="DE157" t="e">
        <f>IF(#REF!,"AAAAAGf392w=",0)</f>
        <v>#REF!</v>
      </c>
      <c r="DF157" t="e">
        <f>AND(#REF!,"AAAAAGf3920=")</f>
        <v>#REF!</v>
      </c>
      <c r="DG157" t="e">
        <f>AND(#REF!,"AAAAAGf3924=")</f>
        <v>#REF!</v>
      </c>
      <c r="DH157" t="e">
        <f>AND(#REF!,"AAAAAGf3928=")</f>
        <v>#REF!</v>
      </c>
      <c r="DI157" t="e">
        <f>AND(#REF!,"AAAAAGf393A=")</f>
        <v>#REF!</v>
      </c>
      <c r="DJ157" t="e">
        <f>AND(#REF!,"AAAAAGf393E=")</f>
        <v>#REF!</v>
      </c>
      <c r="DK157" t="e">
        <f>AND(#REF!,"AAAAAGf393I=")</f>
        <v>#REF!</v>
      </c>
      <c r="DL157" t="e">
        <f>AND(#REF!,"AAAAAGf393M=")</f>
        <v>#REF!</v>
      </c>
      <c r="DM157" t="e">
        <f>AND(#REF!,"AAAAAGf393Q=")</f>
        <v>#REF!</v>
      </c>
      <c r="DN157" t="e">
        <f>AND(#REF!,"AAAAAGf393U=")</f>
        <v>#REF!</v>
      </c>
      <c r="DO157" t="e">
        <f>AND(#REF!,"AAAAAGf393Y=")</f>
        <v>#REF!</v>
      </c>
      <c r="DP157" t="e">
        <f>AND(#REF!,"AAAAAGf393c=")</f>
        <v>#REF!</v>
      </c>
      <c r="DQ157" t="e">
        <f>AND(#REF!,"AAAAAGf393g=")</f>
        <v>#REF!</v>
      </c>
      <c r="DR157" t="e">
        <f>AND(#REF!,"AAAAAGf393k=")</f>
        <v>#REF!</v>
      </c>
      <c r="DS157" t="e">
        <f>AND(#REF!,"AAAAAGf393o=")</f>
        <v>#REF!</v>
      </c>
      <c r="DT157" t="e">
        <f>AND(#REF!,"AAAAAGf393s=")</f>
        <v>#REF!</v>
      </c>
      <c r="DU157" t="e">
        <f>AND(#REF!,"AAAAAGf393w=")</f>
        <v>#REF!</v>
      </c>
      <c r="DV157" t="e">
        <f>AND(#REF!,"AAAAAGf3930=")</f>
        <v>#REF!</v>
      </c>
      <c r="DW157" t="e">
        <f>AND(#REF!,"AAAAAGf3934=")</f>
        <v>#REF!</v>
      </c>
      <c r="DX157" t="e">
        <f>AND(#REF!,"AAAAAGf3938=")</f>
        <v>#REF!</v>
      </c>
      <c r="DY157" t="e">
        <f>AND(#REF!,"AAAAAGf394A=")</f>
        <v>#REF!</v>
      </c>
      <c r="DZ157" t="e">
        <f>AND(#REF!,"AAAAAGf394E=")</f>
        <v>#REF!</v>
      </c>
      <c r="EA157" t="e">
        <f>IF(#REF!,"AAAAAGf394I=",0)</f>
        <v>#REF!</v>
      </c>
      <c r="EB157" t="e">
        <f>AND(#REF!,"AAAAAGf394M=")</f>
        <v>#REF!</v>
      </c>
      <c r="EC157" t="e">
        <f>AND(#REF!,"AAAAAGf394Q=")</f>
        <v>#REF!</v>
      </c>
      <c r="ED157" t="e">
        <f>AND(#REF!,"AAAAAGf394U=")</f>
        <v>#REF!</v>
      </c>
      <c r="EE157" t="e">
        <f>AND(#REF!,"AAAAAGf394Y=")</f>
        <v>#REF!</v>
      </c>
      <c r="EF157" t="e">
        <f>AND(#REF!,"AAAAAGf394c=")</f>
        <v>#REF!</v>
      </c>
      <c r="EG157" t="e">
        <f>AND(#REF!,"AAAAAGf394g=")</f>
        <v>#REF!</v>
      </c>
      <c r="EH157" t="e">
        <f>AND(#REF!,"AAAAAGf394k=")</f>
        <v>#REF!</v>
      </c>
      <c r="EI157" t="e">
        <f>AND(#REF!,"AAAAAGf394o=")</f>
        <v>#REF!</v>
      </c>
      <c r="EJ157" t="e">
        <f>AND(#REF!,"AAAAAGf394s=")</f>
        <v>#REF!</v>
      </c>
      <c r="EK157" t="e">
        <f>AND(#REF!,"AAAAAGf394w=")</f>
        <v>#REF!</v>
      </c>
      <c r="EL157" t="e">
        <f>AND(#REF!,"AAAAAGf3940=")</f>
        <v>#REF!</v>
      </c>
      <c r="EM157" t="e">
        <f>AND(#REF!,"AAAAAGf3944=")</f>
        <v>#REF!</v>
      </c>
      <c r="EN157" t="e">
        <f>AND(#REF!,"AAAAAGf3948=")</f>
        <v>#REF!</v>
      </c>
      <c r="EO157" t="e">
        <f>AND(#REF!,"AAAAAGf395A=")</f>
        <v>#REF!</v>
      </c>
      <c r="EP157" t="e">
        <f>AND(#REF!,"AAAAAGf395E=")</f>
        <v>#REF!</v>
      </c>
      <c r="EQ157" t="e">
        <f>AND(#REF!,"AAAAAGf395I=")</f>
        <v>#REF!</v>
      </c>
      <c r="ER157" t="e">
        <f>AND(#REF!,"AAAAAGf395M=")</f>
        <v>#REF!</v>
      </c>
      <c r="ES157" t="e">
        <f>AND(#REF!,"AAAAAGf395Q=")</f>
        <v>#REF!</v>
      </c>
      <c r="ET157" t="e">
        <f>AND(#REF!,"AAAAAGf395U=")</f>
        <v>#REF!</v>
      </c>
      <c r="EU157" t="e">
        <f>AND(#REF!,"AAAAAGf395Y=")</f>
        <v>#REF!</v>
      </c>
      <c r="EV157" t="e">
        <f>AND(#REF!,"AAAAAGf395c=")</f>
        <v>#REF!</v>
      </c>
      <c r="EW157" t="e">
        <f>IF(#REF!,"AAAAAGf395g=",0)</f>
        <v>#REF!</v>
      </c>
      <c r="EX157" t="e">
        <f>AND(#REF!,"AAAAAGf395k=")</f>
        <v>#REF!</v>
      </c>
      <c r="EY157" t="e">
        <f>AND(#REF!,"AAAAAGf395o=")</f>
        <v>#REF!</v>
      </c>
      <c r="EZ157" t="e">
        <f>AND(#REF!,"AAAAAGf395s=")</f>
        <v>#REF!</v>
      </c>
      <c r="FA157" t="e">
        <f>AND(#REF!,"AAAAAGf395w=")</f>
        <v>#REF!</v>
      </c>
      <c r="FB157" t="e">
        <f>AND(#REF!,"AAAAAGf3950=")</f>
        <v>#REF!</v>
      </c>
      <c r="FC157" t="e">
        <f>AND(#REF!,"AAAAAGf3954=")</f>
        <v>#REF!</v>
      </c>
      <c r="FD157" t="e">
        <f>AND(#REF!,"AAAAAGf3958=")</f>
        <v>#REF!</v>
      </c>
      <c r="FE157" t="e">
        <f>AND(#REF!,"AAAAAGf396A=")</f>
        <v>#REF!</v>
      </c>
      <c r="FF157" t="e">
        <f>AND(#REF!,"AAAAAGf396E=")</f>
        <v>#REF!</v>
      </c>
      <c r="FG157" t="e">
        <f>AND(#REF!,"AAAAAGf396I=")</f>
        <v>#REF!</v>
      </c>
      <c r="FH157" t="e">
        <f>AND(#REF!,"AAAAAGf396M=")</f>
        <v>#REF!</v>
      </c>
      <c r="FI157" t="e">
        <f>AND(#REF!,"AAAAAGf396Q=")</f>
        <v>#REF!</v>
      </c>
      <c r="FJ157" t="e">
        <f>AND(#REF!,"AAAAAGf396U=")</f>
        <v>#REF!</v>
      </c>
      <c r="FK157" t="e">
        <f>AND(#REF!,"AAAAAGf396Y=")</f>
        <v>#REF!</v>
      </c>
      <c r="FL157" t="e">
        <f>AND(#REF!,"AAAAAGf396c=")</f>
        <v>#REF!</v>
      </c>
      <c r="FM157" t="e">
        <f>AND(#REF!,"AAAAAGf396g=")</f>
        <v>#REF!</v>
      </c>
      <c r="FN157" t="e">
        <f>AND(#REF!,"AAAAAGf396k=")</f>
        <v>#REF!</v>
      </c>
      <c r="FO157" t="e">
        <f>AND(#REF!,"AAAAAGf396o=")</f>
        <v>#REF!</v>
      </c>
      <c r="FP157" t="e">
        <f>AND(#REF!,"AAAAAGf396s=")</f>
        <v>#REF!</v>
      </c>
      <c r="FQ157" t="e">
        <f>AND(#REF!,"AAAAAGf396w=")</f>
        <v>#REF!</v>
      </c>
      <c r="FR157" t="e">
        <f>AND(#REF!,"AAAAAGf3960=")</f>
        <v>#REF!</v>
      </c>
      <c r="FS157" t="e">
        <f>IF(#REF!,"AAAAAGf3964=",0)</f>
        <v>#REF!</v>
      </c>
      <c r="FT157" t="e">
        <f>AND(#REF!,"AAAAAGf3968=")</f>
        <v>#REF!</v>
      </c>
      <c r="FU157" t="e">
        <f>AND(#REF!,"AAAAAGf397A=")</f>
        <v>#REF!</v>
      </c>
      <c r="FV157" t="e">
        <f>AND(#REF!,"AAAAAGf397E=")</f>
        <v>#REF!</v>
      </c>
      <c r="FW157" t="e">
        <f>AND(#REF!,"AAAAAGf397I=")</f>
        <v>#REF!</v>
      </c>
      <c r="FX157" t="e">
        <f>AND(#REF!,"AAAAAGf397M=")</f>
        <v>#REF!</v>
      </c>
      <c r="FY157" t="e">
        <f>AND(#REF!,"AAAAAGf397Q=")</f>
        <v>#REF!</v>
      </c>
      <c r="FZ157" t="e">
        <f>AND(#REF!,"AAAAAGf397U=")</f>
        <v>#REF!</v>
      </c>
      <c r="GA157" t="e">
        <f>AND(#REF!,"AAAAAGf397Y=")</f>
        <v>#REF!</v>
      </c>
      <c r="GB157" t="e">
        <f>AND(#REF!,"AAAAAGf397c=")</f>
        <v>#REF!</v>
      </c>
      <c r="GC157" t="e">
        <f>AND(#REF!,"AAAAAGf397g=")</f>
        <v>#REF!</v>
      </c>
      <c r="GD157" t="e">
        <f>AND(#REF!,"AAAAAGf397k=")</f>
        <v>#REF!</v>
      </c>
      <c r="GE157" t="e">
        <f>AND(#REF!,"AAAAAGf397o=")</f>
        <v>#REF!</v>
      </c>
      <c r="GF157" t="e">
        <f>AND(#REF!,"AAAAAGf397s=")</f>
        <v>#REF!</v>
      </c>
      <c r="GG157" t="e">
        <f>AND(#REF!,"AAAAAGf397w=")</f>
        <v>#REF!</v>
      </c>
      <c r="GH157" t="e">
        <f>AND(#REF!,"AAAAAGf3970=")</f>
        <v>#REF!</v>
      </c>
      <c r="GI157" t="e">
        <f>AND(#REF!,"AAAAAGf3974=")</f>
        <v>#REF!</v>
      </c>
      <c r="GJ157" t="e">
        <f>AND(#REF!,"AAAAAGf3978=")</f>
        <v>#REF!</v>
      </c>
      <c r="GK157" t="e">
        <f>AND(#REF!,"AAAAAGf398A=")</f>
        <v>#REF!</v>
      </c>
      <c r="GL157" t="e">
        <f>AND(#REF!,"AAAAAGf398E=")</f>
        <v>#REF!</v>
      </c>
      <c r="GM157" t="e">
        <f>AND(#REF!,"AAAAAGf398I=")</f>
        <v>#REF!</v>
      </c>
      <c r="GN157" t="e">
        <f>AND(#REF!,"AAAAAGf398M=")</f>
        <v>#REF!</v>
      </c>
      <c r="GO157" t="e">
        <f>IF(#REF!,"AAAAAGf398Q=",0)</f>
        <v>#REF!</v>
      </c>
      <c r="GP157" t="e">
        <f>AND(#REF!,"AAAAAGf398U=")</f>
        <v>#REF!</v>
      </c>
      <c r="GQ157" t="e">
        <f>AND(#REF!,"AAAAAGf398Y=")</f>
        <v>#REF!</v>
      </c>
      <c r="GR157" t="e">
        <f>AND(#REF!,"AAAAAGf398c=")</f>
        <v>#REF!</v>
      </c>
      <c r="GS157" t="e">
        <f>AND(#REF!,"AAAAAGf398g=")</f>
        <v>#REF!</v>
      </c>
      <c r="GT157" t="e">
        <f>AND(#REF!,"AAAAAGf398k=")</f>
        <v>#REF!</v>
      </c>
      <c r="GU157" t="e">
        <f>AND(#REF!,"AAAAAGf398o=")</f>
        <v>#REF!</v>
      </c>
      <c r="GV157" t="e">
        <f>AND(#REF!,"AAAAAGf398s=")</f>
        <v>#REF!</v>
      </c>
      <c r="GW157" t="e">
        <f>AND(#REF!,"AAAAAGf398w=")</f>
        <v>#REF!</v>
      </c>
      <c r="GX157" t="e">
        <f>AND(#REF!,"AAAAAGf3980=")</f>
        <v>#REF!</v>
      </c>
      <c r="GY157" t="e">
        <f>AND(#REF!,"AAAAAGf3984=")</f>
        <v>#REF!</v>
      </c>
      <c r="GZ157" t="e">
        <f>AND(#REF!,"AAAAAGf3988=")</f>
        <v>#REF!</v>
      </c>
      <c r="HA157" t="e">
        <f>AND(#REF!,"AAAAAGf399A=")</f>
        <v>#REF!</v>
      </c>
      <c r="HB157" t="e">
        <f>AND(#REF!,"AAAAAGf399E=")</f>
        <v>#REF!</v>
      </c>
      <c r="HC157" t="e">
        <f>AND(#REF!,"AAAAAGf399I=")</f>
        <v>#REF!</v>
      </c>
      <c r="HD157" t="e">
        <f>AND(#REF!,"AAAAAGf399M=")</f>
        <v>#REF!</v>
      </c>
      <c r="HE157" t="e">
        <f>AND(#REF!,"AAAAAGf399Q=")</f>
        <v>#REF!</v>
      </c>
      <c r="HF157" t="e">
        <f>AND(#REF!,"AAAAAGf399U=")</f>
        <v>#REF!</v>
      </c>
      <c r="HG157" t="e">
        <f>AND(#REF!,"AAAAAGf399Y=")</f>
        <v>#REF!</v>
      </c>
      <c r="HH157" t="e">
        <f>AND(#REF!,"AAAAAGf399c=")</f>
        <v>#REF!</v>
      </c>
      <c r="HI157" t="e">
        <f>AND(#REF!,"AAAAAGf399g=")</f>
        <v>#REF!</v>
      </c>
      <c r="HJ157" t="e">
        <f>AND(#REF!,"AAAAAGf399k=")</f>
        <v>#REF!</v>
      </c>
      <c r="HK157" t="e">
        <f>IF(#REF!,"AAAAAGf399o=",0)</f>
        <v>#REF!</v>
      </c>
      <c r="HL157" t="e">
        <f>AND(#REF!,"AAAAAGf399s=")</f>
        <v>#REF!</v>
      </c>
      <c r="HM157" t="e">
        <f>AND(#REF!,"AAAAAGf399w=")</f>
        <v>#REF!</v>
      </c>
      <c r="HN157" t="e">
        <f>AND(#REF!,"AAAAAGf3990=")</f>
        <v>#REF!</v>
      </c>
      <c r="HO157" t="e">
        <f>AND(#REF!,"AAAAAGf3994=")</f>
        <v>#REF!</v>
      </c>
      <c r="HP157" t="e">
        <f>AND(#REF!,"AAAAAGf3998=")</f>
        <v>#REF!</v>
      </c>
      <c r="HQ157" t="e">
        <f>AND(#REF!,"AAAAAGf39+A=")</f>
        <v>#REF!</v>
      </c>
      <c r="HR157" t="e">
        <f>AND(#REF!,"AAAAAGf39+E=")</f>
        <v>#REF!</v>
      </c>
      <c r="HS157" t="e">
        <f>AND(#REF!,"AAAAAGf39+I=")</f>
        <v>#REF!</v>
      </c>
      <c r="HT157" t="e">
        <f>AND(#REF!,"AAAAAGf39+M=")</f>
        <v>#REF!</v>
      </c>
      <c r="HU157" t="e">
        <f>AND(#REF!,"AAAAAGf39+Q=")</f>
        <v>#REF!</v>
      </c>
      <c r="HV157" t="e">
        <f>AND(#REF!,"AAAAAGf39+U=")</f>
        <v>#REF!</v>
      </c>
      <c r="HW157" t="e">
        <f>AND(#REF!,"AAAAAGf39+Y=")</f>
        <v>#REF!</v>
      </c>
      <c r="HX157" t="e">
        <f>AND(#REF!,"AAAAAGf39+c=")</f>
        <v>#REF!</v>
      </c>
      <c r="HY157" t="e">
        <f>AND(#REF!,"AAAAAGf39+g=")</f>
        <v>#REF!</v>
      </c>
      <c r="HZ157" t="e">
        <f>AND(#REF!,"AAAAAGf39+k=")</f>
        <v>#REF!</v>
      </c>
      <c r="IA157" t="e">
        <f>AND(#REF!,"AAAAAGf39+o=")</f>
        <v>#REF!</v>
      </c>
      <c r="IB157" t="e">
        <f>AND(#REF!,"AAAAAGf39+s=")</f>
        <v>#REF!</v>
      </c>
      <c r="IC157" t="e">
        <f>AND(#REF!,"AAAAAGf39+w=")</f>
        <v>#REF!</v>
      </c>
      <c r="ID157" t="e">
        <f>AND(#REF!,"AAAAAGf39+0=")</f>
        <v>#REF!</v>
      </c>
      <c r="IE157" t="e">
        <f>AND(#REF!,"AAAAAGf39+4=")</f>
        <v>#REF!</v>
      </c>
      <c r="IF157" t="e">
        <f>AND(#REF!,"AAAAAGf39+8=")</f>
        <v>#REF!</v>
      </c>
      <c r="IG157" t="e">
        <f>IF(#REF!,"AAAAAGf39/A=",0)</f>
        <v>#REF!</v>
      </c>
      <c r="IH157" t="e">
        <f>AND(#REF!,"AAAAAGf39/E=")</f>
        <v>#REF!</v>
      </c>
      <c r="II157" t="e">
        <f>AND(#REF!,"AAAAAGf39/I=")</f>
        <v>#REF!</v>
      </c>
      <c r="IJ157" t="e">
        <f>AND(#REF!,"AAAAAGf39/M=")</f>
        <v>#REF!</v>
      </c>
      <c r="IK157" t="e">
        <f>AND(#REF!,"AAAAAGf39/Q=")</f>
        <v>#REF!</v>
      </c>
      <c r="IL157" t="e">
        <f>AND(#REF!,"AAAAAGf39/U=")</f>
        <v>#REF!</v>
      </c>
      <c r="IM157" t="e">
        <f>AND(#REF!,"AAAAAGf39/Y=")</f>
        <v>#REF!</v>
      </c>
      <c r="IN157" t="e">
        <f>AND(#REF!,"AAAAAGf39/c=")</f>
        <v>#REF!</v>
      </c>
      <c r="IO157" t="e">
        <f>AND(#REF!,"AAAAAGf39/g=")</f>
        <v>#REF!</v>
      </c>
      <c r="IP157" t="e">
        <f>AND(#REF!,"AAAAAGf39/k=")</f>
        <v>#REF!</v>
      </c>
      <c r="IQ157" t="e">
        <f>AND(#REF!,"AAAAAGf39/o=")</f>
        <v>#REF!</v>
      </c>
      <c r="IR157" t="e">
        <f>AND(#REF!,"AAAAAGf39/s=")</f>
        <v>#REF!</v>
      </c>
      <c r="IS157" t="e">
        <f>AND(#REF!,"AAAAAGf39/w=")</f>
        <v>#REF!</v>
      </c>
      <c r="IT157" t="e">
        <f>AND(#REF!,"AAAAAGf39/0=")</f>
        <v>#REF!</v>
      </c>
      <c r="IU157" t="e">
        <f>AND(#REF!,"AAAAAGf39/4=")</f>
        <v>#REF!</v>
      </c>
      <c r="IV157" t="e">
        <f>AND(#REF!,"AAAAAGf39/8=")</f>
        <v>#REF!</v>
      </c>
    </row>
    <row r="158" spans="1:256" x14ac:dyDescent="0.25">
      <c r="A158" t="e">
        <f>AND(#REF!,"AAAAAEv37AA=")</f>
        <v>#REF!</v>
      </c>
      <c r="B158" t="e">
        <f>AND(#REF!,"AAAAAEv37AE=")</f>
        <v>#REF!</v>
      </c>
      <c r="C158" t="e">
        <f>AND(#REF!,"AAAAAEv37AI=")</f>
        <v>#REF!</v>
      </c>
      <c r="D158" t="e">
        <f>AND(#REF!,"AAAAAEv37AM=")</f>
        <v>#REF!</v>
      </c>
      <c r="E158" t="e">
        <f>AND(#REF!,"AAAAAEv37AQ=")</f>
        <v>#REF!</v>
      </c>
      <c r="F158" t="e">
        <f>AND(#REF!,"AAAAAEv37AU=")</f>
        <v>#REF!</v>
      </c>
      <c r="G158" t="e">
        <f>IF(#REF!,"AAAAAEv37AY=",0)</f>
        <v>#REF!</v>
      </c>
      <c r="H158" t="e">
        <f>AND(#REF!,"AAAAAEv37Ac=")</f>
        <v>#REF!</v>
      </c>
      <c r="I158" t="e">
        <f>AND(#REF!,"AAAAAEv37Ag=")</f>
        <v>#REF!</v>
      </c>
      <c r="J158" t="e">
        <f>AND(#REF!,"AAAAAEv37Ak=")</f>
        <v>#REF!</v>
      </c>
      <c r="K158" t="e">
        <f>AND(#REF!,"AAAAAEv37Ao=")</f>
        <v>#REF!</v>
      </c>
      <c r="L158" t="e">
        <f>AND(#REF!,"AAAAAEv37As=")</f>
        <v>#REF!</v>
      </c>
      <c r="M158" t="e">
        <f>AND(#REF!,"AAAAAEv37Aw=")</f>
        <v>#REF!</v>
      </c>
      <c r="N158" t="e">
        <f>AND(#REF!,"AAAAAEv37A0=")</f>
        <v>#REF!</v>
      </c>
      <c r="O158" t="e">
        <f>AND(#REF!,"AAAAAEv37A4=")</f>
        <v>#REF!</v>
      </c>
      <c r="P158" t="e">
        <f>AND(#REF!,"AAAAAEv37A8=")</f>
        <v>#REF!</v>
      </c>
      <c r="Q158" t="e">
        <f>AND(#REF!,"AAAAAEv37BA=")</f>
        <v>#REF!</v>
      </c>
      <c r="R158" t="e">
        <f>AND(#REF!,"AAAAAEv37BE=")</f>
        <v>#REF!</v>
      </c>
      <c r="S158" t="e">
        <f>AND(#REF!,"AAAAAEv37BI=")</f>
        <v>#REF!</v>
      </c>
      <c r="T158" t="e">
        <f>AND(#REF!,"AAAAAEv37BM=")</f>
        <v>#REF!</v>
      </c>
      <c r="U158" t="e">
        <f>AND(#REF!,"AAAAAEv37BQ=")</f>
        <v>#REF!</v>
      </c>
      <c r="V158" t="e">
        <f>AND(#REF!,"AAAAAEv37BU=")</f>
        <v>#REF!</v>
      </c>
      <c r="W158" t="e">
        <f>AND(#REF!,"AAAAAEv37BY=")</f>
        <v>#REF!</v>
      </c>
      <c r="X158" t="e">
        <f>AND(#REF!,"AAAAAEv37Bc=")</f>
        <v>#REF!</v>
      </c>
      <c r="Y158" t="e">
        <f>AND(#REF!,"AAAAAEv37Bg=")</f>
        <v>#REF!</v>
      </c>
      <c r="Z158" t="e">
        <f>AND(#REF!,"AAAAAEv37Bk=")</f>
        <v>#REF!</v>
      </c>
      <c r="AA158" t="e">
        <f>AND(#REF!,"AAAAAEv37Bo=")</f>
        <v>#REF!</v>
      </c>
      <c r="AB158" t="e">
        <f>AND(#REF!,"AAAAAEv37Bs=")</f>
        <v>#REF!</v>
      </c>
      <c r="AC158" t="e">
        <f>IF(#REF!,"AAAAAEv37Bw=",0)</f>
        <v>#REF!</v>
      </c>
      <c r="AD158" t="e">
        <f>AND(#REF!,"AAAAAEv37B0=")</f>
        <v>#REF!</v>
      </c>
      <c r="AE158" t="e">
        <f>AND(#REF!,"AAAAAEv37B4=")</f>
        <v>#REF!</v>
      </c>
      <c r="AF158" t="e">
        <f>AND(#REF!,"AAAAAEv37B8=")</f>
        <v>#REF!</v>
      </c>
      <c r="AG158" t="e">
        <f>AND(#REF!,"AAAAAEv37CA=")</f>
        <v>#REF!</v>
      </c>
      <c r="AH158" t="e">
        <f>AND(#REF!,"AAAAAEv37CE=")</f>
        <v>#REF!</v>
      </c>
      <c r="AI158" t="e">
        <f>AND(#REF!,"AAAAAEv37CI=")</f>
        <v>#REF!</v>
      </c>
      <c r="AJ158" t="e">
        <f>AND(#REF!,"AAAAAEv37CM=")</f>
        <v>#REF!</v>
      </c>
      <c r="AK158" t="e">
        <f>AND(#REF!,"AAAAAEv37CQ=")</f>
        <v>#REF!</v>
      </c>
      <c r="AL158" t="e">
        <f>AND(#REF!,"AAAAAEv37CU=")</f>
        <v>#REF!</v>
      </c>
      <c r="AM158" t="e">
        <f>AND(#REF!,"AAAAAEv37CY=")</f>
        <v>#REF!</v>
      </c>
      <c r="AN158" t="e">
        <f>AND(#REF!,"AAAAAEv37Cc=")</f>
        <v>#REF!</v>
      </c>
      <c r="AO158" t="e">
        <f>AND(#REF!,"AAAAAEv37Cg=")</f>
        <v>#REF!</v>
      </c>
      <c r="AP158" t="e">
        <f>AND(#REF!,"AAAAAEv37Ck=")</f>
        <v>#REF!</v>
      </c>
      <c r="AQ158" t="e">
        <f>AND(#REF!,"AAAAAEv37Co=")</f>
        <v>#REF!</v>
      </c>
      <c r="AR158" t="e">
        <f>AND(#REF!,"AAAAAEv37Cs=")</f>
        <v>#REF!</v>
      </c>
      <c r="AS158" t="e">
        <f>AND(#REF!,"AAAAAEv37Cw=")</f>
        <v>#REF!</v>
      </c>
      <c r="AT158" t="e">
        <f>AND(#REF!,"AAAAAEv37C0=")</f>
        <v>#REF!</v>
      </c>
      <c r="AU158" t="e">
        <f>AND(#REF!,"AAAAAEv37C4=")</f>
        <v>#REF!</v>
      </c>
      <c r="AV158" t="e">
        <f>AND(#REF!,"AAAAAEv37C8=")</f>
        <v>#REF!</v>
      </c>
      <c r="AW158" t="e">
        <f>AND(#REF!,"AAAAAEv37DA=")</f>
        <v>#REF!</v>
      </c>
      <c r="AX158" t="e">
        <f>AND(#REF!,"AAAAAEv37DE=")</f>
        <v>#REF!</v>
      </c>
      <c r="AY158" t="e">
        <f>IF(#REF!,"AAAAAEv37DI=",0)</f>
        <v>#REF!</v>
      </c>
      <c r="AZ158" t="e">
        <f>AND(#REF!,"AAAAAEv37DM=")</f>
        <v>#REF!</v>
      </c>
      <c r="BA158" t="e">
        <f>AND(#REF!,"AAAAAEv37DQ=")</f>
        <v>#REF!</v>
      </c>
      <c r="BB158" t="e">
        <f>AND(#REF!,"AAAAAEv37DU=")</f>
        <v>#REF!</v>
      </c>
      <c r="BC158" t="e">
        <f>AND(#REF!,"AAAAAEv37DY=")</f>
        <v>#REF!</v>
      </c>
      <c r="BD158" t="e">
        <f>AND(#REF!,"AAAAAEv37Dc=")</f>
        <v>#REF!</v>
      </c>
      <c r="BE158" t="e">
        <f>AND(#REF!,"AAAAAEv37Dg=")</f>
        <v>#REF!</v>
      </c>
      <c r="BF158" t="e">
        <f>AND(#REF!,"AAAAAEv37Dk=")</f>
        <v>#REF!</v>
      </c>
      <c r="BG158" t="e">
        <f>AND(#REF!,"AAAAAEv37Do=")</f>
        <v>#REF!</v>
      </c>
      <c r="BH158" t="e">
        <f>AND(#REF!,"AAAAAEv37Ds=")</f>
        <v>#REF!</v>
      </c>
      <c r="BI158" t="e">
        <f>AND(#REF!,"AAAAAEv37Dw=")</f>
        <v>#REF!</v>
      </c>
      <c r="BJ158" t="e">
        <f>AND(#REF!,"AAAAAEv37D0=")</f>
        <v>#REF!</v>
      </c>
      <c r="BK158" t="e">
        <f>AND(#REF!,"AAAAAEv37D4=")</f>
        <v>#REF!</v>
      </c>
      <c r="BL158" t="e">
        <f>AND(#REF!,"AAAAAEv37D8=")</f>
        <v>#REF!</v>
      </c>
      <c r="BM158" t="e">
        <f>AND(#REF!,"AAAAAEv37EA=")</f>
        <v>#REF!</v>
      </c>
      <c r="BN158" t="e">
        <f>AND(#REF!,"AAAAAEv37EE=")</f>
        <v>#REF!</v>
      </c>
      <c r="BO158" t="e">
        <f>AND(#REF!,"AAAAAEv37EI=")</f>
        <v>#REF!</v>
      </c>
      <c r="BP158" t="e">
        <f>AND(#REF!,"AAAAAEv37EM=")</f>
        <v>#REF!</v>
      </c>
      <c r="BQ158" t="e">
        <f>AND(#REF!,"AAAAAEv37EQ=")</f>
        <v>#REF!</v>
      </c>
      <c r="BR158" t="e">
        <f>AND(#REF!,"AAAAAEv37EU=")</f>
        <v>#REF!</v>
      </c>
      <c r="BS158" t="e">
        <f>AND(#REF!,"AAAAAEv37EY=")</f>
        <v>#REF!</v>
      </c>
      <c r="BT158" t="e">
        <f>AND(#REF!,"AAAAAEv37Ec=")</f>
        <v>#REF!</v>
      </c>
      <c r="BU158" t="e">
        <f>IF(#REF!,"AAAAAEv37Eg=",0)</f>
        <v>#REF!</v>
      </c>
      <c r="BV158" t="e">
        <f>AND(#REF!,"AAAAAEv37Ek=")</f>
        <v>#REF!</v>
      </c>
      <c r="BW158" t="e">
        <f>AND(#REF!,"AAAAAEv37Eo=")</f>
        <v>#REF!</v>
      </c>
      <c r="BX158" t="e">
        <f>AND(#REF!,"AAAAAEv37Es=")</f>
        <v>#REF!</v>
      </c>
      <c r="BY158" t="e">
        <f>AND(#REF!,"AAAAAEv37Ew=")</f>
        <v>#REF!</v>
      </c>
      <c r="BZ158" t="e">
        <f>AND(#REF!,"AAAAAEv37E0=")</f>
        <v>#REF!</v>
      </c>
      <c r="CA158" t="e">
        <f>AND(#REF!,"AAAAAEv37E4=")</f>
        <v>#REF!</v>
      </c>
      <c r="CB158" t="e">
        <f>AND(#REF!,"AAAAAEv37E8=")</f>
        <v>#REF!</v>
      </c>
      <c r="CC158" t="e">
        <f>AND(#REF!,"AAAAAEv37FA=")</f>
        <v>#REF!</v>
      </c>
      <c r="CD158" t="e">
        <f>AND(#REF!,"AAAAAEv37FE=")</f>
        <v>#REF!</v>
      </c>
      <c r="CE158" t="e">
        <f>AND(#REF!,"AAAAAEv37FI=")</f>
        <v>#REF!</v>
      </c>
      <c r="CF158" t="e">
        <f>AND(#REF!,"AAAAAEv37FM=")</f>
        <v>#REF!</v>
      </c>
      <c r="CG158" t="e">
        <f>AND(#REF!,"AAAAAEv37FQ=")</f>
        <v>#REF!</v>
      </c>
      <c r="CH158" t="e">
        <f>AND(#REF!,"AAAAAEv37FU=")</f>
        <v>#REF!</v>
      </c>
      <c r="CI158" t="e">
        <f>AND(#REF!,"AAAAAEv37FY=")</f>
        <v>#REF!</v>
      </c>
      <c r="CJ158" t="e">
        <f>AND(#REF!,"AAAAAEv37Fc=")</f>
        <v>#REF!</v>
      </c>
      <c r="CK158" t="e">
        <f>AND(#REF!,"AAAAAEv37Fg=")</f>
        <v>#REF!</v>
      </c>
      <c r="CL158" t="e">
        <f>AND(#REF!,"AAAAAEv37Fk=")</f>
        <v>#REF!</v>
      </c>
      <c r="CM158" t="e">
        <f>AND(#REF!,"AAAAAEv37Fo=")</f>
        <v>#REF!</v>
      </c>
      <c r="CN158" t="e">
        <f>AND(#REF!,"AAAAAEv37Fs=")</f>
        <v>#REF!</v>
      </c>
      <c r="CO158" t="e">
        <f>AND(#REF!,"AAAAAEv37Fw=")</f>
        <v>#REF!</v>
      </c>
      <c r="CP158" t="e">
        <f>AND(#REF!,"AAAAAEv37F0=")</f>
        <v>#REF!</v>
      </c>
      <c r="CQ158" t="e">
        <f>IF(#REF!,"AAAAAEv37F4=",0)</f>
        <v>#REF!</v>
      </c>
      <c r="CR158" t="e">
        <f>IF(#REF!,"AAAAAEv37F8=",0)</f>
        <v>#REF!</v>
      </c>
      <c r="CS158" t="e">
        <f>IF(#REF!,"AAAAAEv37GA=",0)</f>
        <v>#REF!</v>
      </c>
      <c r="CT158" t="e">
        <f>IF(#REF!,"AAAAAEv37GE=",0)</f>
        <v>#REF!</v>
      </c>
      <c r="CU158" t="e">
        <f>IF(#REF!,"AAAAAEv37GI=",0)</f>
        <v>#REF!</v>
      </c>
      <c r="CV158" t="e">
        <f>IF(#REF!,"AAAAAEv37GM=",0)</f>
        <v>#REF!</v>
      </c>
      <c r="CW158" t="e">
        <f>IF(#REF!,"AAAAAEv37GQ=",0)</f>
        <v>#REF!</v>
      </c>
      <c r="CX158" t="e">
        <f>IF(#REF!,"AAAAAEv37GU=",0)</f>
        <v>#REF!</v>
      </c>
      <c r="CY158" t="e">
        <f>IF(#REF!,"AAAAAEv37GY=",0)</f>
        <v>#REF!</v>
      </c>
      <c r="CZ158" t="e">
        <f>IF(#REF!,"AAAAAEv37Gc=",0)</f>
        <v>#REF!</v>
      </c>
      <c r="DA158" t="e">
        <f>IF(#REF!,"AAAAAEv37Gg=",0)</f>
        <v>#REF!</v>
      </c>
      <c r="DB158" t="e">
        <f>IF(#REF!,"AAAAAEv37Gk=",0)</f>
        <v>#REF!</v>
      </c>
      <c r="DC158" t="e">
        <f>IF(#REF!,"AAAAAEv37Go=",0)</f>
        <v>#REF!</v>
      </c>
      <c r="DD158" t="e">
        <f>IF(#REF!,"AAAAAEv37Gs=",0)</f>
        <v>#REF!</v>
      </c>
      <c r="DE158" t="e">
        <f>IF(#REF!,"AAAAAEv37Gw=",0)</f>
        <v>#REF!</v>
      </c>
      <c r="DF158" t="e">
        <f>IF(#REF!,"AAAAAEv37G0=",0)</f>
        <v>#REF!</v>
      </c>
      <c r="DG158" t="e">
        <f>IF(#REF!,"AAAAAEv37G4=",0)</f>
        <v>#REF!</v>
      </c>
      <c r="DH158" t="e">
        <f>IF(#REF!,"AAAAAEv37G8=",0)</f>
        <v>#REF!</v>
      </c>
      <c r="DI158" t="e">
        <f>IF(#REF!,"AAAAAEv37HA=",0)</f>
        <v>#REF!</v>
      </c>
      <c r="DJ158" t="e">
        <f>IF(#REF!,"AAAAAEv37HE=",0)</f>
        <v>#REF!</v>
      </c>
      <c r="DK158" t="e">
        <f>IF(#REF!,"AAAAAEv37HI=",0)</f>
        <v>#REF!</v>
      </c>
      <c r="DL158" t="e">
        <f>IF(#REF!,"AAAAAEv37HM=",0)</f>
        <v>#REF!</v>
      </c>
      <c r="DM158" t="e">
        <f>AND(#REF!,"AAAAAEv37HQ=")</f>
        <v>#REF!</v>
      </c>
      <c r="DN158" t="e">
        <f>AND(#REF!,"AAAAAEv37HU=")</f>
        <v>#REF!</v>
      </c>
      <c r="DO158" t="e">
        <f>AND(#REF!,"AAAAAEv37HY=")</f>
        <v>#REF!</v>
      </c>
      <c r="DP158" t="e">
        <f>AND(#REF!,"AAAAAEv37Hc=")</f>
        <v>#REF!</v>
      </c>
      <c r="DQ158" t="e">
        <f>AND(#REF!,"AAAAAEv37Hg=")</f>
        <v>#REF!</v>
      </c>
      <c r="DR158" t="e">
        <f>AND(#REF!,"AAAAAEv37Hk=")</f>
        <v>#REF!</v>
      </c>
      <c r="DS158" t="e">
        <f>AND(#REF!,"AAAAAEv37Ho=")</f>
        <v>#REF!</v>
      </c>
      <c r="DT158" t="e">
        <f>AND(#REF!,"AAAAAEv37Hs=")</f>
        <v>#REF!</v>
      </c>
      <c r="DU158" t="e">
        <f>AND(#REF!,"AAAAAEv37Hw=")</f>
        <v>#REF!</v>
      </c>
      <c r="DV158" t="e">
        <f>AND(#REF!,"AAAAAEv37H0=")</f>
        <v>#REF!</v>
      </c>
      <c r="DW158" t="e">
        <f>AND(#REF!,"AAAAAEv37H4=")</f>
        <v>#REF!</v>
      </c>
      <c r="DX158" t="e">
        <f>AND(#REF!,"AAAAAEv37H8=")</f>
        <v>#REF!</v>
      </c>
      <c r="DY158" t="e">
        <f>AND(#REF!,"AAAAAEv37IA=")</f>
        <v>#REF!</v>
      </c>
      <c r="DZ158" t="e">
        <f>AND(#REF!,"AAAAAEv37IE=")</f>
        <v>#REF!</v>
      </c>
      <c r="EA158" t="e">
        <f>AND(#REF!,"AAAAAEv37II=")</f>
        <v>#REF!</v>
      </c>
      <c r="EB158" t="e">
        <f>AND(#REF!,"AAAAAEv37IM=")</f>
        <v>#REF!</v>
      </c>
      <c r="EC158" t="e">
        <f>AND(#REF!,"AAAAAEv37IQ=")</f>
        <v>#REF!</v>
      </c>
      <c r="ED158" t="e">
        <f>AND(#REF!,"AAAAAEv37IU=")</f>
        <v>#REF!</v>
      </c>
      <c r="EE158" t="e">
        <f>AND(#REF!,"AAAAAEv37IY=")</f>
        <v>#REF!</v>
      </c>
      <c r="EF158" t="e">
        <f>AND(#REF!,"AAAAAEv37Ic=")</f>
        <v>#REF!</v>
      </c>
      <c r="EG158" t="e">
        <f>AND(#REF!,"AAAAAEv37Ig=")</f>
        <v>#REF!</v>
      </c>
      <c r="EH158" t="e">
        <f>IF(#REF!,"AAAAAEv37Ik=",0)</f>
        <v>#REF!</v>
      </c>
      <c r="EI158" t="e">
        <f>AND(#REF!,"AAAAAEv37Io=")</f>
        <v>#REF!</v>
      </c>
      <c r="EJ158" t="e">
        <f>AND(#REF!,"AAAAAEv37Is=")</f>
        <v>#REF!</v>
      </c>
      <c r="EK158" t="e">
        <f>AND(#REF!,"AAAAAEv37Iw=")</f>
        <v>#REF!</v>
      </c>
      <c r="EL158" t="e">
        <f>AND(#REF!,"AAAAAEv37I0=")</f>
        <v>#REF!</v>
      </c>
      <c r="EM158" t="e">
        <f>AND(#REF!,"AAAAAEv37I4=")</f>
        <v>#REF!</v>
      </c>
      <c r="EN158" t="e">
        <f>AND(#REF!,"AAAAAEv37I8=")</f>
        <v>#REF!</v>
      </c>
      <c r="EO158" t="e">
        <f>AND(#REF!,"AAAAAEv37JA=")</f>
        <v>#REF!</v>
      </c>
      <c r="EP158" t="e">
        <f>AND(#REF!,"AAAAAEv37JE=")</f>
        <v>#REF!</v>
      </c>
      <c r="EQ158" t="e">
        <f>AND(#REF!,"AAAAAEv37JI=")</f>
        <v>#REF!</v>
      </c>
      <c r="ER158" t="e">
        <f>AND(#REF!,"AAAAAEv37JM=")</f>
        <v>#REF!</v>
      </c>
      <c r="ES158" t="e">
        <f>AND(#REF!,"AAAAAEv37JQ=")</f>
        <v>#REF!</v>
      </c>
      <c r="ET158" t="e">
        <f>AND(#REF!,"AAAAAEv37JU=")</f>
        <v>#REF!</v>
      </c>
      <c r="EU158" t="e">
        <f>AND(#REF!,"AAAAAEv37JY=")</f>
        <v>#REF!</v>
      </c>
      <c r="EV158" t="e">
        <f>AND(#REF!,"AAAAAEv37Jc=")</f>
        <v>#REF!</v>
      </c>
      <c r="EW158" t="e">
        <f>AND(#REF!,"AAAAAEv37Jg=")</f>
        <v>#REF!</v>
      </c>
      <c r="EX158" t="e">
        <f>AND(#REF!,"AAAAAEv37Jk=")</f>
        <v>#REF!</v>
      </c>
      <c r="EY158" t="e">
        <f>AND(#REF!,"AAAAAEv37Jo=")</f>
        <v>#REF!</v>
      </c>
      <c r="EZ158" t="e">
        <f>AND(#REF!,"AAAAAEv37Js=")</f>
        <v>#REF!</v>
      </c>
      <c r="FA158" t="e">
        <f>AND(#REF!,"AAAAAEv37Jw=")</f>
        <v>#REF!</v>
      </c>
      <c r="FB158" t="e">
        <f>AND(#REF!,"AAAAAEv37J0=")</f>
        <v>#REF!</v>
      </c>
      <c r="FC158" t="e">
        <f>AND(#REF!,"AAAAAEv37J4=")</f>
        <v>#REF!</v>
      </c>
      <c r="FD158" t="e">
        <f>IF(#REF!,"AAAAAEv37J8=",0)</f>
        <v>#REF!</v>
      </c>
      <c r="FE158" t="e">
        <f>AND(#REF!,"AAAAAEv37KA=")</f>
        <v>#REF!</v>
      </c>
      <c r="FF158" t="e">
        <f>AND(#REF!,"AAAAAEv37KE=")</f>
        <v>#REF!</v>
      </c>
      <c r="FG158" t="e">
        <f>AND(#REF!,"AAAAAEv37KI=")</f>
        <v>#REF!</v>
      </c>
      <c r="FH158" t="e">
        <f>AND(#REF!,"AAAAAEv37KM=")</f>
        <v>#REF!</v>
      </c>
      <c r="FI158" t="e">
        <f>AND(#REF!,"AAAAAEv37KQ=")</f>
        <v>#REF!</v>
      </c>
      <c r="FJ158" t="e">
        <f>AND(#REF!,"AAAAAEv37KU=")</f>
        <v>#REF!</v>
      </c>
      <c r="FK158" t="e">
        <f>AND(#REF!,"AAAAAEv37KY=")</f>
        <v>#REF!</v>
      </c>
      <c r="FL158" t="e">
        <f>AND(#REF!,"AAAAAEv37Kc=")</f>
        <v>#REF!</v>
      </c>
      <c r="FM158" t="e">
        <f>AND(#REF!,"AAAAAEv37Kg=")</f>
        <v>#REF!</v>
      </c>
      <c r="FN158" t="e">
        <f>AND(#REF!,"AAAAAEv37Kk=")</f>
        <v>#REF!</v>
      </c>
      <c r="FO158" t="e">
        <f>AND(#REF!,"AAAAAEv37Ko=")</f>
        <v>#REF!</v>
      </c>
      <c r="FP158" t="e">
        <f>AND(#REF!,"AAAAAEv37Ks=")</f>
        <v>#REF!</v>
      </c>
      <c r="FQ158" t="e">
        <f>AND(#REF!,"AAAAAEv37Kw=")</f>
        <v>#REF!</v>
      </c>
      <c r="FR158" t="e">
        <f>AND(#REF!,"AAAAAEv37K0=")</f>
        <v>#REF!</v>
      </c>
      <c r="FS158" t="e">
        <f>AND(#REF!,"AAAAAEv37K4=")</f>
        <v>#REF!</v>
      </c>
      <c r="FT158" t="e">
        <f>AND(#REF!,"AAAAAEv37K8=")</f>
        <v>#REF!</v>
      </c>
      <c r="FU158" t="e">
        <f>AND(#REF!,"AAAAAEv37LA=")</f>
        <v>#REF!</v>
      </c>
      <c r="FV158" t="e">
        <f>AND(#REF!,"AAAAAEv37LE=")</f>
        <v>#REF!</v>
      </c>
      <c r="FW158" t="e">
        <f>AND(#REF!,"AAAAAEv37LI=")</f>
        <v>#REF!</v>
      </c>
      <c r="FX158" t="e">
        <f>AND(#REF!,"AAAAAEv37LM=")</f>
        <v>#REF!</v>
      </c>
      <c r="FY158" t="e">
        <f>AND(#REF!,"AAAAAEv37LQ=")</f>
        <v>#REF!</v>
      </c>
      <c r="FZ158" t="e">
        <f>IF(#REF!,"AAAAAEv37LU=",0)</f>
        <v>#REF!</v>
      </c>
      <c r="GA158" t="e">
        <f>AND(#REF!,"AAAAAEv37LY=")</f>
        <v>#REF!</v>
      </c>
      <c r="GB158" t="e">
        <f>AND(#REF!,"AAAAAEv37Lc=")</f>
        <v>#REF!</v>
      </c>
      <c r="GC158" t="e">
        <f>AND(#REF!,"AAAAAEv37Lg=")</f>
        <v>#REF!</v>
      </c>
      <c r="GD158" t="e">
        <f>AND(#REF!,"AAAAAEv37Lk=")</f>
        <v>#REF!</v>
      </c>
      <c r="GE158" t="e">
        <f>AND(#REF!,"AAAAAEv37Lo=")</f>
        <v>#REF!</v>
      </c>
      <c r="GF158" t="e">
        <f>AND(#REF!,"AAAAAEv37Ls=")</f>
        <v>#REF!</v>
      </c>
      <c r="GG158" t="e">
        <f>AND(#REF!,"AAAAAEv37Lw=")</f>
        <v>#REF!</v>
      </c>
      <c r="GH158" t="e">
        <f>AND(#REF!,"AAAAAEv37L0=")</f>
        <v>#REF!</v>
      </c>
      <c r="GI158" t="e">
        <f>AND(#REF!,"AAAAAEv37L4=")</f>
        <v>#REF!</v>
      </c>
      <c r="GJ158" t="e">
        <f>AND(#REF!,"AAAAAEv37L8=")</f>
        <v>#REF!</v>
      </c>
      <c r="GK158" t="e">
        <f>AND(#REF!,"AAAAAEv37MA=")</f>
        <v>#REF!</v>
      </c>
      <c r="GL158" t="e">
        <f>AND(#REF!,"AAAAAEv37ME=")</f>
        <v>#REF!</v>
      </c>
      <c r="GM158" t="e">
        <f>AND(#REF!,"AAAAAEv37MI=")</f>
        <v>#REF!</v>
      </c>
      <c r="GN158" t="e">
        <f>AND(#REF!,"AAAAAEv37MM=")</f>
        <v>#REF!</v>
      </c>
      <c r="GO158" t="e">
        <f>AND(#REF!,"AAAAAEv37MQ=")</f>
        <v>#REF!</v>
      </c>
      <c r="GP158" t="e">
        <f>AND(#REF!,"AAAAAEv37MU=")</f>
        <v>#REF!</v>
      </c>
      <c r="GQ158" t="e">
        <f>AND(#REF!,"AAAAAEv37MY=")</f>
        <v>#REF!</v>
      </c>
      <c r="GR158" t="e">
        <f>AND(#REF!,"AAAAAEv37Mc=")</f>
        <v>#REF!</v>
      </c>
      <c r="GS158" t="e">
        <f>AND(#REF!,"AAAAAEv37Mg=")</f>
        <v>#REF!</v>
      </c>
      <c r="GT158" t="e">
        <f>AND(#REF!,"AAAAAEv37Mk=")</f>
        <v>#REF!</v>
      </c>
      <c r="GU158" t="e">
        <f>AND(#REF!,"AAAAAEv37Mo=")</f>
        <v>#REF!</v>
      </c>
      <c r="GV158" t="e">
        <f>IF(#REF!,"AAAAAEv37Ms=",0)</f>
        <v>#REF!</v>
      </c>
      <c r="GW158" t="e">
        <f>AND(#REF!,"AAAAAEv37Mw=")</f>
        <v>#REF!</v>
      </c>
      <c r="GX158" t="e">
        <f>AND(#REF!,"AAAAAEv37M0=")</f>
        <v>#REF!</v>
      </c>
      <c r="GY158" t="e">
        <f>AND(#REF!,"AAAAAEv37M4=")</f>
        <v>#REF!</v>
      </c>
      <c r="GZ158" t="e">
        <f>AND(#REF!,"AAAAAEv37M8=")</f>
        <v>#REF!</v>
      </c>
      <c r="HA158" t="e">
        <f>AND(#REF!,"AAAAAEv37NA=")</f>
        <v>#REF!</v>
      </c>
      <c r="HB158" t="e">
        <f>AND(#REF!,"AAAAAEv37NE=")</f>
        <v>#REF!</v>
      </c>
      <c r="HC158" t="e">
        <f>AND(#REF!,"AAAAAEv37NI=")</f>
        <v>#REF!</v>
      </c>
      <c r="HD158" t="e">
        <f>AND(#REF!,"AAAAAEv37NM=")</f>
        <v>#REF!</v>
      </c>
      <c r="HE158" t="e">
        <f>AND(#REF!,"AAAAAEv37NQ=")</f>
        <v>#REF!</v>
      </c>
      <c r="HF158" t="e">
        <f>AND(#REF!,"AAAAAEv37NU=")</f>
        <v>#REF!</v>
      </c>
      <c r="HG158" t="e">
        <f>AND(#REF!,"AAAAAEv37NY=")</f>
        <v>#REF!</v>
      </c>
      <c r="HH158" t="e">
        <f>AND(#REF!,"AAAAAEv37Nc=")</f>
        <v>#REF!</v>
      </c>
      <c r="HI158" t="e">
        <f>AND(#REF!,"AAAAAEv37Ng=")</f>
        <v>#REF!</v>
      </c>
      <c r="HJ158" t="e">
        <f>AND(#REF!,"AAAAAEv37Nk=")</f>
        <v>#REF!</v>
      </c>
      <c r="HK158" t="e">
        <f>AND(#REF!,"AAAAAEv37No=")</f>
        <v>#REF!</v>
      </c>
      <c r="HL158" t="e">
        <f>AND(#REF!,"AAAAAEv37Ns=")</f>
        <v>#REF!</v>
      </c>
      <c r="HM158" t="e">
        <f>AND(#REF!,"AAAAAEv37Nw=")</f>
        <v>#REF!</v>
      </c>
      <c r="HN158" t="e">
        <f>AND(#REF!,"AAAAAEv37N0=")</f>
        <v>#REF!</v>
      </c>
      <c r="HO158" t="e">
        <f>AND(#REF!,"AAAAAEv37N4=")</f>
        <v>#REF!</v>
      </c>
      <c r="HP158" t="e">
        <f>AND(#REF!,"AAAAAEv37N8=")</f>
        <v>#REF!</v>
      </c>
      <c r="HQ158" t="e">
        <f>AND(#REF!,"AAAAAEv37OA=")</f>
        <v>#REF!</v>
      </c>
      <c r="HR158" t="e">
        <f>IF(#REF!,"AAAAAEv37OE=",0)</f>
        <v>#REF!</v>
      </c>
      <c r="HS158" t="e">
        <f>AND(#REF!,"AAAAAEv37OI=")</f>
        <v>#REF!</v>
      </c>
      <c r="HT158" t="e">
        <f>AND(#REF!,"AAAAAEv37OM=")</f>
        <v>#REF!</v>
      </c>
      <c r="HU158" t="e">
        <f>AND(#REF!,"AAAAAEv37OQ=")</f>
        <v>#REF!</v>
      </c>
      <c r="HV158" t="e">
        <f>AND(#REF!,"AAAAAEv37OU=")</f>
        <v>#REF!</v>
      </c>
      <c r="HW158" t="e">
        <f>AND(#REF!,"AAAAAEv37OY=")</f>
        <v>#REF!</v>
      </c>
      <c r="HX158" t="e">
        <f>AND(#REF!,"AAAAAEv37Oc=")</f>
        <v>#REF!</v>
      </c>
      <c r="HY158" t="e">
        <f>AND(#REF!,"AAAAAEv37Og=")</f>
        <v>#REF!</v>
      </c>
      <c r="HZ158" t="e">
        <f>AND(#REF!,"AAAAAEv37Ok=")</f>
        <v>#REF!</v>
      </c>
      <c r="IA158" t="e">
        <f>AND(#REF!,"AAAAAEv37Oo=")</f>
        <v>#REF!</v>
      </c>
      <c r="IB158" t="e">
        <f>AND(#REF!,"AAAAAEv37Os=")</f>
        <v>#REF!</v>
      </c>
      <c r="IC158" t="e">
        <f>AND(#REF!,"AAAAAEv37Ow=")</f>
        <v>#REF!</v>
      </c>
      <c r="ID158" t="e">
        <f>AND(#REF!,"AAAAAEv37O0=")</f>
        <v>#REF!</v>
      </c>
      <c r="IE158" t="e">
        <f>AND(#REF!,"AAAAAEv37O4=")</f>
        <v>#REF!</v>
      </c>
      <c r="IF158" t="e">
        <f>AND(#REF!,"AAAAAEv37O8=")</f>
        <v>#REF!</v>
      </c>
      <c r="IG158" t="e">
        <f>AND(#REF!,"AAAAAEv37PA=")</f>
        <v>#REF!</v>
      </c>
      <c r="IH158" t="e">
        <f>AND(#REF!,"AAAAAEv37PE=")</f>
        <v>#REF!</v>
      </c>
      <c r="II158" t="e">
        <f>AND(#REF!,"AAAAAEv37PI=")</f>
        <v>#REF!</v>
      </c>
      <c r="IJ158" t="e">
        <f>AND(#REF!,"AAAAAEv37PM=")</f>
        <v>#REF!</v>
      </c>
      <c r="IK158" t="e">
        <f>AND(#REF!,"AAAAAEv37PQ=")</f>
        <v>#REF!</v>
      </c>
      <c r="IL158" t="e">
        <f>AND(#REF!,"AAAAAEv37PU=")</f>
        <v>#REF!</v>
      </c>
      <c r="IM158" t="e">
        <f>AND(#REF!,"AAAAAEv37PY=")</f>
        <v>#REF!</v>
      </c>
      <c r="IN158" t="e">
        <f>IF(#REF!,"AAAAAEv37Pc=",0)</f>
        <v>#REF!</v>
      </c>
      <c r="IO158" t="e">
        <f>AND(#REF!,"AAAAAEv37Pg=")</f>
        <v>#REF!</v>
      </c>
      <c r="IP158" t="e">
        <f>AND(#REF!,"AAAAAEv37Pk=")</f>
        <v>#REF!</v>
      </c>
      <c r="IQ158" t="e">
        <f>AND(#REF!,"AAAAAEv37Po=")</f>
        <v>#REF!</v>
      </c>
      <c r="IR158" t="e">
        <f>AND(#REF!,"AAAAAEv37Ps=")</f>
        <v>#REF!</v>
      </c>
      <c r="IS158" t="e">
        <f>AND(#REF!,"AAAAAEv37Pw=")</f>
        <v>#REF!</v>
      </c>
      <c r="IT158" t="e">
        <f>AND(#REF!,"AAAAAEv37P0=")</f>
        <v>#REF!</v>
      </c>
      <c r="IU158" t="e">
        <f>AND(#REF!,"AAAAAEv37P4=")</f>
        <v>#REF!</v>
      </c>
      <c r="IV158" t="e">
        <f>AND(#REF!,"AAAAAEv37P8=")</f>
        <v>#REF!</v>
      </c>
    </row>
    <row r="159" spans="1:256" x14ac:dyDescent="0.25">
      <c r="A159" t="e">
        <f>AND(#REF!,"AAAAAFX/uwA=")</f>
        <v>#REF!</v>
      </c>
      <c r="B159" t="e">
        <f>AND(#REF!,"AAAAAFX/uwE=")</f>
        <v>#REF!</v>
      </c>
      <c r="C159" t="e">
        <f>AND(#REF!,"AAAAAFX/uwI=")</f>
        <v>#REF!</v>
      </c>
      <c r="D159" t="e">
        <f>AND(#REF!,"AAAAAFX/uwM=")</f>
        <v>#REF!</v>
      </c>
      <c r="E159" t="e">
        <f>AND(#REF!,"AAAAAFX/uwQ=")</f>
        <v>#REF!</v>
      </c>
      <c r="F159" t="e">
        <f>AND(#REF!,"AAAAAFX/uwU=")</f>
        <v>#REF!</v>
      </c>
      <c r="G159" t="e">
        <f>AND(#REF!,"AAAAAFX/uwY=")</f>
        <v>#REF!</v>
      </c>
      <c r="H159" t="e">
        <f>AND(#REF!,"AAAAAFX/uwc=")</f>
        <v>#REF!</v>
      </c>
      <c r="I159" t="e">
        <f>AND(#REF!,"AAAAAFX/uwg=")</f>
        <v>#REF!</v>
      </c>
      <c r="J159" t="e">
        <f>AND(#REF!,"AAAAAFX/uwk=")</f>
        <v>#REF!</v>
      </c>
      <c r="K159" t="e">
        <f>AND(#REF!,"AAAAAFX/uwo=")</f>
        <v>#REF!</v>
      </c>
      <c r="L159" t="e">
        <f>AND(#REF!,"AAAAAFX/uws=")</f>
        <v>#REF!</v>
      </c>
      <c r="M159" t="e">
        <f>AND(#REF!,"AAAAAFX/uww=")</f>
        <v>#REF!</v>
      </c>
      <c r="N159" t="e">
        <f>IF(#REF!,"AAAAAFX/uw0=",0)</f>
        <v>#REF!</v>
      </c>
      <c r="O159" t="e">
        <f>AND(#REF!,"AAAAAFX/uw4=")</f>
        <v>#REF!</v>
      </c>
      <c r="P159" t="e">
        <f>AND(#REF!,"AAAAAFX/uw8=")</f>
        <v>#REF!</v>
      </c>
      <c r="Q159" t="e">
        <f>AND(#REF!,"AAAAAFX/uxA=")</f>
        <v>#REF!</v>
      </c>
      <c r="R159" t="e">
        <f>AND(#REF!,"AAAAAFX/uxE=")</f>
        <v>#REF!</v>
      </c>
      <c r="S159" t="e">
        <f>AND(#REF!,"AAAAAFX/uxI=")</f>
        <v>#REF!</v>
      </c>
      <c r="T159" t="e">
        <f>AND(#REF!,"AAAAAFX/uxM=")</f>
        <v>#REF!</v>
      </c>
      <c r="U159" t="e">
        <f>AND(#REF!,"AAAAAFX/uxQ=")</f>
        <v>#REF!</v>
      </c>
      <c r="V159" t="e">
        <f>AND(#REF!,"AAAAAFX/uxU=")</f>
        <v>#REF!</v>
      </c>
      <c r="W159" t="e">
        <f>AND(#REF!,"AAAAAFX/uxY=")</f>
        <v>#REF!</v>
      </c>
      <c r="X159" t="e">
        <f>AND(#REF!,"AAAAAFX/uxc=")</f>
        <v>#REF!</v>
      </c>
      <c r="Y159" t="e">
        <f>AND(#REF!,"AAAAAFX/uxg=")</f>
        <v>#REF!</v>
      </c>
      <c r="Z159" t="e">
        <f>AND(#REF!,"AAAAAFX/uxk=")</f>
        <v>#REF!</v>
      </c>
      <c r="AA159" t="e">
        <f>AND(#REF!,"AAAAAFX/uxo=")</f>
        <v>#REF!</v>
      </c>
      <c r="AB159" t="e">
        <f>AND(#REF!,"AAAAAFX/uxs=")</f>
        <v>#REF!</v>
      </c>
      <c r="AC159" t="e">
        <f>AND(#REF!,"AAAAAFX/uxw=")</f>
        <v>#REF!</v>
      </c>
      <c r="AD159" t="e">
        <f>AND(#REF!,"AAAAAFX/ux0=")</f>
        <v>#REF!</v>
      </c>
      <c r="AE159" t="e">
        <f>AND(#REF!,"AAAAAFX/ux4=")</f>
        <v>#REF!</v>
      </c>
      <c r="AF159" t="e">
        <f>AND(#REF!,"AAAAAFX/ux8=")</f>
        <v>#REF!</v>
      </c>
      <c r="AG159" t="e">
        <f>AND(#REF!,"AAAAAFX/uyA=")</f>
        <v>#REF!</v>
      </c>
      <c r="AH159" t="e">
        <f>AND(#REF!,"AAAAAFX/uyE=")</f>
        <v>#REF!</v>
      </c>
      <c r="AI159" t="e">
        <f>AND(#REF!,"AAAAAFX/uyI=")</f>
        <v>#REF!</v>
      </c>
      <c r="AJ159" t="e">
        <f>IF(#REF!,"AAAAAFX/uyM=",0)</f>
        <v>#REF!</v>
      </c>
      <c r="AK159" t="e">
        <f>AND(#REF!,"AAAAAFX/uyQ=")</f>
        <v>#REF!</v>
      </c>
      <c r="AL159" t="e">
        <f>AND(#REF!,"AAAAAFX/uyU=")</f>
        <v>#REF!</v>
      </c>
      <c r="AM159" t="e">
        <f>AND(#REF!,"AAAAAFX/uyY=")</f>
        <v>#REF!</v>
      </c>
      <c r="AN159" t="e">
        <f>AND(#REF!,"AAAAAFX/uyc=")</f>
        <v>#REF!</v>
      </c>
      <c r="AO159" t="e">
        <f>AND(#REF!,"AAAAAFX/uyg=")</f>
        <v>#REF!</v>
      </c>
      <c r="AP159" t="e">
        <f>AND(#REF!,"AAAAAFX/uyk=")</f>
        <v>#REF!</v>
      </c>
      <c r="AQ159" t="e">
        <f>AND(#REF!,"AAAAAFX/uyo=")</f>
        <v>#REF!</v>
      </c>
      <c r="AR159" t="e">
        <f>AND(#REF!,"AAAAAFX/uys=")</f>
        <v>#REF!</v>
      </c>
      <c r="AS159" t="e">
        <f>AND(#REF!,"AAAAAFX/uyw=")</f>
        <v>#REF!</v>
      </c>
      <c r="AT159" t="e">
        <f>AND(#REF!,"AAAAAFX/uy0=")</f>
        <v>#REF!</v>
      </c>
      <c r="AU159" t="e">
        <f>AND(#REF!,"AAAAAFX/uy4=")</f>
        <v>#REF!</v>
      </c>
      <c r="AV159" t="e">
        <f>AND(#REF!,"AAAAAFX/uy8=")</f>
        <v>#REF!</v>
      </c>
      <c r="AW159" t="e">
        <f>AND(#REF!,"AAAAAFX/uzA=")</f>
        <v>#REF!</v>
      </c>
      <c r="AX159" t="e">
        <f>AND(#REF!,"AAAAAFX/uzE=")</f>
        <v>#REF!</v>
      </c>
      <c r="AY159" t="e">
        <f>AND(#REF!,"AAAAAFX/uzI=")</f>
        <v>#REF!</v>
      </c>
      <c r="AZ159" t="e">
        <f>AND(#REF!,"AAAAAFX/uzM=")</f>
        <v>#REF!</v>
      </c>
      <c r="BA159" t="e">
        <f>AND(#REF!,"AAAAAFX/uzQ=")</f>
        <v>#REF!</v>
      </c>
      <c r="BB159" t="e">
        <f>AND(#REF!,"AAAAAFX/uzU=")</f>
        <v>#REF!</v>
      </c>
      <c r="BC159" t="e">
        <f>AND(#REF!,"AAAAAFX/uzY=")</f>
        <v>#REF!</v>
      </c>
      <c r="BD159" t="e">
        <f>AND(#REF!,"AAAAAFX/uzc=")</f>
        <v>#REF!</v>
      </c>
      <c r="BE159" t="e">
        <f>AND(#REF!,"AAAAAFX/uzg=")</f>
        <v>#REF!</v>
      </c>
      <c r="BF159" t="e">
        <f>IF(#REF!,"AAAAAFX/uzk=",0)</f>
        <v>#REF!</v>
      </c>
      <c r="BG159" t="e">
        <f>AND(#REF!,"AAAAAFX/uzo=")</f>
        <v>#REF!</v>
      </c>
      <c r="BH159" t="e">
        <f>AND(#REF!,"AAAAAFX/uzs=")</f>
        <v>#REF!</v>
      </c>
      <c r="BI159" t="e">
        <f>AND(#REF!,"AAAAAFX/uzw=")</f>
        <v>#REF!</v>
      </c>
      <c r="BJ159" t="e">
        <f>AND(#REF!,"AAAAAFX/uz0=")</f>
        <v>#REF!</v>
      </c>
      <c r="BK159" t="e">
        <f>AND(#REF!,"AAAAAFX/uz4=")</f>
        <v>#REF!</v>
      </c>
      <c r="BL159" t="e">
        <f>AND(#REF!,"AAAAAFX/uz8=")</f>
        <v>#REF!</v>
      </c>
      <c r="BM159" t="e">
        <f>AND(#REF!,"AAAAAFX/u0A=")</f>
        <v>#REF!</v>
      </c>
      <c r="BN159" t="e">
        <f>AND(#REF!,"AAAAAFX/u0E=")</f>
        <v>#REF!</v>
      </c>
      <c r="BO159" t="e">
        <f>AND(#REF!,"AAAAAFX/u0I=")</f>
        <v>#REF!</v>
      </c>
      <c r="BP159" t="e">
        <f>AND(#REF!,"AAAAAFX/u0M=")</f>
        <v>#REF!</v>
      </c>
      <c r="BQ159" t="e">
        <f>AND(#REF!,"AAAAAFX/u0Q=")</f>
        <v>#REF!</v>
      </c>
      <c r="BR159" t="e">
        <f>AND(#REF!,"AAAAAFX/u0U=")</f>
        <v>#REF!</v>
      </c>
      <c r="BS159" t="e">
        <f>AND(#REF!,"AAAAAFX/u0Y=")</f>
        <v>#REF!</v>
      </c>
      <c r="BT159" t="e">
        <f>AND(#REF!,"AAAAAFX/u0c=")</f>
        <v>#REF!</v>
      </c>
      <c r="BU159" t="e">
        <f>AND(#REF!,"AAAAAFX/u0g=")</f>
        <v>#REF!</v>
      </c>
      <c r="BV159" t="e">
        <f>AND(#REF!,"AAAAAFX/u0k=")</f>
        <v>#REF!</v>
      </c>
      <c r="BW159" t="e">
        <f>AND(#REF!,"AAAAAFX/u0o=")</f>
        <v>#REF!</v>
      </c>
      <c r="BX159" t="e">
        <f>AND(#REF!,"AAAAAFX/u0s=")</f>
        <v>#REF!</v>
      </c>
      <c r="BY159" t="e">
        <f>AND(#REF!,"AAAAAFX/u0w=")</f>
        <v>#REF!</v>
      </c>
      <c r="BZ159" t="e">
        <f>AND(#REF!,"AAAAAFX/u00=")</f>
        <v>#REF!</v>
      </c>
      <c r="CA159" t="e">
        <f>AND(#REF!,"AAAAAFX/u04=")</f>
        <v>#REF!</v>
      </c>
      <c r="CB159" t="e">
        <f>IF(#REF!,"AAAAAFX/u08=",0)</f>
        <v>#REF!</v>
      </c>
      <c r="CC159" t="e">
        <f>AND(#REF!,"AAAAAFX/u1A=")</f>
        <v>#REF!</v>
      </c>
      <c r="CD159" t="e">
        <f>AND(#REF!,"AAAAAFX/u1E=")</f>
        <v>#REF!</v>
      </c>
      <c r="CE159" t="e">
        <f>AND(#REF!,"AAAAAFX/u1I=")</f>
        <v>#REF!</v>
      </c>
      <c r="CF159" t="e">
        <f>AND(#REF!,"AAAAAFX/u1M=")</f>
        <v>#REF!</v>
      </c>
      <c r="CG159" t="e">
        <f>AND(#REF!,"AAAAAFX/u1Q=")</f>
        <v>#REF!</v>
      </c>
      <c r="CH159" t="e">
        <f>AND(#REF!,"AAAAAFX/u1U=")</f>
        <v>#REF!</v>
      </c>
      <c r="CI159" t="e">
        <f>AND(#REF!,"AAAAAFX/u1Y=")</f>
        <v>#REF!</v>
      </c>
      <c r="CJ159" t="e">
        <f>AND(#REF!,"AAAAAFX/u1c=")</f>
        <v>#REF!</v>
      </c>
      <c r="CK159" t="e">
        <f>AND(#REF!,"AAAAAFX/u1g=")</f>
        <v>#REF!</v>
      </c>
      <c r="CL159" t="e">
        <f>AND(#REF!,"AAAAAFX/u1k=")</f>
        <v>#REF!</v>
      </c>
      <c r="CM159" t="e">
        <f>AND(#REF!,"AAAAAFX/u1o=")</f>
        <v>#REF!</v>
      </c>
      <c r="CN159" t="e">
        <f>AND(#REF!,"AAAAAFX/u1s=")</f>
        <v>#REF!</v>
      </c>
      <c r="CO159" t="e">
        <f>AND(#REF!,"AAAAAFX/u1w=")</f>
        <v>#REF!</v>
      </c>
      <c r="CP159" t="e">
        <f>AND(#REF!,"AAAAAFX/u10=")</f>
        <v>#REF!</v>
      </c>
      <c r="CQ159" t="e">
        <f>AND(#REF!,"AAAAAFX/u14=")</f>
        <v>#REF!</v>
      </c>
      <c r="CR159" t="e">
        <f>AND(#REF!,"AAAAAFX/u18=")</f>
        <v>#REF!</v>
      </c>
      <c r="CS159" t="e">
        <f>AND(#REF!,"AAAAAFX/u2A=")</f>
        <v>#REF!</v>
      </c>
      <c r="CT159" t="e">
        <f>AND(#REF!,"AAAAAFX/u2E=")</f>
        <v>#REF!</v>
      </c>
      <c r="CU159" t="e">
        <f>AND(#REF!,"AAAAAFX/u2I=")</f>
        <v>#REF!</v>
      </c>
      <c r="CV159" t="e">
        <f>AND(#REF!,"AAAAAFX/u2M=")</f>
        <v>#REF!</v>
      </c>
      <c r="CW159" t="e">
        <f>AND(#REF!,"AAAAAFX/u2Q=")</f>
        <v>#REF!</v>
      </c>
      <c r="CX159" t="e">
        <f>IF(#REF!,"AAAAAFX/u2U=",0)</f>
        <v>#REF!</v>
      </c>
      <c r="CY159" t="e">
        <f>AND(#REF!,"AAAAAFX/u2Y=")</f>
        <v>#REF!</v>
      </c>
      <c r="CZ159" t="e">
        <f>AND(#REF!,"AAAAAFX/u2c=")</f>
        <v>#REF!</v>
      </c>
      <c r="DA159" t="e">
        <f>AND(#REF!,"AAAAAFX/u2g=")</f>
        <v>#REF!</v>
      </c>
      <c r="DB159" t="e">
        <f>AND(#REF!,"AAAAAFX/u2k=")</f>
        <v>#REF!</v>
      </c>
      <c r="DC159" t="e">
        <f>AND(#REF!,"AAAAAFX/u2o=")</f>
        <v>#REF!</v>
      </c>
      <c r="DD159" t="e">
        <f>AND(#REF!,"AAAAAFX/u2s=")</f>
        <v>#REF!</v>
      </c>
      <c r="DE159" t="e">
        <f>AND(#REF!,"AAAAAFX/u2w=")</f>
        <v>#REF!</v>
      </c>
      <c r="DF159" t="e">
        <f>AND(#REF!,"AAAAAFX/u20=")</f>
        <v>#REF!</v>
      </c>
      <c r="DG159" t="e">
        <f>AND(#REF!,"AAAAAFX/u24=")</f>
        <v>#REF!</v>
      </c>
      <c r="DH159" t="e">
        <f>AND(#REF!,"AAAAAFX/u28=")</f>
        <v>#REF!</v>
      </c>
      <c r="DI159" t="e">
        <f>AND(#REF!,"AAAAAFX/u3A=")</f>
        <v>#REF!</v>
      </c>
      <c r="DJ159" t="e">
        <f>AND(#REF!,"AAAAAFX/u3E=")</f>
        <v>#REF!</v>
      </c>
      <c r="DK159" t="e">
        <f>AND(#REF!,"AAAAAFX/u3I=")</f>
        <v>#REF!</v>
      </c>
      <c r="DL159" t="e">
        <f>AND(#REF!,"AAAAAFX/u3M=")</f>
        <v>#REF!</v>
      </c>
      <c r="DM159" t="e">
        <f>AND(#REF!,"AAAAAFX/u3Q=")</f>
        <v>#REF!</v>
      </c>
      <c r="DN159" t="e">
        <f>AND(#REF!,"AAAAAFX/u3U=")</f>
        <v>#REF!</v>
      </c>
      <c r="DO159" t="e">
        <f>AND(#REF!,"AAAAAFX/u3Y=")</f>
        <v>#REF!</v>
      </c>
      <c r="DP159" t="e">
        <f>AND(#REF!,"AAAAAFX/u3c=")</f>
        <v>#REF!</v>
      </c>
      <c r="DQ159" t="e">
        <f>AND(#REF!,"AAAAAFX/u3g=")</f>
        <v>#REF!</v>
      </c>
      <c r="DR159" t="e">
        <f>AND(#REF!,"AAAAAFX/u3k=")</f>
        <v>#REF!</v>
      </c>
      <c r="DS159" t="e">
        <f>AND(#REF!,"AAAAAFX/u3o=")</f>
        <v>#REF!</v>
      </c>
      <c r="DT159" t="e">
        <f>IF(#REF!,"AAAAAFX/u3s=",0)</f>
        <v>#REF!</v>
      </c>
      <c r="DU159" t="e">
        <f>AND(#REF!,"AAAAAFX/u3w=")</f>
        <v>#REF!</v>
      </c>
      <c r="DV159" t="e">
        <f>AND(#REF!,"AAAAAFX/u30=")</f>
        <v>#REF!</v>
      </c>
      <c r="DW159" t="e">
        <f>AND(#REF!,"AAAAAFX/u34=")</f>
        <v>#REF!</v>
      </c>
      <c r="DX159" t="e">
        <f>AND(#REF!,"AAAAAFX/u38=")</f>
        <v>#REF!</v>
      </c>
      <c r="DY159" t="e">
        <f>AND(#REF!,"AAAAAFX/u4A=")</f>
        <v>#REF!</v>
      </c>
      <c r="DZ159" t="e">
        <f>AND(#REF!,"AAAAAFX/u4E=")</f>
        <v>#REF!</v>
      </c>
      <c r="EA159" t="e">
        <f>AND(#REF!,"AAAAAFX/u4I=")</f>
        <v>#REF!</v>
      </c>
      <c r="EB159" t="e">
        <f>AND(#REF!,"AAAAAFX/u4M=")</f>
        <v>#REF!</v>
      </c>
      <c r="EC159" t="e">
        <f>AND(#REF!,"AAAAAFX/u4Q=")</f>
        <v>#REF!</v>
      </c>
      <c r="ED159" t="e">
        <f>AND(#REF!,"AAAAAFX/u4U=")</f>
        <v>#REF!</v>
      </c>
      <c r="EE159" t="e">
        <f>AND(#REF!,"AAAAAFX/u4Y=")</f>
        <v>#REF!</v>
      </c>
      <c r="EF159" t="e">
        <f>AND(#REF!,"AAAAAFX/u4c=")</f>
        <v>#REF!</v>
      </c>
      <c r="EG159" t="e">
        <f>AND(#REF!,"AAAAAFX/u4g=")</f>
        <v>#REF!</v>
      </c>
      <c r="EH159" t="e">
        <f>AND(#REF!,"AAAAAFX/u4k=")</f>
        <v>#REF!</v>
      </c>
      <c r="EI159" t="e">
        <f>AND(#REF!,"AAAAAFX/u4o=")</f>
        <v>#REF!</v>
      </c>
      <c r="EJ159" t="e">
        <f>AND(#REF!,"AAAAAFX/u4s=")</f>
        <v>#REF!</v>
      </c>
      <c r="EK159" t="e">
        <f>AND(#REF!,"AAAAAFX/u4w=")</f>
        <v>#REF!</v>
      </c>
      <c r="EL159" t="e">
        <f>AND(#REF!,"AAAAAFX/u40=")</f>
        <v>#REF!</v>
      </c>
      <c r="EM159" t="e">
        <f>AND(#REF!,"AAAAAFX/u44=")</f>
        <v>#REF!</v>
      </c>
      <c r="EN159" t="e">
        <f>AND(#REF!,"AAAAAFX/u48=")</f>
        <v>#REF!</v>
      </c>
      <c r="EO159" t="e">
        <f>AND(#REF!,"AAAAAFX/u5A=")</f>
        <v>#REF!</v>
      </c>
      <c r="EP159" t="e">
        <f>IF(#REF!,"AAAAAFX/u5E=",0)</f>
        <v>#REF!</v>
      </c>
      <c r="EQ159" t="e">
        <f>AND(#REF!,"AAAAAFX/u5I=")</f>
        <v>#REF!</v>
      </c>
      <c r="ER159" t="e">
        <f>AND(#REF!,"AAAAAFX/u5M=")</f>
        <v>#REF!</v>
      </c>
      <c r="ES159" t="e">
        <f>AND(#REF!,"AAAAAFX/u5Q=")</f>
        <v>#REF!</v>
      </c>
      <c r="ET159" t="e">
        <f>AND(#REF!,"AAAAAFX/u5U=")</f>
        <v>#REF!</v>
      </c>
      <c r="EU159" t="e">
        <f>AND(#REF!,"AAAAAFX/u5Y=")</f>
        <v>#REF!</v>
      </c>
      <c r="EV159" t="e">
        <f>AND(#REF!,"AAAAAFX/u5c=")</f>
        <v>#REF!</v>
      </c>
      <c r="EW159" t="e">
        <f>AND(#REF!,"AAAAAFX/u5g=")</f>
        <v>#REF!</v>
      </c>
      <c r="EX159" t="e">
        <f>AND(#REF!,"AAAAAFX/u5k=")</f>
        <v>#REF!</v>
      </c>
      <c r="EY159" t="e">
        <f>AND(#REF!,"AAAAAFX/u5o=")</f>
        <v>#REF!</v>
      </c>
      <c r="EZ159" t="e">
        <f>AND(#REF!,"AAAAAFX/u5s=")</f>
        <v>#REF!</v>
      </c>
      <c r="FA159" t="e">
        <f>AND(#REF!,"AAAAAFX/u5w=")</f>
        <v>#REF!</v>
      </c>
      <c r="FB159" t="e">
        <f>AND(#REF!,"AAAAAFX/u50=")</f>
        <v>#REF!</v>
      </c>
      <c r="FC159" t="e">
        <f>AND(#REF!,"AAAAAFX/u54=")</f>
        <v>#REF!</v>
      </c>
      <c r="FD159" t="e">
        <f>AND(#REF!,"AAAAAFX/u58=")</f>
        <v>#REF!</v>
      </c>
      <c r="FE159" t="e">
        <f>AND(#REF!,"AAAAAFX/u6A=")</f>
        <v>#REF!</v>
      </c>
      <c r="FF159" t="e">
        <f>AND(#REF!,"AAAAAFX/u6E=")</f>
        <v>#REF!</v>
      </c>
      <c r="FG159" t="e">
        <f>AND(#REF!,"AAAAAFX/u6I=")</f>
        <v>#REF!</v>
      </c>
      <c r="FH159" t="e">
        <f>AND(#REF!,"AAAAAFX/u6M=")</f>
        <v>#REF!</v>
      </c>
      <c r="FI159" t="e">
        <f>AND(#REF!,"AAAAAFX/u6Q=")</f>
        <v>#REF!</v>
      </c>
      <c r="FJ159" t="e">
        <f>AND(#REF!,"AAAAAFX/u6U=")</f>
        <v>#REF!</v>
      </c>
      <c r="FK159" t="e">
        <f>AND(#REF!,"AAAAAFX/u6Y=")</f>
        <v>#REF!</v>
      </c>
      <c r="FL159" t="e">
        <f>IF(#REF!,"AAAAAFX/u6c=",0)</f>
        <v>#REF!</v>
      </c>
      <c r="FM159" t="e">
        <f>AND(#REF!,"AAAAAFX/u6g=")</f>
        <v>#REF!</v>
      </c>
      <c r="FN159" t="e">
        <f>AND(#REF!,"AAAAAFX/u6k=")</f>
        <v>#REF!</v>
      </c>
      <c r="FO159" t="e">
        <f>AND(#REF!,"AAAAAFX/u6o=")</f>
        <v>#REF!</v>
      </c>
      <c r="FP159" t="e">
        <f>AND(#REF!,"AAAAAFX/u6s=")</f>
        <v>#REF!</v>
      </c>
      <c r="FQ159" t="e">
        <f>AND(#REF!,"AAAAAFX/u6w=")</f>
        <v>#REF!</v>
      </c>
      <c r="FR159" t="e">
        <f>AND(#REF!,"AAAAAFX/u60=")</f>
        <v>#REF!</v>
      </c>
      <c r="FS159" t="e">
        <f>AND(#REF!,"AAAAAFX/u64=")</f>
        <v>#REF!</v>
      </c>
      <c r="FT159" t="e">
        <f>AND(#REF!,"AAAAAFX/u68=")</f>
        <v>#REF!</v>
      </c>
      <c r="FU159" t="e">
        <f>AND(#REF!,"AAAAAFX/u7A=")</f>
        <v>#REF!</v>
      </c>
      <c r="FV159" t="e">
        <f>AND(#REF!,"AAAAAFX/u7E=")</f>
        <v>#REF!</v>
      </c>
      <c r="FW159" t="e">
        <f>AND(#REF!,"AAAAAFX/u7I=")</f>
        <v>#REF!</v>
      </c>
      <c r="FX159" t="e">
        <f>AND(#REF!,"AAAAAFX/u7M=")</f>
        <v>#REF!</v>
      </c>
      <c r="FY159" t="e">
        <f>AND(#REF!,"AAAAAFX/u7Q=")</f>
        <v>#REF!</v>
      </c>
      <c r="FZ159" t="e">
        <f>AND(#REF!,"AAAAAFX/u7U=")</f>
        <v>#REF!</v>
      </c>
      <c r="GA159" t="e">
        <f>AND(#REF!,"AAAAAFX/u7Y=")</f>
        <v>#REF!</v>
      </c>
      <c r="GB159" t="e">
        <f>AND(#REF!,"AAAAAFX/u7c=")</f>
        <v>#REF!</v>
      </c>
      <c r="GC159" t="e">
        <f>AND(#REF!,"AAAAAFX/u7g=")</f>
        <v>#REF!</v>
      </c>
      <c r="GD159" t="e">
        <f>AND(#REF!,"AAAAAFX/u7k=")</f>
        <v>#REF!</v>
      </c>
      <c r="GE159" t="e">
        <f>AND(#REF!,"AAAAAFX/u7o=")</f>
        <v>#REF!</v>
      </c>
      <c r="GF159" t="e">
        <f>AND(#REF!,"AAAAAFX/u7s=")</f>
        <v>#REF!</v>
      </c>
      <c r="GG159" t="e">
        <f>AND(#REF!,"AAAAAFX/u7w=")</f>
        <v>#REF!</v>
      </c>
      <c r="GH159" t="e">
        <f>IF(#REF!,"AAAAAFX/u70=",0)</f>
        <v>#REF!</v>
      </c>
      <c r="GI159" t="e">
        <f>AND(#REF!,"AAAAAFX/u74=")</f>
        <v>#REF!</v>
      </c>
      <c r="GJ159" t="e">
        <f>AND(#REF!,"AAAAAFX/u78=")</f>
        <v>#REF!</v>
      </c>
      <c r="GK159" t="e">
        <f>AND(#REF!,"AAAAAFX/u8A=")</f>
        <v>#REF!</v>
      </c>
      <c r="GL159" t="e">
        <f>AND(#REF!,"AAAAAFX/u8E=")</f>
        <v>#REF!</v>
      </c>
      <c r="GM159" t="e">
        <f>AND(#REF!,"AAAAAFX/u8I=")</f>
        <v>#REF!</v>
      </c>
      <c r="GN159" t="e">
        <f>AND(#REF!,"AAAAAFX/u8M=")</f>
        <v>#REF!</v>
      </c>
      <c r="GO159" t="e">
        <f>AND(#REF!,"AAAAAFX/u8Q=")</f>
        <v>#REF!</v>
      </c>
      <c r="GP159" t="e">
        <f>AND(#REF!,"AAAAAFX/u8U=")</f>
        <v>#REF!</v>
      </c>
      <c r="GQ159" t="e">
        <f>AND(#REF!,"AAAAAFX/u8Y=")</f>
        <v>#REF!</v>
      </c>
      <c r="GR159" t="e">
        <f>AND(#REF!,"AAAAAFX/u8c=")</f>
        <v>#REF!</v>
      </c>
      <c r="GS159" t="e">
        <f>AND(#REF!,"AAAAAFX/u8g=")</f>
        <v>#REF!</v>
      </c>
      <c r="GT159" t="e">
        <f>AND(#REF!,"AAAAAFX/u8k=")</f>
        <v>#REF!</v>
      </c>
      <c r="GU159" t="e">
        <f>AND(#REF!,"AAAAAFX/u8o=")</f>
        <v>#REF!</v>
      </c>
      <c r="GV159" t="e">
        <f>AND(#REF!,"AAAAAFX/u8s=")</f>
        <v>#REF!</v>
      </c>
      <c r="GW159" t="e">
        <f>AND(#REF!,"AAAAAFX/u8w=")</f>
        <v>#REF!</v>
      </c>
      <c r="GX159" t="e">
        <f>AND(#REF!,"AAAAAFX/u80=")</f>
        <v>#REF!</v>
      </c>
      <c r="GY159" t="e">
        <f>AND(#REF!,"AAAAAFX/u84=")</f>
        <v>#REF!</v>
      </c>
      <c r="GZ159" t="e">
        <f>AND(#REF!,"AAAAAFX/u88=")</f>
        <v>#REF!</v>
      </c>
      <c r="HA159" t="e">
        <f>AND(#REF!,"AAAAAFX/u9A=")</f>
        <v>#REF!</v>
      </c>
      <c r="HB159" t="e">
        <f>AND(#REF!,"AAAAAFX/u9E=")</f>
        <v>#REF!</v>
      </c>
      <c r="HC159" t="e">
        <f>AND(#REF!,"AAAAAFX/u9I=")</f>
        <v>#REF!</v>
      </c>
      <c r="HD159" t="e">
        <f>IF(#REF!,"AAAAAFX/u9M=",0)</f>
        <v>#REF!</v>
      </c>
      <c r="HE159" t="e">
        <f>AND(#REF!,"AAAAAFX/u9Q=")</f>
        <v>#REF!</v>
      </c>
      <c r="HF159" t="e">
        <f>AND(#REF!,"AAAAAFX/u9U=")</f>
        <v>#REF!</v>
      </c>
      <c r="HG159" t="e">
        <f>AND(#REF!,"AAAAAFX/u9Y=")</f>
        <v>#REF!</v>
      </c>
      <c r="HH159" t="e">
        <f>AND(#REF!,"AAAAAFX/u9c=")</f>
        <v>#REF!</v>
      </c>
      <c r="HI159" t="e">
        <f>AND(#REF!,"AAAAAFX/u9g=")</f>
        <v>#REF!</v>
      </c>
      <c r="HJ159" t="e">
        <f>AND(#REF!,"AAAAAFX/u9k=")</f>
        <v>#REF!</v>
      </c>
      <c r="HK159" t="e">
        <f>AND(#REF!,"AAAAAFX/u9o=")</f>
        <v>#REF!</v>
      </c>
      <c r="HL159" t="e">
        <f>AND(#REF!,"AAAAAFX/u9s=")</f>
        <v>#REF!</v>
      </c>
      <c r="HM159" t="e">
        <f>AND(#REF!,"AAAAAFX/u9w=")</f>
        <v>#REF!</v>
      </c>
      <c r="HN159" t="e">
        <f>AND(#REF!,"AAAAAFX/u90=")</f>
        <v>#REF!</v>
      </c>
      <c r="HO159" t="e">
        <f>AND(#REF!,"AAAAAFX/u94=")</f>
        <v>#REF!</v>
      </c>
      <c r="HP159" t="e">
        <f>AND(#REF!,"AAAAAFX/u98=")</f>
        <v>#REF!</v>
      </c>
      <c r="HQ159" t="e">
        <f>AND(#REF!,"AAAAAFX/u+A=")</f>
        <v>#REF!</v>
      </c>
      <c r="HR159" t="e">
        <f>AND(#REF!,"AAAAAFX/u+E=")</f>
        <v>#REF!</v>
      </c>
      <c r="HS159" t="e">
        <f>AND(#REF!,"AAAAAFX/u+I=")</f>
        <v>#REF!</v>
      </c>
      <c r="HT159" t="e">
        <f>AND(#REF!,"AAAAAFX/u+M=")</f>
        <v>#REF!</v>
      </c>
      <c r="HU159" t="e">
        <f>AND(#REF!,"AAAAAFX/u+Q=")</f>
        <v>#REF!</v>
      </c>
      <c r="HV159" t="e">
        <f>AND(#REF!,"AAAAAFX/u+U=")</f>
        <v>#REF!</v>
      </c>
      <c r="HW159" t="e">
        <f>AND(#REF!,"AAAAAFX/u+Y=")</f>
        <v>#REF!</v>
      </c>
      <c r="HX159" t="e">
        <f>AND(#REF!,"AAAAAFX/u+c=")</f>
        <v>#REF!</v>
      </c>
      <c r="HY159" t="e">
        <f>AND(#REF!,"AAAAAFX/u+g=")</f>
        <v>#REF!</v>
      </c>
      <c r="HZ159" t="e">
        <f>IF(#REF!,"AAAAAFX/u+k=",0)</f>
        <v>#REF!</v>
      </c>
      <c r="IA159" t="e">
        <f>AND(#REF!,"AAAAAFX/u+o=")</f>
        <v>#REF!</v>
      </c>
      <c r="IB159" t="e">
        <f>AND(#REF!,"AAAAAFX/u+s=")</f>
        <v>#REF!</v>
      </c>
      <c r="IC159" t="e">
        <f>AND(#REF!,"AAAAAFX/u+w=")</f>
        <v>#REF!</v>
      </c>
      <c r="ID159" t="e">
        <f>AND(#REF!,"AAAAAFX/u+0=")</f>
        <v>#REF!</v>
      </c>
      <c r="IE159" t="e">
        <f>AND(#REF!,"AAAAAFX/u+4=")</f>
        <v>#REF!</v>
      </c>
      <c r="IF159" t="e">
        <f>AND(#REF!,"AAAAAFX/u+8=")</f>
        <v>#REF!</v>
      </c>
      <c r="IG159" t="e">
        <f>AND(#REF!,"AAAAAFX/u/A=")</f>
        <v>#REF!</v>
      </c>
      <c r="IH159" t="e">
        <f>AND(#REF!,"AAAAAFX/u/E=")</f>
        <v>#REF!</v>
      </c>
      <c r="II159" t="e">
        <f>AND(#REF!,"AAAAAFX/u/I=")</f>
        <v>#REF!</v>
      </c>
      <c r="IJ159" t="e">
        <f>AND(#REF!,"AAAAAFX/u/M=")</f>
        <v>#REF!</v>
      </c>
      <c r="IK159" t="e">
        <f>AND(#REF!,"AAAAAFX/u/Q=")</f>
        <v>#REF!</v>
      </c>
      <c r="IL159" t="e">
        <f>AND(#REF!,"AAAAAFX/u/U=")</f>
        <v>#REF!</v>
      </c>
      <c r="IM159" t="e">
        <f>AND(#REF!,"AAAAAFX/u/Y=")</f>
        <v>#REF!</v>
      </c>
      <c r="IN159" t="e">
        <f>AND(#REF!,"AAAAAFX/u/c=")</f>
        <v>#REF!</v>
      </c>
      <c r="IO159" t="e">
        <f>AND(#REF!,"AAAAAFX/u/g=")</f>
        <v>#REF!</v>
      </c>
      <c r="IP159" t="e">
        <f>AND(#REF!,"AAAAAFX/u/k=")</f>
        <v>#REF!</v>
      </c>
      <c r="IQ159" t="e">
        <f>AND(#REF!,"AAAAAFX/u/o=")</f>
        <v>#REF!</v>
      </c>
      <c r="IR159" t="e">
        <f>AND(#REF!,"AAAAAFX/u/s=")</f>
        <v>#REF!</v>
      </c>
      <c r="IS159" t="e">
        <f>AND(#REF!,"AAAAAFX/u/w=")</f>
        <v>#REF!</v>
      </c>
      <c r="IT159" t="e">
        <f>AND(#REF!,"AAAAAFX/u/0=")</f>
        <v>#REF!</v>
      </c>
      <c r="IU159" t="e">
        <f>AND(#REF!,"AAAAAFX/u/4=")</f>
        <v>#REF!</v>
      </c>
      <c r="IV159" t="e">
        <f>IF(#REF!,"AAAAAFX/u/8=",0)</f>
        <v>#REF!</v>
      </c>
    </row>
    <row r="160" spans="1:256" x14ac:dyDescent="0.25">
      <c r="A160" t="e">
        <f>AND(#REF!,"AAAAAHf39gA=")</f>
        <v>#REF!</v>
      </c>
      <c r="B160" t="e">
        <f>AND(#REF!,"AAAAAHf39gE=")</f>
        <v>#REF!</v>
      </c>
      <c r="C160" t="e">
        <f>AND(#REF!,"AAAAAHf39gI=")</f>
        <v>#REF!</v>
      </c>
      <c r="D160" t="e">
        <f>AND(#REF!,"AAAAAHf39gM=")</f>
        <v>#REF!</v>
      </c>
      <c r="E160" t="e">
        <f>AND(#REF!,"AAAAAHf39gQ=")</f>
        <v>#REF!</v>
      </c>
      <c r="F160" t="e">
        <f>AND(#REF!,"AAAAAHf39gU=")</f>
        <v>#REF!</v>
      </c>
      <c r="G160" t="e">
        <f>AND(#REF!,"AAAAAHf39gY=")</f>
        <v>#REF!</v>
      </c>
      <c r="H160" t="e">
        <f>AND(#REF!,"AAAAAHf39gc=")</f>
        <v>#REF!</v>
      </c>
      <c r="I160" t="e">
        <f>AND(#REF!,"AAAAAHf39gg=")</f>
        <v>#REF!</v>
      </c>
      <c r="J160" t="e">
        <f>AND(#REF!,"AAAAAHf39gk=")</f>
        <v>#REF!</v>
      </c>
      <c r="K160" t="e">
        <f>AND(#REF!,"AAAAAHf39go=")</f>
        <v>#REF!</v>
      </c>
      <c r="L160" t="e">
        <f>AND(#REF!,"AAAAAHf39gs=")</f>
        <v>#REF!</v>
      </c>
      <c r="M160" t="e">
        <f>AND(#REF!,"AAAAAHf39gw=")</f>
        <v>#REF!</v>
      </c>
      <c r="N160" t="e">
        <f>AND(#REF!,"AAAAAHf39g0=")</f>
        <v>#REF!</v>
      </c>
      <c r="O160" t="e">
        <f>AND(#REF!,"AAAAAHf39g4=")</f>
        <v>#REF!</v>
      </c>
      <c r="P160" t="e">
        <f>AND(#REF!,"AAAAAHf39g8=")</f>
        <v>#REF!</v>
      </c>
      <c r="Q160" t="e">
        <f>AND(#REF!,"AAAAAHf39hA=")</f>
        <v>#REF!</v>
      </c>
      <c r="R160" t="e">
        <f>AND(#REF!,"AAAAAHf39hE=")</f>
        <v>#REF!</v>
      </c>
      <c r="S160" t="e">
        <f>AND(#REF!,"AAAAAHf39hI=")</f>
        <v>#REF!</v>
      </c>
      <c r="T160" t="e">
        <f>AND(#REF!,"AAAAAHf39hM=")</f>
        <v>#REF!</v>
      </c>
      <c r="U160" t="e">
        <f>AND(#REF!,"AAAAAHf39hQ=")</f>
        <v>#REF!</v>
      </c>
      <c r="V160" t="e">
        <f>IF(#REF!,"AAAAAHf39hU=",0)</f>
        <v>#REF!</v>
      </c>
      <c r="W160" t="e">
        <f>AND(#REF!,"AAAAAHf39hY=")</f>
        <v>#REF!</v>
      </c>
      <c r="X160" t="e">
        <f>AND(#REF!,"AAAAAHf39hc=")</f>
        <v>#REF!</v>
      </c>
      <c r="Y160" t="e">
        <f>AND(#REF!,"AAAAAHf39hg=")</f>
        <v>#REF!</v>
      </c>
      <c r="Z160" t="e">
        <f>AND(#REF!,"AAAAAHf39hk=")</f>
        <v>#REF!</v>
      </c>
      <c r="AA160" t="e">
        <f>AND(#REF!,"AAAAAHf39ho=")</f>
        <v>#REF!</v>
      </c>
      <c r="AB160" t="e">
        <f>AND(#REF!,"AAAAAHf39hs=")</f>
        <v>#REF!</v>
      </c>
      <c r="AC160" t="e">
        <f>AND(#REF!,"AAAAAHf39hw=")</f>
        <v>#REF!</v>
      </c>
      <c r="AD160" t="e">
        <f>AND(#REF!,"AAAAAHf39h0=")</f>
        <v>#REF!</v>
      </c>
      <c r="AE160" t="e">
        <f>AND(#REF!,"AAAAAHf39h4=")</f>
        <v>#REF!</v>
      </c>
      <c r="AF160" t="e">
        <f>AND(#REF!,"AAAAAHf39h8=")</f>
        <v>#REF!</v>
      </c>
      <c r="AG160" t="e">
        <f>AND(#REF!,"AAAAAHf39iA=")</f>
        <v>#REF!</v>
      </c>
      <c r="AH160" t="e">
        <f>AND(#REF!,"AAAAAHf39iE=")</f>
        <v>#REF!</v>
      </c>
      <c r="AI160" t="e">
        <f>AND(#REF!,"AAAAAHf39iI=")</f>
        <v>#REF!</v>
      </c>
      <c r="AJ160" t="e">
        <f>AND(#REF!,"AAAAAHf39iM=")</f>
        <v>#REF!</v>
      </c>
      <c r="AK160" t="e">
        <f>AND(#REF!,"AAAAAHf39iQ=")</f>
        <v>#REF!</v>
      </c>
      <c r="AL160" t="e">
        <f>AND(#REF!,"AAAAAHf39iU=")</f>
        <v>#REF!</v>
      </c>
      <c r="AM160" t="e">
        <f>AND(#REF!,"AAAAAHf39iY=")</f>
        <v>#REF!</v>
      </c>
      <c r="AN160" t="e">
        <f>AND(#REF!,"AAAAAHf39ic=")</f>
        <v>#REF!</v>
      </c>
      <c r="AO160" t="e">
        <f>AND(#REF!,"AAAAAHf39ig=")</f>
        <v>#REF!</v>
      </c>
      <c r="AP160" t="e">
        <f>AND(#REF!,"AAAAAHf39ik=")</f>
        <v>#REF!</v>
      </c>
      <c r="AQ160" t="e">
        <f>AND(#REF!,"AAAAAHf39io=")</f>
        <v>#REF!</v>
      </c>
      <c r="AR160" t="e">
        <f>IF(#REF!,"AAAAAHf39is=",0)</f>
        <v>#REF!</v>
      </c>
      <c r="AS160" t="e">
        <f>AND(#REF!,"AAAAAHf39iw=")</f>
        <v>#REF!</v>
      </c>
      <c r="AT160" t="e">
        <f>AND(#REF!,"AAAAAHf39i0=")</f>
        <v>#REF!</v>
      </c>
      <c r="AU160" t="e">
        <f>AND(#REF!,"AAAAAHf39i4=")</f>
        <v>#REF!</v>
      </c>
      <c r="AV160" t="e">
        <f>AND(#REF!,"AAAAAHf39i8=")</f>
        <v>#REF!</v>
      </c>
      <c r="AW160" t="e">
        <f>AND(#REF!,"AAAAAHf39jA=")</f>
        <v>#REF!</v>
      </c>
      <c r="AX160" t="e">
        <f>AND(#REF!,"AAAAAHf39jE=")</f>
        <v>#REF!</v>
      </c>
      <c r="AY160" t="e">
        <f>AND(#REF!,"AAAAAHf39jI=")</f>
        <v>#REF!</v>
      </c>
      <c r="AZ160" t="e">
        <f>AND(#REF!,"AAAAAHf39jM=")</f>
        <v>#REF!</v>
      </c>
      <c r="BA160" t="e">
        <f>AND(#REF!,"AAAAAHf39jQ=")</f>
        <v>#REF!</v>
      </c>
      <c r="BB160" t="e">
        <f>AND(#REF!,"AAAAAHf39jU=")</f>
        <v>#REF!</v>
      </c>
      <c r="BC160" t="e">
        <f>AND(#REF!,"AAAAAHf39jY=")</f>
        <v>#REF!</v>
      </c>
      <c r="BD160" t="e">
        <f>AND(#REF!,"AAAAAHf39jc=")</f>
        <v>#REF!</v>
      </c>
      <c r="BE160" t="e">
        <f>AND(#REF!,"AAAAAHf39jg=")</f>
        <v>#REF!</v>
      </c>
      <c r="BF160" t="e">
        <f>AND(#REF!,"AAAAAHf39jk=")</f>
        <v>#REF!</v>
      </c>
      <c r="BG160" t="e">
        <f>AND(#REF!,"AAAAAHf39jo=")</f>
        <v>#REF!</v>
      </c>
      <c r="BH160" t="e">
        <f>AND(#REF!,"AAAAAHf39js=")</f>
        <v>#REF!</v>
      </c>
      <c r="BI160" t="e">
        <f>AND(#REF!,"AAAAAHf39jw=")</f>
        <v>#REF!</v>
      </c>
      <c r="BJ160" t="e">
        <f>AND(#REF!,"AAAAAHf39j0=")</f>
        <v>#REF!</v>
      </c>
      <c r="BK160" t="e">
        <f>AND(#REF!,"AAAAAHf39j4=")</f>
        <v>#REF!</v>
      </c>
      <c r="BL160" t="e">
        <f>AND(#REF!,"AAAAAHf39j8=")</f>
        <v>#REF!</v>
      </c>
      <c r="BM160" t="e">
        <f>AND(#REF!,"AAAAAHf39kA=")</f>
        <v>#REF!</v>
      </c>
      <c r="BN160" t="e">
        <f>IF(#REF!,"AAAAAHf39kE=",0)</f>
        <v>#REF!</v>
      </c>
      <c r="BO160" t="e">
        <f>AND(#REF!,"AAAAAHf39kI=")</f>
        <v>#REF!</v>
      </c>
      <c r="BP160" t="e">
        <f>AND(#REF!,"AAAAAHf39kM=")</f>
        <v>#REF!</v>
      </c>
      <c r="BQ160" t="e">
        <f>AND(#REF!,"AAAAAHf39kQ=")</f>
        <v>#REF!</v>
      </c>
      <c r="BR160" t="e">
        <f>AND(#REF!,"AAAAAHf39kU=")</f>
        <v>#REF!</v>
      </c>
      <c r="BS160" t="e">
        <f>AND(#REF!,"AAAAAHf39kY=")</f>
        <v>#REF!</v>
      </c>
      <c r="BT160" t="e">
        <f>AND(#REF!,"AAAAAHf39kc=")</f>
        <v>#REF!</v>
      </c>
      <c r="BU160" t="e">
        <f>AND(#REF!,"AAAAAHf39kg=")</f>
        <v>#REF!</v>
      </c>
      <c r="BV160" t="e">
        <f>AND(#REF!,"AAAAAHf39kk=")</f>
        <v>#REF!</v>
      </c>
      <c r="BW160" t="e">
        <f>AND(#REF!,"AAAAAHf39ko=")</f>
        <v>#REF!</v>
      </c>
      <c r="BX160" t="e">
        <f>AND(#REF!,"AAAAAHf39ks=")</f>
        <v>#REF!</v>
      </c>
      <c r="BY160" t="e">
        <f>AND(#REF!,"AAAAAHf39kw=")</f>
        <v>#REF!</v>
      </c>
      <c r="BZ160" t="e">
        <f>AND(#REF!,"AAAAAHf39k0=")</f>
        <v>#REF!</v>
      </c>
      <c r="CA160" t="e">
        <f>AND(#REF!,"AAAAAHf39k4=")</f>
        <v>#REF!</v>
      </c>
      <c r="CB160" t="e">
        <f>AND(#REF!,"AAAAAHf39k8=")</f>
        <v>#REF!</v>
      </c>
      <c r="CC160" t="e">
        <f>AND(#REF!,"AAAAAHf39lA=")</f>
        <v>#REF!</v>
      </c>
      <c r="CD160" t="e">
        <f>AND(#REF!,"AAAAAHf39lE=")</f>
        <v>#REF!</v>
      </c>
      <c r="CE160" t="e">
        <f>AND(#REF!,"AAAAAHf39lI=")</f>
        <v>#REF!</v>
      </c>
      <c r="CF160" t="e">
        <f>AND(#REF!,"AAAAAHf39lM=")</f>
        <v>#REF!</v>
      </c>
      <c r="CG160" t="e">
        <f>AND(#REF!,"AAAAAHf39lQ=")</f>
        <v>#REF!</v>
      </c>
      <c r="CH160" t="e">
        <f>AND(#REF!,"AAAAAHf39lU=")</f>
        <v>#REF!</v>
      </c>
      <c r="CI160" t="e">
        <f>AND(#REF!,"AAAAAHf39lY=")</f>
        <v>#REF!</v>
      </c>
      <c r="CJ160" t="e">
        <f>IF(#REF!,"AAAAAHf39lc=",0)</f>
        <v>#REF!</v>
      </c>
      <c r="CK160" t="e">
        <f>AND(#REF!,"AAAAAHf39lg=")</f>
        <v>#REF!</v>
      </c>
      <c r="CL160" t="e">
        <f>AND(#REF!,"AAAAAHf39lk=")</f>
        <v>#REF!</v>
      </c>
      <c r="CM160" t="e">
        <f>AND(#REF!,"AAAAAHf39lo=")</f>
        <v>#REF!</v>
      </c>
      <c r="CN160" t="e">
        <f>AND(#REF!,"AAAAAHf39ls=")</f>
        <v>#REF!</v>
      </c>
      <c r="CO160" t="e">
        <f>AND(#REF!,"AAAAAHf39lw=")</f>
        <v>#REF!</v>
      </c>
      <c r="CP160" t="e">
        <f>AND(#REF!,"AAAAAHf39l0=")</f>
        <v>#REF!</v>
      </c>
      <c r="CQ160" t="e">
        <f>AND(#REF!,"AAAAAHf39l4=")</f>
        <v>#REF!</v>
      </c>
      <c r="CR160" t="e">
        <f>AND(#REF!,"AAAAAHf39l8=")</f>
        <v>#REF!</v>
      </c>
      <c r="CS160" t="e">
        <f>AND(#REF!,"AAAAAHf39mA=")</f>
        <v>#REF!</v>
      </c>
      <c r="CT160" t="e">
        <f>AND(#REF!,"AAAAAHf39mE=")</f>
        <v>#REF!</v>
      </c>
      <c r="CU160" t="e">
        <f>AND(#REF!,"AAAAAHf39mI=")</f>
        <v>#REF!</v>
      </c>
      <c r="CV160" t="e">
        <f>AND(#REF!,"AAAAAHf39mM=")</f>
        <v>#REF!</v>
      </c>
      <c r="CW160" t="e">
        <f>AND(#REF!,"AAAAAHf39mQ=")</f>
        <v>#REF!</v>
      </c>
      <c r="CX160" t="e">
        <f>AND(#REF!,"AAAAAHf39mU=")</f>
        <v>#REF!</v>
      </c>
      <c r="CY160" t="e">
        <f>AND(#REF!,"AAAAAHf39mY=")</f>
        <v>#REF!</v>
      </c>
      <c r="CZ160" t="e">
        <f>AND(#REF!,"AAAAAHf39mc=")</f>
        <v>#REF!</v>
      </c>
      <c r="DA160" t="e">
        <f>AND(#REF!,"AAAAAHf39mg=")</f>
        <v>#REF!</v>
      </c>
      <c r="DB160" t="e">
        <f>AND(#REF!,"AAAAAHf39mk=")</f>
        <v>#REF!</v>
      </c>
      <c r="DC160" t="e">
        <f>AND(#REF!,"AAAAAHf39mo=")</f>
        <v>#REF!</v>
      </c>
      <c r="DD160" t="e">
        <f>AND(#REF!,"AAAAAHf39ms=")</f>
        <v>#REF!</v>
      </c>
      <c r="DE160" t="e">
        <f>AND(#REF!,"AAAAAHf39mw=")</f>
        <v>#REF!</v>
      </c>
      <c r="DF160" t="e">
        <f>IF(#REF!,"AAAAAHf39m0=",0)</f>
        <v>#REF!</v>
      </c>
      <c r="DG160" t="e">
        <f>AND(#REF!,"AAAAAHf39m4=")</f>
        <v>#REF!</v>
      </c>
      <c r="DH160" t="e">
        <f>AND(#REF!,"AAAAAHf39m8=")</f>
        <v>#REF!</v>
      </c>
      <c r="DI160" t="e">
        <f>AND(#REF!,"AAAAAHf39nA=")</f>
        <v>#REF!</v>
      </c>
      <c r="DJ160" t="e">
        <f>AND(#REF!,"AAAAAHf39nE=")</f>
        <v>#REF!</v>
      </c>
      <c r="DK160" t="e">
        <f>AND(#REF!,"AAAAAHf39nI=")</f>
        <v>#REF!</v>
      </c>
      <c r="DL160" t="e">
        <f>AND(#REF!,"AAAAAHf39nM=")</f>
        <v>#REF!</v>
      </c>
      <c r="DM160" t="e">
        <f>AND(#REF!,"AAAAAHf39nQ=")</f>
        <v>#REF!</v>
      </c>
      <c r="DN160" t="e">
        <f>AND(#REF!,"AAAAAHf39nU=")</f>
        <v>#REF!</v>
      </c>
      <c r="DO160" t="e">
        <f>AND(#REF!,"AAAAAHf39nY=")</f>
        <v>#REF!</v>
      </c>
      <c r="DP160" t="e">
        <f>AND(#REF!,"AAAAAHf39nc=")</f>
        <v>#REF!</v>
      </c>
      <c r="DQ160" t="e">
        <f>AND(#REF!,"AAAAAHf39ng=")</f>
        <v>#REF!</v>
      </c>
      <c r="DR160" t="e">
        <f>AND(#REF!,"AAAAAHf39nk=")</f>
        <v>#REF!</v>
      </c>
      <c r="DS160" t="e">
        <f>AND(#REF!,"AAAAAHf39no=")</f>
        <v>#REF!</v>
      </c>
      <c r="DT160" t="e">
        <f>AND(#REF!,"AAAAAHf39ns=")</f>
        <v>#REF!</v>
      </c>
      <c r="DU160" t="e">
        <f>AND(#REF!,"AAAAAHf39nw=")</f>
        <v>#REF!</v>
      </c>
      <c r="DV160" t="e">
        <f>AND(#REF!,"AAAAAHf39n0=")</f>
        <v>#REF!</v>
      </c>
      <c r="DW160" t="e">
        <f>AND(#REF!,"AAAAAHf39n4=")</f>
        <v>#REF!</v>
      </c>
      <c r="DX160" t="e">
        <f>AND(#REF!,"AAAAAHf39n8=")</f>
        <v>#REF!</v>
      </c>
      <c r="DY160" t="e">
        <f>AND(#REF!,"AAAAAHf39oA=")</f>
        <v>#REF!</v>
      </c>
      <c r="DZ160" t="e">
        <f>AND(#REF!,"AAAAAHf39oE=")</f>
        <v>#REF!</v>
      </c>
      <c r="EA160" t="e">
        <f>AND(#REF!,"AAAAAHf39oI=")</f>
        <v>#REF!</v>
      </c>
      <c r="EB160" t="e">
        <f>IF(#REF!,"AAAAAHf39oM=",0)</f>
        <v>#REF!</v>
      </c>
      <c r="EC160" t="e">
        <f>AND(#REF!,"AAAAAHf39oQ=")</f>
        <v>#REF!</v>
      </c>
      <c r="ED160" t="e">
        <f>AND(#REF!,"AAAAAHf39oU=")</f>
        <v>#REF!</v>
      </c>
      <c r="EE160" t="e">
        <f>AND(#REF!,"AAAAAHf39oY=")</f>
        <v>#REF!</v>
      </c>
      <c r="EF160" t="e">
        <f>AND(#REF!,"AAAAAHf39oc=")</f>
        <v>#REF!</v>
      </c>
      <c r="EG160" t="e">
        <f>AND(#REF!,"AAAAAHf39og=")</f>
        <v>#REF!</v>
      </c>
      <c r="EH160" t="e">
        <f>AND(#REF!,"AAAAAHf39ok=")</f>
        <v>#REF!</v>
      </c>
      <c r="EI160" t="e">
        <f>AND(#REF!,"AAAAAHf39oo=")</f>
        <v>#REF!</v>
      </c>
      <c r="EJ160" t="e">
        <f>AND(#REF!,"AAAAAHf39os=")</f>
        <v>#REF!</v>
      </c>
      <c r="EK160" t="e">
        <f>AND(#REF!,"AAAAAHf39ow=")</f>
        <v>#REF!</v>
      </c>
      <c r="EL160" t="e">
        <f>AND(#REF!,"AAAAAHf39o0=")</f>
        <v>#REF!</v>
      </c>
      <c r="EM160" t="e">
        <f>AND(#REF!,"AAAAAHf39o4=")</f>
        <v>#REF!</v>
      </c>
      <c r="EN160" t="e">
        <f>AND(#REF!,"AAAAAHf39o8=")</f>
        <v>#REF!</v>
      </c>
      <c r="EO160" t="e">
        <f>AND(#REF!,"AAAAAHf39pA=")</f>
        <v>#REF!</v>
      </c>
      <c r="EP160" t="e">
        <f>AND(#REF!,"AAAAAHf39pE=")</f>
        <v>#REF!</v>
      </c>
      <c r="EQ160" t="e">
        <f>AND(#REF!,"AAAAAHf39pI=")</f>
        <v>#REF!</v>
      </c>
      <c r="ER160" t="e">
        <f>AND(#REF!,"AAAAAHf39pM=")</f>
        <v>#REF!</v>
      </c>
      <c r="ES160" t="e">
        <f>AND(#REF!,"AAAAAHf39pQ=")</f>
        <v>#REF!</v>
      </c>
      <c r="ET160" t="e">
        <f>AND(#REF!,"AAAAAHf39pU=")</f>
        <v>#REF!</v>
      </c>
      <c r="EU160" t="e">
        <f>AND(#REF!,"AAAAAHf39pY=")</f>
        <v>#REF!</v>
      </c>
      <c r="EV160" t="e">
        <f>AND(#REF!,"AAAAAHf39pc=")</f>
        <v>#REF!</v>
      </c>
      <c r="EW160" t="e">
        <f>AND(#REF!,"AAAAAHf39pg=")</f>
        <v>#REF!</v>
      </c>
      <c r="EX160" t="e">
        <f>IF(#REF!,"AAAAAHf39pk=",0)</f>
        <v>#REF!</v>
      </c>
      <c r="EY160" t="e">
        <f>AND(#REF!,"AAAAAHf39po=")</f>
        <v>#REF!</v>
      </c>
      <c r="EZ160" t="e">
        <f>AND(#REF!,"AAAAAHf39ps=")</f>
        <v>#REF!</v>
      </c>
      <c r="FA160" t="e">
        <f>AND(#REF!,"AAAAAHf39pw=")</f>
        <v>#REF!</v>
      </c>
      <c r="FB160" t="e">
        <f>AND(#REF!,"AAAAAHf39p0=")</f>
        <v>#REF!</v>
      </c>
      <c r="FC160" t="e">
        <f>AND(#REF!,"AAAAAHf39p4=")</f>
        <v>#REF!</v>
      </c>
      <c r="FD160" t="e">
        <f>AND(#REF!,"AAAAAHf39p8=")</f>
        <v>#REF!</v>
      </c>
      <c r="FE160" t="e">
        <f>AND(#REF!,"AAAAAHf39qA=")</f>
        <v>#REF!</v>
      </c>
      <c r="FF160" t="e">
        <f>AND(#REF!,"AAAAAHf39qE=")</f>
        <v>#REF!</v>
      </c>
      <c r="FG160" t="e">
        <f>AND(#REF!,"AAAAAHf39qI=")</f>
        <v>#REF!</v>
      </c>
      <c r="FH160" t="e">
        <f>AND(#REF!,"AAAAAHf39qM=")</f>
        <v>#REF!</v>
      </c>
      <c r="FI160" t="e">
        <f>AND(#REF!,"AAAAAHf39qQ=")</f>
        <v>#REF!</v>
      </c>
      <c r="FJ160" t="e">
        <f>AND(#REF!,"AAAAAHf39qU=")</f>
        <v>#REF!</v>
      </c>
      <c r="FK160" t="e">
        <f>AND(#REF!,"AAAAAHf39qY=")</f>
        <v>#REF!</v>
      </c>
      <c r="FL160" t="e">
        <f>AND(#REF!,"AAAAAHf39qc=")</f>
        <v>#REF!</v>
      </c>
      <c r="FM160" t="e">
        <f>AND(#REF!,"AAAAAHf39qg=")</f>
        <v>#REF!</v>
      </c>
      <c r="FN160" t="e">
        <f>AND(#REF!,"AAAAAHf39qk=")</f>
        <v>#REF!</v>
      </c>
      <c r="FO160" t="e">
        <f>AND(#REF!,"AAAAAHf39qo=")</f>
        <v>#REF!</v>
      </c>
      <c r="FP160" t="e">
        <f>AND(#REF!,"AAAAAHf39qs=")</f>
        <v>#REF!</v>
      </c>
      <c r="FQ160" t="e">
        <f>AND(#REF!,"AAAAAHf39qw=")</f>
        <v>#REF!</v>
      </c>
      <c r="FR160" t="e">
        <f>AND(#REF!,"AAAAAHf39q0=")</f>
        <v>#REF!</v>
      </c>
      <c r="FS160" t="e">
        <f>AND(#REF!,"AAAAAHf39q4=")</f>
        <v>#REF!</v>
      </c>
      <c r="FT160" t="e">
        <f>IF(#REF!,"AAAAAHf39q8=",0)</f>
        <v>#REF!</v>
      </c>
      <c r="FU160" t="e">
        <f>AND(#REF!,"AAAAAHf39rA=")</f>
        <v>#REF!</v>
      </c>
      <c r="FV160" t="e">
        <f>AND(#REF!,"AAAAAHf39rE=")</f>
        <v>#REF!</v>
      </c>
      <c r="FW160" t="e">
        <f>AND(#REF!,"AAAAAHf39rI=")</f>
        <v>#REF!</v>
      </c>
      <c r="FX160" t="e">
        <f>AND(#REF!,"AAAAAHf39rM=")</f>
        <v>#REF!</v>
      </c>
      <c r="FY160" t="e">
        <f>AND(#REF!,"AAAAAHf39rQ=")</f>
        <v>#REF!</v>
      </c>
      <c r="FZ160" t="e">
        <f>AND(#REF!,"AAAAAHf39rU=")</f>
        <v>#REF!</v>
      </c>
      <c r="GA160" t="e">
        <f>AND(#REF!,"AAAAAHf39rY=")</f>
        <v>#REF!</v>
      </c>
      <c r="GB160" t="e">
        <f>AND(#REF!,"AAAAAHf39rc=")</f>
        <v>#REF!</v>
      </c>
      <c r="GC160" t="e">
        <f>AND(#REF!,"AAAAAHf39rg=")</f>
        <v>#REF!</v>
      </c>
      <c r="GD160" t="e">
        <f>AND(#REF!,"AAAAAHf39rk=")</f>
        <v>#REF!</v>
      </c>
      <c r="GE160" t="e">
        <f>AND(#REF!,"AAAAAHf39ro=")</f>
        <v>#REF!</v>
      </c>
      <c r="GF160" t="e">
        <f>AND(#REF!,"AAAAAHf39rs=")</f>
        <v>#REF!</v>
      </c>
      <c r="GG160" t="e">
        <f>AND(#REF!,"AAAAAHf39rw=")</f>
        <v>#REF!</v>
      </c>
      <c r="GH160" t="e">
        <f>AND(#REF!,"AAAAAHf39r0=")</f>
        <v>#REF!</v>
      </c>
      <c r="GI160" t="e">
        <f>AND(#REF!,"AAAAAHf39r4=")</f>
        <v>#REF!</v>
      </c>
      <c r="GJ160" t="e">
        <f>AND(#REF!,"AAAAAHf39r8=")</f>
        <v>#REF!</v>
      </c>
      <c r="GK160" t="e">
        <f>AND(#REF!,"AAAAAHf39sA=")</f>
        <v>#REF!</v>
      </c>
      <c r="GL160" t="e">
        <f>AND(#REF!,"AAAAAHf39sE=")</f>
        <v>#REF!</v>
      </c>
      <c r="GM160" t="e">
        <f>AND(#REF!,"AAAAAHf39sI=")</f>
        <v>#REF!</v>
      </c>
      <c r="GN160" t="e">
        <f>AND(#REF!,"AAAAAHf39sM=")</f>
        <v>#REF!</v>
      </c>
      <c r="GO160" t="e">
        <f>AND(#REF!,"AAAAAHf39sQ=")</f>
        <v>#REF!</v>
      </c>
      <c r="GP160" t="e">
        <f>IF(#REF!,"AAAAAHf39sU=",0)</f>
        <v>#REF!</v>
      </c>
      <c r="GQ160" t="e">
        <f>AND(#REF!,"AAAAAHf39sY=")</f>
        <v>#REF!</v>
      </c>
      <c r="GR160" t="e">
        <f>AND(#REF!,"AAAAAHf39sc=")</f>
        <v>#REF!</v>
      </c>
      <c r="GS160" t="e">
        <f>AND(#REF!,"AAAAAHf39sg=")</f>
        <v>#REF!</v>
      </c>
      <c r="GT160" t="e">
        <f>AND(#REF!,"AAAAAHf39sk=")</f>
        <v>#REF!</v>
      </c>
      <c r="GU160" t="e">
        <f>AND(#REF!,"AAAAAHf39so=")</f>
        <v>#REF!</v>
      </c>
      <c r="GV160" t="e">
        <f>AND(#REF!,"AAAAAHf39ss=")</f>
        <v>#REF!</v>
      </c>
      <c r="GW160" t="e">
        <f>AND(#REF!,"AAAAAHf39sw=")</f>
        <v>#REF!</v>
      </c>
      <c r="GX160" t="e">
        <f>AND(#REF!,"AAAAAHf39s0=")</f>
        <v>#REF!</v>
      </c>
      <c r="GY160" t="e">
        <f>AND(#REF!,"AAAAAHf39s4=")</f>
        <v>#REF!</v>
      </c>
      <c r="GZ160" t="e">
        <f>AND(#REF!,"AAAAAHf39s8=")</f>
        <v>#REF!</v>
      </c>
      <c r="HA160" t="e">
        <f>AND(#REF!,"AAAAAHf39tA=")</f>
        <v>#REF!</v>
      </c>
      <c r="HB160" t="e">
        <f>AND(#REF!,"AAAAAHf39tE=")</f>
        <v>#REF!</v>
      </c>
      <c r="HC160" t="e">
        <f>AND(#REF!,"AAAAAHf39tI=")</f>
        <v>#REF!</v>
      </c>
      <c r="HD160" t="e">
        <f>AND(#REF!,"AAAAAHf39tM=")</f>
        <v>#REF!</v>
      </c>
      <c r="HE160" t="e">
        <f>AND(#REF!,"AAAAAHf39tQ=")</f>
        <v>#REF!</v>
      </c>
      <c r="HF160" t="e">
        <f>AND(#REF!,"AAAAAHf39tU=")</f>
        <v>#REF!</v>
      </c>
      <c r="HG160" t="e">
        <f>AND(#REF!,"AAAAAHf39tY=")</f>
        <v>#REF!</v>
      </c>
      <c r="HH160" t="e">
        <f>AND(#REF!,"AAAAAHf39tc=")</f>
        <v>#REF!</v>
      </c>
      <c r="HI160" t="e">
        <f>AND(#REF!,"AAAAAHf39tg=")</f>
        <v>#REF!</v>
      </c>
      <c r="HJ160" t="e">
        <f>AND(#REF!,"AAAAAHf39tk=")</f>
        <v>#REF!</v>
      </c>
      <c r="HK160" t="e">
        <f>AND(#REF!,"AAAAAHf39to=")</f>
        <v>#REF!</v>
      </c>
      <c r="HL160" t="e">
        <f>IF(#REF!,"AAAAAHf39ts=",0)</f>
        <v>#REF!</v>
      </c>
      <c r="HM160" t="e">
        <f>AND(#REF!,"AAAAAHf39tw=")</f>
        <v>#REF!</v>
      </c>
      <c r="HN160" t="e">
        <f>AND(#REF!,"AAAAAHf39t0=")</f>
        <v>#REF!</v>
      </c>
      <c r="HO160" t="e">
        <f>AND(#REF!,"AAAAAHf39t4=")</f>
        <v>#REF!</v>
      </c>
      <c r="HP160" t="e">
        <f>AND(#REF!,"AAAAAHf39t8=")</f>
        <v>#REF!</v>
      </c>
      <c r="HQ160" t="e">
        <f>AND(#REF!,"AAAAAHf39uA=")</f>
        <v>#REF!</v>
      </c>
      <c r="HR160" t="e">
        <f>AND(#REF!,"AAAAAHf39uE=")</f>
        <v>#REF!</v>
      </c>
      <c r="HS160" t="e">
        <f>AND(#REF!,"AAAAAHf39uI=")</f>
        <v>#REF!</v>
      </c>
      <c r="HT160" t="e">
        <f>AND(#REF!,"AAAAAHf39uM=")</f>
        <v>#REF!</v>
      </c>
      <c r="HU160" t="e">
        <f>AND(#REF!,"AAAAAHf39uQ=")</f>
        <v>#REF!</v>
      </c>
      <c r="HV160" t="e">
        <f>AND(#REF!,"AAAAAHf39uU=")</f>
        <v>#REF!</v>
      </c>
      <c r="HW160" t="e">
        <f>AND(#REF!,"AAAAAHf39uY=")</f>
        <v>#REF!</v>
      </c>
      <c r="HX160" t="e">
        <f>AND(#REF!,"AAAAAHf39uc=")</f>
        <v>#REF!</v>
      </c>
      <c r="HY160" t="e">
        <f>AND(#REF!,"AAAAAHf39ug=")</f>
        <v>#REF!</v>
      </c>
      <c r="HZ160" t="e">
        <f>AND(#REF!,"AAAAAHf39uk=")</f>
        <v>#REF!</v>
      </c>
      <c r="IA160" t="e">
        <f>AND(#REF!,"AAAAAHf39uo=")</f>
        <v>#REF!</v>
      </c>
      <c r="IB160" t="e">
        <f>AND(#REF!,"AAAAAHf39us=")</f>
        <v>#REF!</v>
      </c>
      <c r="IC160" t="e">
        <f>AND(#REF!,"AAAAAHf39uw=")</f>
        <v>#REF!</v>
      </c>
      <c r="ID160" t="e">
        <f>AND(#REF!,"AAAAAHf39u0=")</f>
        <v>#REF!</v>
      </c>
      <c r="IE160" t="e">
        <f>AND(#REF!,"AAAAAHf39u4=")</f>
        <v>#REF!</v>
      </c>
      <c r="IF160" t="e">
        <f>AND(#REF!,"AAAAAHf39u8=")</f>
        <v>#REF!</v>
      </c>
      <c r="IG160" t="e">
        <f>AND(#REF!,"AAAAAHf39vA=")</f>
        <v>#REF!</v>
      </c>
      <c r="IH160" t="e">
        <f>IF(#REF!,"AAAAAHf39vE=",0)</f>
        <v>#REF!</v>
      </c>
      <c r="II160" t="e">
        <f>AND(#REF!,"AAAAAHf39vI=")</f>
        <v>#REF!</v>
      </c>
      <c r="IJ160" t="e">
        <f>AND(#REF!,"AAAAAHf39vM=")</f>
        <v>#REF!</v>
      </c>
      <c r="IK160" t="e">
        <f>AND(#REF!,"AAAAAHf39vQ=")</f>
        <v>#REF!</v>
      </c>
      <c r="IL160" t="e">
        <f>AND(#REF!,"AAAAAHf39vU=")</f>
        <v>#REF!</v>
      </c>
      <c r="IM160" t="e">
        <f>AND(#REF!,"AAAAAHf39vY=")</f>
        <v>#REF!</v>
      </c>
      <c r="IN160" t="e">
        <f>AND(#REF!,"AAAAAHf39vc=")</f>
        <v>#REF!</v>
      </c>
      <c r="IO160" t="e">
        <f>AND(#REF!,"AAAAAHf39vg=")</f>
        <v>#REF!</v>
      </c>
      <c r="IP160" t="e">
        <f>AND(#REF!,"AAAAAHf39vk=")</f>
        <v>#REF!</v>
      </c>
      <c r="IQ160" t="e">
        <f>AND(#REF!,"AAAAAHf39vo=")</f>
        <v>#REF!</v>
      </c>
      <c r="IR160" t="e">
        <f>AND(#REF!,"AAAAAHf39vs=")</f>
        <v>#REF!</v>
      </c>
      <c r="IS160" t="e">
        <f>AND(#REF!,"AAAAAHf39vw=")</f>
        <v>#REF!</v>
      </c>
      <c r="IT160" t="e">
        <f>AND(#REF!,"AAAAAHf39v0=")</f>
        <v>#REF!</v>
      </c>
      <c r="IU160" t="e">
        <f>AND(#REF!,"AAAAAHf39v4=")</f>
        <v>#REF!</v>
      </c>
      <c r="IV160" t="e">
        <f>AND(#REF!,"AAAAAHf39v8=")</f>
        <v>#REF!</v>
      </c>
    </row>
    <row r="161" spans="1:256" x14ac:dyDescent="0.25">
      <c r="A161" t="e">
        <f>AND(#REF!,"AAAAAHb7KwA=")</f>
        <v>#REF!</v>
      </c>
      <c r="B161" t="e">
        <f>AND(#REF!,"AAAAAHb7KwE=")</f>
        <v>#REF!</v>
      </c>
      <c r="C161" t="e">
        <f>AND(#REF!,"AAAAAHb7KwI=")</f>
        <v>#REF!</v>
      </c>
      <c r="D161" t="e">
        <f>AND(#REF!,"AAAAAHb7KwM=")</f>
        <v>#REF!</v>
      </c>
      <c r="E161" t="e">
        <f>AND(#REF!,"AAAAAHb7KwQ=")</f>
        <v>#REF!</v>
      </c>
      <c r="F161" t="e">
        <f>AND(#REF!,"AAAAAHb7KwU=")</f>
        <v>#REF!</v>
      </c>
      <c r="G161" t="e">
        <f>AND(#REF!,"AAAAAHb7KwY=")</f>
        <v>#REF!</v>
      </c>
      <c r="H161" t="e">
        <f>IF(#REF!,"AAAAAHb7Kwc=",0)</f>
        <v>#REF!</v>
      </c>
      <c r="I161" t="e">
        <f>AND(#REF!,"AAAAAHb7Kwg=")</f>
        <v>#REF!</v>
      </c>
      <c r="J161" t="e">
        <f>AND(#REF!,"AAAAAHb7Kwk=")</f>
        <v>#REF!</v>
      </c>
      <c r="K161" t="e">
        <f>AND(#REF!,"AAAAAHb7Kwo=")</f>
        <v>#REF!</v>
      </c>
      <c r="L161" t="e">
        <f>AND(#REF!,"AAAAAHb7Kws=")</f>
        <v>#REF!</v>
      </c>
      <c r="M161" t="e">
        <f>AND(#REF!,"AAAAAHb7Kww=")</f>
        <v>#REF!</v>
      </c>
      <c r="N161" t="e">
        <f>AND(#REF!,"AAAAAHb7Kw0=")</f>
        <v>#REF!</v>
      </c>
      <c r="O161" t="e">
        <f>AND(#REF!,"AAAAAHb7Kw4=")</f>
        <v>#REF!</v>
      </c>
      <c r="P161" t="e">
        <f>AND(#REF!,"AAAAAHb7Kw8=")</f>
        <v>#REF!</v>
      </c>
      <c r="Q161" t="e">
        <f>AND(#REF!,"AAAAAHb7KxA=")</f>
        <v>#REF!</v>
      </c>
      <c r="R161" t="e">
        <f>AND(#REF!,"AAAAAHb7KxE=")</f>
        <v>#REF!</v>
      </c>
      <c r="S161" t="e">
        <f>AND(#REF!,"AAAAAHb7KxI=")</f>
        <v>#REF!</v>
      </c>
      <c r="T161" t="e">
        <f>AND(#REF!,"AAAAAHb7KxM=")</f>
        <v>#REF!</v>
      </c>
      <c r="U161" t="e">
        <f>AND(#REF!,"AAAAAHb7KxQ=")</f>
        <v>#REF!</v>
      </c>
      <c r="V161" t="e">
        <f>AND(#REF!,"AAAAAHb7KxU=")</f>
        <v>#REF!</v>
      </c>
      <c r="W161" t="e">
        <f>AND(#REF!,"AAAAAHb7KxY=")</f>
        <v>#REF!</v>
      </c>
      <c r="X161" t="e">
        <f>AND(#REF!,"AAAAAHb7Kxc=")</f>
        <v>#REF!</v>
      </c>
      <c r="Y161" t="e">
        <f>AND(#REF!,"AAAAAHb7Kxg=")</f>
        <v>#REF!</v>
      </c>
      <c r="Z161" t="e">
        <f>AND(#REF!,"AAAAAHb7Kxk=")</f>
        <v>#REF!</v>
      </c>
      <c r="AA161" t="e">
        <f>AND(#REF!,"AAAAAHb7Kxo=")</f>
        <v>#REF!</v>
      </c>
      <c r="AB161" t="e">
        <f>AND(#REF!,"AAAAAHb7Kxs=")</f>
        <v>#REF!</v>
      </c>
      <c r="AC161" t="e">
        <f>AND(#REF!,"AAAAAHb7Kxw=")</f>
        <v>#REF!</v>
      </c>
      <c r="AD161" t="e">
        <f>IF(#REF!,"AAAAAHb7Kx0=",0)</f>
        <v>#REF!</v>
      </c>
      <c r="AE161" t="e">
        <f>AND(#REF!,"AAAAAHb7Kx4=")</f>
        <v>#REF!</v>
      </c>
      <c r="AF161" t="e">
        <f>AND(#REF!,"AAAAAHb7Kx8=")</f>
        <v>#REF!</v>
      </c>
      <c r="AG161" t="e">
        <f>AND(#REF!,"AAAAAHb7KyA=")</f>
        <v>#REF!</v>
      </c>
      <c r="AH161" t="e">
        <f>AND(#REF!,"AAAAAHb7KyE=")</f>
        <v>#REF!</v>
      </c>
      <c r="AI161" t="e">
        <f>AND(#REF!,"AAAAAHb7KyI=")</f>
        <v>#REF!</v>
      </c>
      <c r="AJ161" t="e">
        <f>AND(#REF!,"AAAAAHb7KyM=")</f>
        <v>#REF!</v>
      </c>
      <c r="AK161" t="e">
        <f>AND(#REF!,"AAAAAHb7KyQ=")</f>
        <v>#REF!</v>
      </c>
      <c r="AL161" t="e">
        <f>AND(#REF!,"AAAAAHb7KyU=")</f>
        <v>#REF!</v>
      </c>
      <c r="AM161" t="e">
        <f>AND(#REF!,"AAAAAHb7KyY=")</f>
        <v>#REF!</v>
      </c>
      <c r="AN161" t="e">
        <f>AND(#REF!,"AAAAAHb7Kyc=")</f>
        <v>#REF!</v>
      </c>
      <c r="AO161" t="e">
        <f>AND(#REF!,"AAAAAHb7Kyg=")</f>
        <v>#REF!</v>
      </c>
      <c r="AP161" t="e">
        <f>AND(#REF!,"AAAAAHb7Kyk=")</f>
        <v>#REF!</v>
      </c>
      <c r="AQ161" t="e">
        <f>AND(#REF!,"AAAAAHb7Kyo=")</f>
        <v>#REF!</v>
      </c>
      <c r="AR161" t="e">
        <f>AND(#REF!,"AAAAAHb7Kys=")</f>
        <v>#REF!</v>
      </c>
      <c r="AS161" t="e">
        <f>AND(#REF!,"AAAAAHb7Kyw=")</f>
        <v>#REF!</v>
      </c>
      <c r="AT161" t="e">
        <f>AND(#REF!,"AAAAAHb7Ky0=")</f>
        <v>#REF!</v>
      </c>
      <c r="AU161" t="e">
        <f>AND(#REF!,"AAAAAHb7Ky4=")</f>
        <v>#REF!</v>
      </c>
      <c r="AV161" t="e">
        <f>AND(#REF!,"AAAAAHb7Ky8=")</f>
        <v>#REF!</v>
      </c>
      <c r="AW161" t="e">
        <f>AND(#REF!,"AAAAAHb7KzA=")</f>
        <v>#REF!</v>
      </c>
      <c r="AX161" t="e">
        <f>AND(#REF!,"AAAAAHb7KzE=")</f>
        <v>#REF!</v>
      </c>
      <c r="AY161" t="e">
        <f>AND(#REF!,"AAAAAHb7KzI=")</f>
        <v>#REF!</v>
      </c>
      <c r="AZ161" t="e">
        <f>IF(#REF!,"AAAAAHb7KzM=",0)</f>
        <v>#REF!</v>
      </c>
      <c r="BA161" t="e">
        <f>AND(#REF!,"AAAAAHb7KzQ=")</f>
        <v>#REF!</v>
      </c>
      <c r="BB161" t="e">
        <f>AND(#REF!,"AAAAAHb7KzU=")</f>
        <v>#REF!</v>
      </c>
      <c r="BC161" t="e">
        <f>AND(#REF!,"AAAAAHb7KzY=")</f>
        <v>#REF!</v>
      </c>
      <c r="BD161" t="e">
        <f>AND(#REF!,"AAAAAHb7Kzc=")</f>
        <v>#REF!</v>
      </c>
      <c r="BE161" t="e">
        <f>AND(#REF!,"AAAAAHb7Kzg=")</f>
        <v>#REF!</v>
      </c>
      <c r="BF161" t="e">
        <f>AND(#REF!,"AAAAAHb7Kzk=")</f>
        <v>#REF!</v>
      </c>
      <c r="BG161" t="e">
        <f>AND(#REF!,"AAAAAHb7Kzo=")</f>
        <v>#REF!</v>
      </c>
      <c r="BH161" t="e">
        <f>AND(#REF!,"AAAAAHb7Kzs=")</f>
        <v>#REF!</v>
      </c>
      <c r="BI161" t="e">
        <f>AND(#REF!,"AAAAAHb7Kzw=")</f>
        <v>#REF!</v>
      </c>
      <c r="BJ161" t="e">
        <f>AND(#REF!,"AAAAAHb7Kz0=")</f>
        <v>#REF!</v>
      </c>
      <c r="BK161" t="e">
        <f>AND(#REF!,"AAAAAHb7Kz4=")</f>
        <v>#REF!</v>
      </c>
      <c r="BL161" t="e">
        <f>AND(#REF!,"AAAAAHb7Kz8=")</f>
        <v>#REF!</v>
      </c>
      <c r="BM161" t="e">
        <f>AND(#REF!,"AAAAAHb7K0A=")</f>
        <v>#REF!</v>
      </c>
      <c r="BN161" t="e">
        <f>AND(#REF!,"AAAAAHb7K0E=")</f>
        <v>#REF!</v>
      </c>
      <c r="BO161" t="e">
        <f>AND(#REF!,"AAAAAHb7K0I=")</f>
        <v>#REF!</v>
      </c>
      <c r="BP161" t="e">
        <f>AND(#REF!,"AAAAAHb7K0M=")</f>
        <v>#REF!</v>
      </c>
      <c r="BQ161" t="e">
        <f>AND(#REF!,"AAAAAHb7K0Q=")</f>
        <v>#REF!</v>
      </c>
      <c r="BR161" t="e">
        <f>AND(#REF!,"AAAAAHb7K0U=")</f>
        <v>#REF!</v>
      </c>
      <c r="BS161" t="e">
        <f>AND(#REF!,"AAAAAHb7K0Y=")</f>
        <v>#REF!</v>
      </c>
      <c r="BT161" t="e">
        <f>AND(#REF!,"AAAAAHb7K0c=")</f>
        <v>#REF!</v>
      </c>
      <c r="BU161" t="e">
        <f>AND(#REF!,"AAAAAHb7K0g=")</f>
        <v>#REF!</v>
      </c>
      <c r="BV161" t="e">
        <f>IF(#REF!,"AAAAAHb7K0k=",0)</f>
        <v>#REF!</v>
      </c>
      <c r="BW161" t="e">
        <f>AND(#REF!,"AAAAAHb7K0o=")</f>
        <v>#REF!</v>
      </c>
      <c r="BX161" t="e">
        <f>AND(#REF!,"AAAAAHb7K0s=")</f>
        <v>#REF!</v>
      </c>
      <c r="BY161" t="e">
        <f>AND(#REF!,"AAAAAHb7K0w=")</f>
        <v>#REF!</v>
      </c>
      <c r="BZ161" t="e">
        <f>AND(#REF!,"AAAAAHb7K00=")</f>
        <v>#REF!</v>
      </c>
      <c r="CA161" t="e">
        <f>AND(#REF!,"AAAAAHb7K04=")</f>
        <v>#REF!</v>
      </c>
      <c r="CB161" t="e">
        <f>AND(#REF!,"AAAAAHb7K08=")</f>
        <v>#REF!</v>
      </c>
      <c r="CC161" t="e">
        <f>AND(#REF!,"AAAAAHb7K1A=")</f>
        <v>#REF!</v>
      </c>
      <c r="CD161" t="e">
        <f>AND(#REF!,"AAAAAHb7K1E=")</f>
        <v>#REF!</v>
      </c>
      <c r="CE161" t="e">
        <f>AND(#REF!,"AAAAAHb7K1I=")</f>
        <v>#REF!</v>
      </c>
      <c r="CF161" t="e">
        <f>AND(#REF!,"AAAAAHb7K1M=")</f>
        <v>#REF!</v>
      </c>
      <c r="CG161" t="e">
        <f>AND(#REF!,"AAAAAHb7K1Q=")</f>
        <v>#REF!</v>
      </c>
      <c r="CH161" t="e">
        <f>AND(#REF!,"AAAAAHb7K1U=")</f>
        <v>#REF!</v>
      </c>
      <c r="CI161" t="e">
        <f>AND(#REF!,"AAAAAHb7K1Y=")</f>
        <v>#REF!</v>
      </c>
      <c r="CJ161" t="e">
        <f>AND(#REF!,"AAAAAHb7K1c=")</f>
        <v>#REF!</v>
      </c>
      <c r="CK161" t="e">
        <f>AND(#REF!,"AAAAAHb7K1g=")</f>
        <v>#REF!</v>
      </c>
      <c r="CL161" t="e">
        <f>AND(#REF!,"AAAAAHb7K1k=")</f>
        <v>#REF!</v>
      </c>
      <c r="CM161" t="e">
        <f>AND(#REF!,"AAAAAHb7K1o=")</f>
        <v>#REF!</v>
      </c>
      <c r="CN161" t="e">
        <f>AND(#REF!,"AAAAAHb7K1s=")</f>
        <v>#REF!</v>
      </c>
      <c r="CO161" t="e">
        <f>AND(#REF!,"AAAAAHb7K1w=")</f>
        <v>#REF!</v>
      </c>
      <c r="CP161" t="e">
        <f>AND(#REF!,"AAAAAHb7K10=")</f>
        <v>#REF!</v>
      </c>
      <c r="CQ161" t="e">
        <f>AND(#REF!,"AAAAAHb7K14=")</f>
        <v>#REF!</v>
      </c>
      <c r="CR161" t="e">
        <f>IF(#REF!,"AAAAAHb7K18=",0)</f>
        <v>#REF!</v>
      </c>
      <c r="CS161" t="e">
        <f>IF(#REF!,"AAAAAHb7K2A=",0)</f>
        <v>#REF!</v>
      </c>
      <c r="CT161" t="e">
        <f>IF(#REF!,"AAAAAHb7K2E=",0)</f>
        <v>#REF!</v>
      </c>
      <c r="CU161" t="e">
        <f>IF(#REF!,"AAAAAHb7K2I=",0)</f>
        <v>#REF!</v>
      </c>
      <c r="CV161" t="e">
        <f>IF(#REF!,"AAAAAHb7K2M=",0)</f>
        <v>#REF!</v>
      </c>
      <c r="CW161" t="e">
        <f>IF(#REF!,"AAAAAHb7K2Q=",0)</f>
        <v>#REF!</v>
      </c>
      <c r="CX161" t="e">
        <f>IF(#REF!,"AAAAAHb7K2U=",0)</f>
        <v>#REF!</v>
      </c>
      <c r="CY161" t="e">
        <f>IF(#REF!,"AAAAAHb7K2Y=",0)</f>
        <v>#REF!</v>
      </c>
      <c r="CZ161" t="e">
        <f>IF(#REF!,"AAAAAHb7K2c=",0)</f>
        <v>#REF!</v>
      </c>
      <c r="DA161" t="e">
        <f>IF(#REF!,"AAAAAHb7K2g=",0)</f>
        <v>#REF!</v>
      </c>
      <c r="DB161" t="e">
        <f>IF(#REF!,"AAAAAHb7K2k=",0)</f>
        <v>#REF!</v>
      </c>
      <c r="DC161" t="e">
        <f>IF(#REF!,"AAAAAHb7K2o=",0)</f>
        <v>#REF!</v>
      </c>
      <c r="DD161" t="e">
        <f>IF(#REF!,"AAAAAHb7K2s=",0)</f>
        <v>#REF!</v>
      </c>
      <c r="DE161" t="e">
        <f>IF(#REF!,"AAAAAHb7K2w=",0)</f>
        <v>#REF!</v>
      </c>
      <c r="DF161" t="e">
        <f>IF(#REF!,"AAAAAHb7K20=",0)</f>
        <v>#REF!</v>
      </c>
      <c r="DG161" t="e">
        <f>IF(#REF!,"AAAAAHb7K24=",0)</f>
        <v>#REF!</v>
      </c>
      <c r="DH161" t="e">
        <f>IF(#REF!,"AAAAAHb7K28=",0)</f>
        <v>#REF!</v>
      </c>
      <c r="DI161" t="e">
        <f>IF(#REF!,"AAAAAHb7K3A=",0)</f>
        <v>#REF!</v>
      </c>
      <c r="DJ161" t="e">
        <f>IF(#REF!,"AAAAAHb7K3E=",0)</f>
        <v>#REF!</v>
      </c>
      <c r="DK161" t="e">
        <f>IF(#REF!,"AAAAAHb7K3I=",0)</f>
        <v>#REF!</v>
      </c>
      <c r="DL161" t="e">
        <f>IF(#REF!,"AAAAAHb7K3M=",0)</f>
        <v>#REF!</v>
      </c>
      <c r="DM161" t="e">
        <f>IF(#REF!,"AAAAAHb7K3Q=",0)</f>
        <v>#REF!</v>
      </c>
      <c r="DN161" t="e">
        <f>AND(#REF!,"AAAAAHb7K3U=")</f>
        <v>#REF!</v>
      </c>
      <c r="DO161" t="e">
        <f>AND(#REF!,"AAAAAHb7K3Y=")</f>
        <v>#REF!</v>
      </c>
      <c r="DP161" t="e">
        <f>AND(#REF!,"AAAAAHb7K3c=")</f>
        <v>#REF!</v>
      </c>
      <c r="DQ161" t="e">
        <f>AND(#REF!,"AAAAAHb7K3g=")</f>
        <v>#REF!</v>
      </c>
      <c r="DR161" t="e">
        <f>AND(#REF!,"AAAAAHb7K3k=")</f>
        <v>#REF!</v>
      </c>
      <c r="DS161" t="e">
        <f>AND(#REF!,"AAAAAHb7K3o=")</f>
        <v>#REF!</v>
      </c>
      <c r="DT161" t="e">
        <f>AND(#REF!,"AAAAAHb7K3s=")</f>
        <v>#REF!</v>
      </c>
      <c r="DU161" t="e">
        <f>AND(#REF!,"AAAAAHb7K3w=")</f>
        <v>#REF!</v>
      </c>
      <c r="DV161" t="e">
        <f>AND(#REF!,"AAAAAHb7K30=")</f>
        <v>#REF!</v>
      </c>
      <c r="DW161" t="e">
        <f>AND(#REF!,"AAAAAHb7K34=")</f>
        <v>#REF!</v>
      </c>
      <c r="DX161" t="e">
        <f>AND(#REF!,"AAAAAHb7K38=")</f>
        <v>#REF!</v>
      </c>
      <c r="DY161" t="e">
        <f>AND(#REF!,"AAAAAHb7K4A=")</f>
        <v>#REF!</v>
      </c>
      <c r="DZ161" t="e">
        <f>AND(#REF!,"AAAAAHb7K4E=")</f>
        <v>#REF!</v>
      </c>
      <c r="EA161" t="e">
        <f>AND(#REF!,"AAAAAHb7K4I=")</f>
        <v>#REF!</v>
      </c>
      <c r="EB161" t="e">
        <f>AND(#REF!,"AAAAAHb7K4M=")</f>
        <v>#REF!</v>
      </c>
      <c r="EC161" t="e">
        <f>AND(#REF!,"AAAAAHb7K4Q=")</f>
        <v>#REF!</v>
      </c>
      <c r="ED161" t="e">
        <f>AND(#REF!,"AAAAAHb7K4U=")</f>
        <v>#REF!</v>
      </c>
      <c r="EE161" t="e">
        <f>AND(#REF!,"AAAAAHb7K4Y=")</f>
        <v>#REF!</v>
      </c>
      <c r="EF161" t="e">
        <f>AND(#REF!,"AAAAAHb7K4c=")</f>
        <v>#REF!</v>
      </c>
      <c r="EG161" t="e">
        <f>AND(#REF!,"AAAAAHb7K4g=")</f>
        <v>#REF!</v>
      </c>
      <c r="EH161" t="e">
        <f>AND(#REF!,"AAAAAHb7K4k=")</f>
        <v>#REF!</v>
      </c>
      <c r="EI161" t="e">
        <f>IF(#REF!,"AAAAAHb7K4o=",0)</f>
        <v>#REF!</v>
      </c>
      <c r="EJ161" t="e">
        <f>AND(#REF!,"AAAAAHb7K4s=")</f>
        <v>#REF!</v>
      </c>
      <c r="EK161" t="e">
        <f>AND(#REF!,"AAAAAHb7K4w=")</f>
        <v>#REF!</v>
      </c>
      <c r="EL161" t="e">
        <f>AND(#REF!,"AAAAAHb7K40=")</f>
        <v>#REF!</v>
      </c>
      <c r="EM161" t="e">
        <f>AND(#REF!,"AAAAAHb7K44=")</f>
        <v>#REF!</v>
      </c>
      <c r="EN161" t="e">
        <f>AND(#REF!,"AAAAAHb7K48=")</f>
        <v>#REF!</v>
      </c>
      <c r="EO161" t="e">
        <f>AND(#REF!,"AAAAAHb7K5A=")</f>
        <v>#REF!</v>
      </c>
      <c r="EP161" t="e">
        <f>AND(#REF!,"AAAAAHb7K5E=")</f>
        <v>#REF!</v>
      </c>
      <c r="EQ161" t="e">
        <f>AND(#REF!,"AAAAAHb7K5I=")</f>
        <v>#REF!</v>
      </c>
      <c r="ER161" t="e">
        <f>AND(#REF!,"AAAAAHb7K5M=")</f>
        <v>#REF!</v>
      </c>
      <c r="ES161" t="e">
        <f>AND(#REF!,"AAAAAHb7K5Q=")</f>
        <v>#REF!</v>
      </c>
      <c r="ET161" t="e">
        <f>AND(#REF!,"AAAAAHb7K5U=")</f>
        <v>#REF!</v>
      </c>
      <c r="EU161" t="e">
        <f>AND(#REF!,"AAAAAHb7K5Y=")</f>
        <v>#REF!</v>
      </c>
      <c r="EV161" t="e">
        <f>AND(#REF!,"AAAAAHb7K5c=")</f>
        <v>#REF!</v>
      </c>
      <c r="EW161" t="e">
        <f>AND(#REF!,"AAAAAHb7K5g=")</f>
        <v>#REF!</v>
      </c>
      <c r="EX161" t="e">
        <f>AND(#REF!,"AAAAAHb7K5k=")</f>
        <v>#REF!</v>
      </c>
      <c r="EY161" t="e">
        <f>AND(#REF!,"AAAAAHb7K5o=")</f>
        <v>#REF!</v>
      </c>
      <c r="EZ161" t="e">
        <f>AND(#REF!,"AAAAAHb7K5s=")</f>
        <v>#REF!</v>
      </c>
      <c r="FA161" t="e">
        <f>AND(#REF!,"AAAAAHb7K5w=")</f>
        <v>#REF!</v>
      </c>
      <c r="FB161" t="e">
        <f>AND(#REF!,"AAAAAHb7K50=")</f>
        <v>#REF!</v>
      </c>
      <c r="FC161" t="e">
        <f>AND(#REF!,"AAAAAHb7K54=")</f>
        <v>#REF!</v>
      </c>
      <c r="FD161" t="e">
        <f>AND(#REF!,"AAAAAHb7K58=")</f>
        <v>#REF!</v>
      </c>
      <c r="FE161" t="e">
        <f>IF(#REF!,"AAAAAHb7K6A=",0)</f>
        <v>#REF!</v>
      </c>
      <c r="FF161" t="e">
        <f>AND(#REF!,"AAAAAHb7K6E=")</f>
        <v>#REF!</v>
      </c>
      <c r="FG161" t="e">
        <f>AND(#REF!,"AAAAAHb7K6I=")</f>
        <v>#REF!</v>
      </c>
      <c r="FH161" t="e">
        <f>AND(#REF!,"AAAAAHb7K6M=")</f>
        <v>#REF!</v>
      </c>
      <c r="FI161" t="e">
        <f>AND(#REF!,"AAAAAHb7K6Q=")</f>
        <v>#REF!</v>
      </c>
      <c r="FJ161" t="e">
        <f>AND(#REF!,"AAAAAHb7K6U=")</f>
        <v>#REF!</v>
      </c>
      <c r="FK161" t="e">
        <f>AND(#REF!,"AAAAAHb7K6Y=")</f>
        <v>#REF!</v>
      </c>
      <c r="FL161" t="e">
        <f>AND(#REF!,"AAAAAHb7K6c=")</f>
        <v>#REF!</v>
      </c>
      <c r="FM161" t="e">
        <f>AND(#REF!,"AAAAAHb7K6g=")</f>
        <v>#REF!</v>
      </c>
      <c r="FN161" t="e">
        <f>AND(#REF!,"AAAAAHb7K6k=")</f>
        <v>#REF!</v>
      </c>
      <c r="FO161" t="e">
        <f>AND(#REF!,"AAAAAHb7K6o=")</f>
        <v>#REF!</v>
      </c>
      <c r="FP161" t="e">
        <f>AND(#REF!,"AAAAAHb7K6s=")</f>
        <v>#REF!</v>
      </c>
      <c r="FQ161" t="e">
        <f>AND(#REF!,"AAAAAHb7K6w=")</f>
        <v>#REF!</v>
      </c>
      <c r="FR161" t="e">
        <f>AND(#REF!,"AAAAAHb7K60=")</f>
        <v>#REF!</v>
      </c>
      <c r="FS161" t="e">
        <f>AND(#REF!,"AAAAAHb7K64=")</f>
        <v>#REF!</v>
      </c>
      <c r="FT161" t="e">
        <f>AND(#REF!,"AAAAAHb7K68=")</f>
        <v>#REF!</v>
      </c>
      <c r="FU161" t="e">
        <f>AND(#REF!,"AAAAAHb7K7A=")</f>
        <v>#REF!</v>
      </c>
      <c r="FV161" t="e">
        <f>AND(#REF!,"AAAAAHb7K7E=")</f>
        <v>#REF!</v>
      </c>
      <c r="FW161" t="e">
        <f>AND(#REF!,"AAAAAHb7K7I=")</f>
        <v>#REF!</v>
      </c>
      <c r="FX161" t="e">
        <f>AND(#REF!,"AAAAAHb7K7M=")</f>
        <v>#REF!</v>
      </c>
      <c r="FY161" t="e">
        <f>AND(#REF!,"AAAAAHb7K7Q=")</f>
        <v>#REF!</v>
      </c>
      <c r="FZ161" t="e">
        <f>AND(#REF!,"AAAAAHb7K7U=")</f>
        <v>#REF!</v>
      </c>
      <c r="GA161" t="e">
        <f>IF(#REF!,"AAAAAHb7K7Y=",0)</f>
        <v>#REF!</v>
      </c>
      <c r="GB161" t="e">
        <f>AND(#REF!,"AAAAAHb7K7c=")</f>
        <v>#REF!</v>
      </c>
      <c r="GC161" t="e">
        <f>AND(#REF!,"AAAAAHb7K7g=")</f>
        <v>#REF!</v>
      </c>
      <c r="GD161" t="e">
        <f>AND(#REF!,"AAAAAHb7K7k=")</f>
        <v>#REF!</v>
      </c>
      <c r="GE161" t="e">
        <f>AND(#REF!,"AAAAAHb7K7o=")</f>
        <v>#REF!</v>
      </c>
      <c r="GF161" t="e">
        <f>AND(#REF!,"AAAAAHb7K7s=")</f>
        <v>#REF!</v>
      </c>
      <c r="GG161" t="e">
        <f>AND(#REF!,"AAAAAHb7K7w=")</f>
        <v>#REF!</v>
      </c>
      <c r="GH161" t="e">
        <f>AND(#REF!,"AAAAAHb7K70=")</f>
        <v>#REF!</v>
      </c>
      <c r="GI161" t="e">
        <f>AND(#REF!,"AAAAAHb7K74=")</f>
        <v>#REF!</v>
      </c>
      <c r="GJ161" t="e">
        <f>AND(#REF!,"AAAAAHb7K78=")</f>
        <v>#REF!</v>
      </c>
      <c r="GK161" t="e">
        <f>AND(#REF!,"AAAAAHb7K8A=")</f>
        <v>#REF!</v>
      </c>
      <c r="GL161" t="e">
        <f>AND(#REF!,"AAAAAHb7K8E=")</f>
        <v>#REF!</v>
      </c>
      <c r="GM161" t="e">
        <f>AND(#REF!,"AAAAAHb7K8I=")</f>
        <v>#REF!</v>
      </c>
      <c r="GN161" t="e">
        <f>AND(#REF!,"AAAAAHb7K8M=")</f>
        <v>#REF!</v>
      </c>
      <c r="GO161" t="e">
        <f>AND(#REF!,"AAAAAHb7K8Q=")</f>
        <v>#REF!</v>
      </c>
      <c r="GP161" t="e">
        <f>AND(#REF!,"AAAAAHb7K8U=")</f>
        <v>#REF!</v>
      </c>
      <c r="GQ161" t="e">
        <f>AND(#REF!,"AAAAAHb7K8Y=")</f>
        <v>#REF!</v>
      </c>
      <c r="GR161" t="e">
        <f>AND(#REF!,"AAAAAHb7K8c=")</f>
        <v>#REF!</v>
      </c>
      <c r="GS161" t="e">
        <f>AND(#REF!,"AAAAAHb7K8g=")</f>
        <v>#REF!</v>
      </c>
      <c r="GT161" t="e">
        <f>AND(#REF!,"AAAAAHb7K8k=")</f>
        <v>#REF!</v>
      </c>
      <c r="GU161" t="e">
        <f>AND(#REF!,"AAAAAHb7K8o=")</f>
        <v>#REF!</v>
      </c>
      <c r="GV161" t="e">
        <f>AND(#REF!,"AAAAAHb7K8s=")</f>
        <v>#REF!</v>
      </c>
      <c r="GW161" t="e">
        <f>IF(#REF!,"AAAAAHb7K8w=",0)</f>
        <v>#REF!</v>
      </c>
      <c r="GX161" t="e">
        <f>AND(#REF!,"AAAAAHb7K80=")</f>
        <v>#REF!</v>
      </c>
      <c r="GY161" t="e">
        <f>AND(#REF!,"AAAAAHb7K84=")</f>
        <v>#REF!</v>
      </c>
      <c r="GZ161" t="e">
        <f>AND(#REF!,"AAAAAHb7K88=")</f>
        <v>#REF!</v>
      </c>
      <c r="HA161" t="e">
        <f>AND(#REF!,"AAAAAHb7K9A=")</f>
        <v>#REF!</v>
      </c>
      <c r="HB161" t="e">
        <f>AND(#REF!,"AAAAAHb7K9E=")</f>
        <v>#REF!</v>
      </c>
      <c r="HC161" t="e">
        <f>AND(#REF!,"AAAAAHb7K9I=")</f>
        <v>#REF!</v>
      </c>
      <c r="HD161" t="e">
        <f>AND(#REF!,"AAAAAHb7K9M=")</f>
        <v>#REF!</v>
      </c>
      <c r="HE161" t="e">
        <f>AND(#REF!,"AAAAAHb7K9Q=")</f>
        <v>#REF!</v>
      </c>
      <c r="HF161" t="e">
        <f>AND(#REF!,"AAAAAHb7K9U=")</f>
        <v>#REF!</v>
      </c>
      <c r="HG161" t="e">
        <f>AND(#REF!,"AAAAAHb7K9Y=")</f>
        <v>#REF!</v>
      </c>
      <c r="HH161" t="e">
        <f>AND(#REF!,"AAAAAHb7K9c=")</f>
        <v>#REF!</v>
      </c>
      <c r="HI161" t="e">
        <f>AND(#REF!,"AAAAAHb7K9g=")</f>
        <v>#REF!</v>
      </c>
      <c r="HJ161" t="e">
        <f>AND(#REF!,"AAAAAHb7K9k=")</f>
        <v>#REF!</v>
      </c>
      <c r="HK161" t="e">
        <f>AND(#REF!,"AAAAAHb7K9o=")</f>
        <v>#REF!</v>
      </c>
      <c r="HL161" t="e">
        <f>AND(#REF!,"AAAAAHb7K9s=")</f>
        <v>#REF!</v>
      </c>
      <c r="HM161" t="e">
        <f>AND(#REF!,"AAAAAHb7K9w=")</f>
        <v>#REF!</v>
      </c>
      <c r="HN161" t="e">
        <f>AND(#REF!,"AAAAAHb7K90=")</f>
        <v>#REF!</v>
      </c>
      <c r="HO161" t="e">
        <f>AND(#REF!,"AAAAAHb7K94=")</f>
        <v>#REF!</v>
      </c>
      <c r="HP161" t="e">
        <f>AND(#REF!,"AAAAAHb7K98=")</f>
        <v>#REF!</v>
      </c>
      <c r="HQ161" t="e">
        <f>AND(#REF!,"AAAAAHb7K+A=")</f>
        <v>#REF!</v>
      </c>
      <c r="HR161" t="e">
        <f>AND(#REF!,"AAAAAHb7K+E=")</f>
        <v>#REF!</v>
      </c>
      <c r="HS161" t="e">
        <f>IF(#REF!,"AAAAAHb7K+I=",0)</f>
        <v>#REF!</v>
      </c>
      <c r="HT161" t="e">
        <f>AND(#REF!,"AAAAAHb7K+M=")</f>
        <v>#REF!</v>
      </c>
      <c r="HU161" t="e">
        <f>AND(#REF!,"AAAAAHb7K+Q=")</f>
        <v>#REF!</v>
      </c>
      <c r="HV161" t="e">
        <f>AND(#REF!,"AAAAAHb7K+U=")</f>
        <v>#REF!</v>
      </c>
      <c r="HW161" t="e">
        <f>AND(#REF!,"AAAAAHb7K+Y=")</f>
        <v>#REF!</v>
      </c>
      <c r="HX161" t="e">
        <f>AND(#REF!,"AAAAAHb7K+c=")</f>
        <v>#REF!</v>
      </c>
      <c r="HY161" t="e">
        <f>AND(#REF!,"AAAAAHb7K+g=")</f>
        <v>#REF!</v>
      </c>
      <c r="HZ161" t="e">
        <f>AND(#REF!,"AAAAAHb7K+k=")</f>
        <v>#REF!</v>
      </c>
      <c r="IA161" t="e">
        <f>AND(#REF!,"AAAAAHb7K+o=")</f>
        <v>#REF!</v>
      </c>
      <c r="IB161" t="e">
        <f>AND(#REF!,"AAAAAHb7K+s=")</f>
        <v>#REF!</v>
      </c>
      <c r="IC161" t="e">
        <f>AND(#REF!,"AAAAAHb7K+w=")</f>
        <v>#REF!</v>
      </c>
      <c r="ID161" t="e">
        <f>AND(#REF!,"AAAAAHb7K+0=")</f>
        <v>#REF!</v>
      </c>
      <c r="IE161" t="e">
        <f>AND(#REF!,"AAAAAHb7K+4=")</f>
        <v>#REF!</v>
      </c>
      <c r="IF161" t="e">
        <f>AND(#REF!,"AAAAAHb7K+8=")</f>
        <v>#REF!</v>
      </c>
      <c r="IG161" t="e">
        <f>AND(#REF!,"AAAAAHb7K/A=")</f>
        <v>#REF!</v>
      </c>
      <c r="IH161" t="e">
        <f>AND(#REF!,"AAAAAHb7K/E=")</f>
        <v>#REF!</v>
      </c>
      <c r="II161" t="e">
        <f>AND(#REF!,"AAAAAHb7K/I=")</f>
        <v>#REF!</v>
      </c>
      <c r="IJ161" t="e">
        <f>AND(#REF!,"AAAAAHb7K/M=")</f>
        <v>#REF!</v>
      </c>
      <c r="IK161" t="e">
        <f>AND(#REF!,"AAAAAHb7K/Q=")</f>
        <v>#REF!</v>
      </c>
      <c r="IL161" t="e">
        <f>AND(#REF!,"AAAAAHb7K/U=")</f>
        <v>#REF!</v>
      </c>
      <c r="IM161" t="e">
        <f>AND(#REF!,"AAAAAHb7K/Y=")</f>
        <v>#REF!</v>
      </c>
      <c r="IN161" t="e">
        <f>AND(#REF!,"AAAAAHb7K/c=")</f>
        <v>#REF!</v>
      </c>
      <c r="IO161" t="e">
        <f>IF(#REF!,"AAAAAHb7K/g=",0)</f>
        <v>#REF!</v>
      </c>
      <c r="IP161" t="e">
        <f>AND(#REF!,"AAAAAHb7K/k=")</f>
        <v>#REF!</v>
      </c>
      <c r="IQ161" t="e">
        <f>AND(#REF!,"AAAAAHb7K/o=")</f>
        <v>#REF!</v>
      </c>
      <c r="IR161" t="e">
        <f>AND(#REF!,"AAAAAHb7K/s=")</f>
        <v>#REF!</v>
      </c>
      <c r="IS161" t="e">
        <f>AND(#REF!,"AAAAAHb7K/w=")</f>
        <v>#REF!</v>
      </c>
      <c r="IT161" t="e">
        <f>AND(#REF!,"AAAAAHb7K/0=")</f>
        <v>#REF!</v>
      </c>
      <c r="IU161" t="e">
        <f>AND(#REF!,"AAAAAHb7K/4=")</f>
        <v>#REF!</v>
      </c>
      <c r="IV161" t="e">
        <f>AND(#REF!,"AAAAAHb7K/8=")</f>
        <v>#REF!</v>
      </c>
    </row>
    <row r="162" spans="1:256" x14ac:dyDescent="0.25">
      <c r="A162" t="e">
        <f>AND(#REF!,"AAAAAHz7/wA=")</f>
        <v>#REF!</v>
      </c>
      <c r="B162" t="e">
        <f>AND(#REF!,"AAAAAHz7/wE=")</f>
        <v>#REF!</v>
      </c>
      <c r="C162" t="e">
        <f>AND(#REF!,"AAAAAHz7/wI=")</f>
        <v>#REF!</v>
      </c>
      <c r="D162" t="e">
        <f>AND(#REF!,"AAAAAHz7/wM=")</f>
        <v>#REF!</v>
      </c>
      <c r="E162" t="e">
        <f>AND(#REF!,"AAAAAHz7/wQ=")</f>
        <v>#REF!</v>
      </c>
      <c r="F162" t="e">
        <f>AND(#REF!,"AAAAAHz7/wU=")</f>
        <v>#REF!</v>
      </c>
      <c r="G162" t="e">
        <f>AND(#REF!,"AAAAAHz7/wY=")</f>
        <v>#REF!</v>
      </c>
      <c r="H162" t="e">
        <f>AND(#REF!,"AAAAAHz7/wc=")</f>
        <v>#REF!</v>
      </c>
      <c r="I162" t="e">
        <f>AND(#REF!,"AAAAAHz7/wg=")</f>
        <v>#REF!</v>
      </c>
      <c r="J162" t="e">
        <f>AND(#REF!,"AAAAAHz7/wk=")</f>
        <v>#REF!</v>
      </c>
      <c r="K162" t="e">
        <f>AND(#REF!,"AAAAAHz7/wo=")</f>
        <v>#REF!</v>
      </c>
      <c r="L162" t="e">
        <f>AND(#REF!,"AAAAAHz7/ws=")</f>
        <v>#REF!</v>
      </c>
      <c r="M162" t="e">
        <f>AND(#REF!,"AAAAAHz7/ww=")</f>
        <v>#REF!</v>
      </c>
      <c r="N162" t="e">
        <f>AND(#REF!,"AAAAAHz7/w0=")</f>
        <v>#REF!</v>
      </c>
      <c r="O162" t="e">
        <f>IF(#REF!,"AAAAAHz7/w4=",0)</f>
        <v>#REF!</v>
      </c>
      <c r="P162" t="e">
        <f>AND(#REF!,"AAAAAHz7/w8=")</f>
        <v>#REF!</v>
      </c>
      <c r="Q162" t="e">
        <f>AND(#REF!,"AAAAAHz7/xA=")</f>
        <v>#REF!</v>
      </c>
      <c r="R162" t="e">
        <f>AND(#REF!,"AAAAAHz7/xE=")</f>
        <v>#REF!</v>
      </c>
      <c r="S162" t="e">
        <f>AND(#REF!,"AAAAAHz7/xI=")</f>
        <v>#REF!</v>
      </c>
      <c r="T162" t="e">
        <f>AND(#REF!,"AAAAAHz7/xM=")</f>
        <v>#REF!</v>
      </c>
      <c r="U162" t="e">
        <f>AND(#REF!,"AAAAAHz7/xQ=")</f>
        <v>#REF!</v>
      </c>
      <c r="V162" t="e">
        <f>AND(#REF!,"AAAAAHz7/xU=")</f>
        <v>#REF!</v>
      </c>
      <c r="W162" t="e">
        <f>AND(#REF!,"AAAAAHz7/xY=")</f>
        <v>#REF!</v>
      </c>
      <c r="X162" t="e">
        <f>AND(#REF!,"AAAAAHz7/xc=")</f>
        <v>#REF!</v>
      </c>
      <c r="Y162" t="e">
        <f>AND(#REF!,"AAAAAHz7/xg=")</f>
        <v>#REF!</v>
      </c>
      <c r="Z162" t="e">
        <f>AND(#REF!,"AAAAAHz7/xk=")</f>
        <v>#REF!</v>
      </c>
      <c r="AA162" t="e">
        <f>AND(#REF!,"AAAAAHz7/xo=")</f>
        <v>#REF!</v>
      </c>
      <c r="AB162" t="e">
        <f>AND(#REF!,"AAAAAHz7/xs=")</f>
        <v>#REF!</v>
      </c>
      <c r="AC162" t="e">
        <f>AND(#REF!,"AAAAAHz7/xw=")</f>
        <v>#REF!</v>
      </c>
      <c r="AD162" t="e">
        <f>AND(#REF!,"AAAAAHz7/x0=")</f>
        <v>#REF!</v>
      </c>
      <c r="AE162" t="e">
        <f>AND(#REF!,"AAAAAHz7/x4=")</f>
        <v>#REF!</v>
      </c>
      <c r="AF162" t="e">
        <f>AND(#REF!,"AAAAAHz7/x8=")</f>
        <v>#REF!</v>
      </c>
      <c r="AG162" t="e">
        <f>AND(#REF!,"AAAAAHz7/yA=")</f>
        <v>#REF!</v>
      </c>
      <c r="AH162" t="e">
        <f>AND(#REF!,"AAAAAHz7/yE=")</f>
        <v>#REF!</v>
      </c>
      <c r="AI162" t="e">
        <f>AND(#REF!,"AAAAAHz7/yI=")</f>
        <v>#REF!</v>
      </c>
      <c r="AJ162" t="e">
        <f>AND(#REF!,"AAAAAHz7/yM=")</f>
        <v>#REF!</v>
      </c>
      <c r="AK162" t="e">
        <f>IF(#REF!,"AAAAAHz7/yQ=",0)</f>
        <v>#REF!</v>
      </c>
      <c r="AL162" t="e">
        <f>AND(#REF!,"AAAAAHz7/yU=")</f>
        <v>#REF!</v>
      </c>
      <c r="AM162" t="e">
        <f>AND(#REF!,"AAAAAHz7/yY=")</f>
        <v>#REF!</v>
      </c>
      <c r="AN162" t="e">
        <f>AND(#REF!,"AAAAAHz7/yc=")</f>
        <v>#REF!</v>
      </c>
      <c r="AO162" t="e">
        <f>AND(#REF!,"AAAAAHz7/yg=")</f>
        <v>#REF!</v>
      </c>
      <c r="AP162" t="e">
        <f>AND(#REF!,"AAAAAHz7/yk=")</f>
        <v>#REF!</v>
      </c>
      <c r="AQ162" t="e">
        <f>AND(#REF!,"AAAAAHz7/yo=")</f>
        <v>#REF!</v>
      </c>
      <c r="AR162" t="e">
        <f>AND(#REF!,"AAAAAHz7/ys=")</f>
        <v>#REF!</v>
      </c>
      <c r="AS162" t="e">
        <f>AND(#REF!,"AAAAAHz7/yw=")</f>
        <v>#REF!</v>
      </c>
      <c r="AT162" t="e">
        <f>AND(#REF!,"AAAAAHz7/y0=")</f>
        <v>#REF!</v>
      </c>
      <c r="AU162" t="e">
        <f>AND(#REF!,"AAAAAHz7/y4=")</f>
        <v>#REF!</v>
      </c>
      <c r="AV162" t="e">
        <f>AND(#REF!,"AAAAAHz7/y8=")</f>
        <v>#REF!</v>
      </c>
      <c r="AW162" t="e">
        <f>AND(#REF!,"AAAAAHz7/zA=")</f>
        <v>#REF!</v>
      </c>
      <c r="AX162" t="e">
        <f>AND(#REF!,"AAAAAHz7/zE=")</f>
        <v>#REF!</v>
      </c>
      <c r="AY162" t="e">
        <f>AND(#REF!,"AAAAAHz7/zI=")</f>
        <v>#REF!</v>
      </c>
      <c r="AZ162" t="e">
        <f>AND(#REF!,"AAAAAHz7/zM=")</f>
        <v>#REF!</v>
      </c>
      <c r="BA162" t="e">
        <f>AND(#REF!,"AAAAAHz7/zQ=")</f>
        <v>#REF!</v>
      </c>
      <c r="BB162" t="e">
        <f>AND(#REF!,"AAAAAHz7/zU=")</f>
        <v>#REF!</v>
      </c>
      <c r="BC162" t="e">
        <f>AND(#REF!,"AAAAAHz7/zY=")</f>
        <v>#REF!</v>
      </c>
      <c r="BD162" t="e">
        <f>AND(#REF!,"AAAAAHz7/zc=")</f>
        <v>#REF!</v>
      </c>
      <c r="BE162" t="e">
        <f>AND(#REF!,"AAAAAHz7/zg=")</f>
        <v>#REF!</v>
      </c>
      <c r="BF162" t="e">
        <f>AND(#REF!,"AAAAAHz7/zk=")</f>
        <v>#REF!</v>
      </c>
      <c r="BG162" t="e">
        <f>IF(#REF!,"AAAAAHz7/zo=",0)</f>
        <v>#REF!</v>
      </c>
      <c r="BH162" t="e">
        <f>AND(#REF!,"AAAAAHz7/zs=")</f>
        <v>#REF!</v>
      </c>
      <c r="BI162" t="e">
        <f>AND(#REF!,"AAAAAHz7/zw=")</f>
        <v>#REF!</v>
      </c>
      <c r="BJ162" t="e">
        <f>AND(#REF!,"AAAAAHz7/z0=")</f>
        <v>#REF!</v>
      </c>
      <c r="BK162" t="e">
        <f>AND(#REF!,"AAAAAHz7/z4=")</f>
        <v>#REF!</v>
      </c>
      <c r="BL162" t="e">
        <f>AND(#REF!,"AAAAAHz7/z8=")</f>
        <v>#REF!</v>
      </c>
      <c r="BM162" t="e">
        <f>AND(#REF!,"AAAAAHz7/0A=")</f>
        <v>#REF!</v>
      </c>
      <c r="BN162" t="e">
        <f>AND(#REF!,"AAAAAHz7/0E=")</f>
        <v>#REF!</v>
      </c>
      <c r="BO162" t="e">
        <f>AND(#REF!,"AAAAAHz7/0I=")</f>
        <v>#REF!</v>
      </c>
      <c r="BP162" t="e">
        <f>AND(#REF!,"AAAAAHz7/0M=")</f>
        <v>#REF!</v>
      </c>
      <c r="BQ162" t="e">
        <f>AND(#REF!,"AAAAAHz7/0Q=")</f>
        <v>#REF!</v>
      </c>
      <c r="BR162" t="e">
        <f>AND(#REF!,"AAAAAHz7/0U=")</f>
        <v>#REF!</v>
      </c>
      <c r="BS162" t="e">
        <f>AND(#REF!,"AAAAAHz7/0Y=")</f>
        <v>#REF!</v>
      </c>
      <c r="BT162" t="e">
        <f>AND(#REF!,"AAAAAHz7/0c=")</f>
        <v>#REF!</v>
      </c>
      <c r="BU162" t="e">
        <f>AND(#REF!,"AAAAAHz7/0g=")</f>
        <v>#REF!</v>
      </c>
      <c r="BV162" t="e">
        <f>AND(#REF!,"AAAAAHz7/0k=")</f>
        <v>#REF!</v>
      </c>
      <c r="BW162" t="e">
        <f>AND(#REF!,"AAAAAHz7/0o=")</f>
        <v>#REF!</v>
      </c>
      <c r="BX162" t="e">
        <f>AND(#REF!,"AAAAAHz7/0s=")</f>
        <v>#REF!</v>
      </c>
      <c r="BY162" t="e">
        <f>AND(#REF!,"AAAAAHz7/0w=")</f>
        <v>#REF!</v>
      </c>
      <c r="BZ162" t="e">
        <f>AND(#REF!,"AAAAAHz7/00=")</f>
        <v>#REF!</v>
      </c>
      <c r="CA162" t="e">
        <f>AND(#REF!,"AAAAAHz7/04=")</f>
        <v>#REF!</v>
      </c>
      <c r="CB162" t="e">
        <f>AND(#REF!,"AAAAAHz7/08=")</f>
        <v>#REF!</v>
      </c>
      <c r="CC162" t="e">
        <f>IF(#REF!,"AAAAAHz7/1A=",0)</f>
        <v>#REF!</v>
      </c>
      <c r="CD162" t="e">
        <f>AND(#REF!,"AAAAAHz7/1E=")</f>
        <v>#REF!</v>
      </c>
      <c r="CE162" t="e">
        <f>AND(#REF!,"AAAAAHz7/1I=")</f>
        <v>#REF!</v>
      </c>
      <c r="CF162" t="e">
        <f>AND(#REF!,"AAAAAHz7/1M=")</f>
        <v>#REF!</v>
      </c>
      <c r="CG162" t="e">
        <f>AND(#REF!,"AAAAAHz7/1Q=")</f>
        <v>#REF!</v>
      </c>
      <c r="CH162" t="e">
        <f>AND(#REF!,"AAAAAHz7/1U=")</f>
        <v>#REF!</v>
      </c>
      <c r="CI162" t="e">
        <f>AND(#REF!,"AAAAAHz7/1Y=")</f>
        <v>#REF!</v>
      </c>
      <c r="CJ162" t="e">
        <f>AND(#REF!,"AAAAAHz7/1c=")</f>
        <v>#REF!</v>
      </c>
      <c r="CK162" t="e">
        <f>AND(#REF!,"AAAAAHz7/1g=")</f>
        <v>#REF!</v>
      </c>
      <c r="CL162" t="e">
        <f>AND(#REF!,"AAAAAHz7/1k=")</f>
        <v>#REF!</v>
      </c>
      <c r="CM162" t="e">
        <f>AND(#REF!,"AAAAAHz7/1o=")</f>
        <v>#REF!</v>
      </c>
      <c r="CN162" t="e">
        <f>AND(#REF!,"AAAAAHz7/1s=")</f>
        <v>#REF!</v>
      </c>
      <c r="CO162" t="e">
        <f>AND(#REF!,"AAAAAHz7/1w=")</f>
        <v>#REF!</v>
      </c>
      <c r="CP162" t="e">
        <f>AND(#REF!,"AAAAAHz7/10=")</f>
        <v>#REF!</v>
      </c>
      <c r="CQ162" t="e">
        <f>AND(#REF!,"AAAAAHz7/14=")</f>
        <v>#REF!</v>
      </c>
      <c r="CR162" t="e">
        <f>AND(#REF!,"AAAAAHz7/18=")</f>
        <v>#REF!</v>
      </c>
      <c r="CS162" t="e">
        <f>AND(#REF!,"AAAAAHz7/2A=")</f>
        <v>#REF!</v>
      </c>
      <c r="CT162" t="e">
        <f>AND(#REF!,"AAAAAHz7/2E=")</f>
        <v>#REF!</v>
      </c>
      <c r="CU162" t="e">
        <f>AND(#REF!,"AAAAAHz7/2I=")</f>
        <v>#REF!</v>
      </c>
      <c r="CV162" t="e">
        <f>AND(#REF!,"AAAAAHz7/2M=")</f>
        <v>#REF!</v>
      </c>
      <c r="CW162" t="e">
        <f>AND(#REF!,"AAAAAHz7/2Q=")</f>
        <v>#REF!</v>
      </c>
      <c r="CX162" t="e">
        <f>AND(#REF!,"AAAAAHz7/2U=")</f>
        <v>#REF!</v>
      </c>
      <c r="CY162" t="e">
        <f>IF(#REF!,"AAAAAHz7/2Y=",0)</f>
        <v>#REF!</v>
      </c>
      <c r="CZ162" t="e">
        <f>AND(#REF!,"AAAAAHz7/2c=")</f>
        <v>#REF!</v>
      </c>
      <c r="DA162" t="e">
        <f>AND(#REF!,"AAAAAHz7/2g=")</f>
        <v>#REF!</v>
      </c>
      <c r="DB162" t="e">
        <f>AND(#REF!,"AAAAAHz7/2k=")</f>
        <v>#REF!</v>
      </c>
      <c r="DC162" t="e">
        <f>AND(#REF!,"AAAAAHz7/2o=")</f>
        <v>#REF!</v>
      </c>
      <c r="DD162" t="e">
        <f>AND(#REF!,"AAAAAHz7/2s=")</f>
        <v>#REF!</v>
      </c>
      <c r="DE162" t="e">
        <f>AND(#REF!,"AAAAAHz7/2w=")</f>
        <v>#REF!</v>
      </c>
      <c r="DF162" t="e">
        <f>AND(#REF!,"AAAAAHz7/20=")</f>
        <v>#REF!</v>
      </c>
      <c r="DG162" t="e">
        <f>AND(#REF!,"AAAAAHz7/24=")</f>
        <v>#REF!</v>
      </c>
      <c r="DH162" t="e">
        <f>AND(#REF!,"AAAAAHz7/28=")</f>
        <v>#REF!</v>
      </c>
      <c r="DI162" t="e">
        <f>AND(#REF!,"AAAAAHz7/3A=")</f>
        <v>#REF!</v>
      </c>
      <c r="DJ162" t="e">
        <f>AND(#REF!,"AAAAAHz7/3E=")</f>
        <v>#REF!</v>
      </c>
      <c r="DK162" t="e">
        <f>AND(#REF!,"AAAAAHz7/3I=")</f>
        <v>#REF!</v>
      </c>
      <c r="DL162" t="e">
        <f>AND(#REF!,"AAAAAHz7/3M=")</f>
        <v>#REF!</v>
      </c>
      <c r="DM162" t="e">
        <f>AND(#REF!,"AAAAAHz7/3Q=")</f>
        <v>#REF!</v>
      </c>
      <c r="DN162" t="e">
        <f>AND(#REF!,"AAAAAHz7/3U=")</f>
        <v>#REF!</v>
      </c>
      <c r="DO162" t="e">
        <f>AND(#REF!,"AAAAAHz7/3Y=")</f>
        <v>#REF!</v>
      </c>
      <c r="DP162" t="e">
        <f>AND(#REF!,"AAAAAHz7/3c=")</f>
        <v>#REF!</v>
      </c>
      <c r="DQ162" t="e">
        <f>AND(#REF!,"AAAAAHz7/3g=")</f>
        <v>#REF!</v>
      </c>
      <c r="DR162" t="e">
        <f>AND(#REF!,"AAAAAHz7/3k=")</f>
        <v>#REF!</v>
      </c>
      <c r="DS162" t="e">
        <f>AND(#REF!,"AAAAAHz7/3o=")</f>
        <v>#REF!</v>
      </c>
      <c r="DT162" t="e">
        <f>AND(#REF!,"AAAAAHz7/3s=")</f>
        <v>#REF!</v>
      </c>
      <c r="DU162" t="e">
        <f>IF(#REF!,"AAAAAHz7/3w=",0)</f>
        <v>#REF!</v>
      </c>
      <c r="DV162" t="e">
        <f>AND(#REF!,"AAAAAHz7/30=")</f>
        <v>#REF!</v>
      </c>
      <c r="DW162" t="e">
        <f>AND(#REF!,"AAAAAHz7/34=")</f>
        <v>#REF!</v>
      </c>
      <c r="DX162" t="e">
        <f>AND(#REF!,"AAAAAHz7/38=")</f>
        <v>#REF!</v>
      </c>
      <c r="DY162" t="e">
        <f>AND(#REF!,"AAAAAHz7/4A=")</f>
        <v>#REF!</v>
      </c>
      <c r="DZ162" t="e">
        <f>AND(#REF!,"AAAAAHz7/4E=")</f>
        <v>#REF!</v>
      </c>
      <c r="EA162" t="e">
        <f>AND(#REF!,"AAAAAHz7/4I=")</f>
        <v>#REF!</v>
      </c>
      <c r="EB162" t="e">
        <f>AND(#REF!,"AAAAAHz7/4M=")</f>
        <v>#REF!</v>
      </c>
      <c r="EC162" t="e">
        <f>AND(#REF!,"AAAAAHz7/4Q=")</f>
        <v>#REF!</v>
      </c>
      <c r="ED162" t="e">
        <f>AND(#REF!,"AAAAAHz7/4U=")</f>
        <v>#REF!</v>
      </c>
      <c r="EE162" t="e">
        <f>AND(#REF!,"AAAAAHz7/4Y=")</f>
        <v>#REF!</v>
      </c>
      <c r="EF162" t="e">
        <f>AND(#REF!,"AAAAAHz7/4c=")</f>
        <v>#REF!</v>
      </c>
      <c r="EG162" t="e">
        <f>AND(#REF!,"AAAAAHz7/4g=")</f>
        <v>#REF!</v>
      </c>
      <c r="EH162" t="e">
        <f>AND(#REF!,"AAAAAHz7/4k=")</f>
        <v>#REF!</v>
      </c>
      <c r="EI162" t="e">
        <f>AND(#REF!,"AAAAAHz7/4o=")</f>
        <v>#REF!</v>
      </c>
      <c r="EJ162" t="e">
        <f>AND(#REF!,"AAAAAHz7/4s=")</f>
        <v>#REF!</v>
      </c>
      <c r="EK162" t="e">
        <f>AND(#REF!,"AAAAAHz7/4w=")</f>
        <v>#REF!</v>
      </c>
      <c r="EL162" t="e">
        <f>AND(#REF!,"AAAAAHz7/40=")</f>
        <v>#REF!</v>
      </c>
      <c r="EM162" t="e">
        <f>AND(#REF!,"AAAAAHz7/44=")</f>
        <v>#REF!</v>
      </c>
      <c r="EN162" t="e">
        <f>AND(#REF!,"AAAAAHz7/48=")</f>
        <v>#REF!</v>
      </c>
      <c r="EO162" t="e">
        <f>AND(#REF!,"AAAAAHz7/5A=")</f>
        <v>#REF!</v>
      </c>
      <c r="EP162" t="e">
        <f>AND(#REF!,"AAAAAHz7/5E=")</f>
        <v>#REF!</v>
      </c>
      <c r="EQ162" t="e">
        <f>IF(#REF!,"AAAAAHz7/5I=",0)</f>
        <v>#REF!</v>
      </c>
      <c r="ER162" t="e">
        <f>AND(#REF!,"AAAAAHz7/5M=")</f>
        <v>#REF!</v>
      </c>
      <c r="ES162" t="e">
        <f>AND(#REF!,"AAAAAHz7/5Q=")</f>
        <v>#REF!</v>
      </c>
      <c r="ET162" t="e">
        <f>AND(#REF!,"AAAAAHz7/5U=")</f>
        <v>#REF!</v>
      </c>
      <c r="EU162" t="e">
        <f>AND(#REF!,"AAAAAHz7/5Y=")</f>
        <v>#REF!</v>
      </c>
      <c r="EV162" t="e">
        <f>AND(#REF!,"AAAAAHz7/5c=")</f>
        <v>#REF!</v>
      </c>
      <c r="EW162" t="e">
        <f>AND(#REF!,"AAAAAHz7/5g=")</f>
        <v>#REF!</v>
      </c>
      <c r="EX162" t="e">
        <f>AND(#REF!,"AAAAAHz7/5k=")</f>
        <v>#REF!</v>
      </c>
      <c r="EY162" t="e">
        <f>AND(#REF!,"AAAAAHz7/5o=")</f>
        <v>#REF!</v>
      </c>
      <c r="EZ162" t="e">
        <f>AND(#REF!,"AAAAAHz7/5s=")</f>
        <v>#REF!</v>
      </c>
      <c r="FA162" t="e">
        <f>AND(#REF!,"AAAAAHz7/5w=")</f>
        <v>#REF!</v>
      </c>
      <c r="FB162" t="e">
        <f>AND(#REF!,"AAAAAHz7/50=")</f>
        <v>#REF!</v>
      </c>
      <c r="FC162" t="e">
        <f>AND(#REF!,"AAAAAHz7/54=")</f>
        <v>#REF!</v>
      </c>
      <c r="FD162" t="e">
        <f>AND(#REF!,"AAAAAHz7/58=")</f>
        <v>#REF!</v>
      </c>
      <c r="FE162" t="e">
        <f>AND(#REF!,"AAAAAHz7/6A=")</f>
        <v>#REF!</v>
      </c>
      <c r="FF162" t="e">
        <f>AND(#REF!,"AAAAAHz7/6E=")</f>
        <v>#REF!</v>
      </c>
      <c r="FG162" t="e">
        <f>AND(#REF!,"AAAAAHz7/6I=")</f>
        <v>#REF!</v>
      </c>
      <c r="FH162" t="e">
        <f>AND(#REF!,"AAAAAHz7/6M=")</f>
        <v>#REF!</v>
      </c>
      <c r="FI162" t="e">
        <f>AND(#REF!,"AAAAAHz7/6Q=")</f>
        <v>#REF!</v>
      </c>
      <c r="FJ162" t="e">
        <f>AND(#REF!,"AAAAAHz7/6U=")</f>
        <v>#REF!</v>
      </c>
      <c r="FK162" t="e">
        <f>AND(#REF!,"AAAAAHz7/6Y=")</f>
        <v>#REF!</v>
      </c>
      <c r="FL162" t="e">
        <f>AND(#REF!,"AAAAAHz7/6c=")</f>
        <v>#REF!</v>
      </c>
      <c r="FM162" t="e">
        <f>IF(#REF!,"AAAAAHz7/6g=",0)</f>
        <v>#REF!</v>
      </c>
      <c r="FN162" t="e">
        <f>AND(#REF!,"AAAAAHz7/6k=")</f>
        <v>#REF!</v>
      </c>
      <c r="FO162" t="e">
        <f>AND(#REF!,"AAAAAHz7/6o=")</f>
        <v>#REF!</v>
      </c>
      <c r="FP162" t="e">
        <f>AND(#REF!,"AAAAAHz7/6s=")</f>
        <v>#REF!</v>
      </c>
      <c r="FQ162" t="e">
        <f>AND(#REF!,"AAAAAHz7/6w=")</f>
        <v>#REF!</v>
      </c>
      <c r="FR162" t="e">
        <f>AND(#REF!,"AAAAAHz7/60=")</f>
        <v>#REF!</v>
      </c>
      <c r="FS162" t="e">
        <f>AND(#REF!,"AAAAAHz7/64=")</f>
        <v>#REF!</v>
      </c>
      <c r="FT162" t="e">
        <f>AND(#REF!,"AAAAAHz7/68=")</f>
        <v>#REF!</v>
      </c>
      <c r="FU162" t="e">
        <f>AND(#REF!,"AAAAAHz7/7A=")</f>
        <v>#REF!</v>
      </c>
      <c r="FV162" t="e">
        <f>AND(#REF!,"AAAAAHz7/7E=")</f>
        <v>#REF!</v>
      </c>
      <c r="FW162" t="e">
        <f>AND(#REF!,"AAAAAHz7/7I=")</f>
        <v>#REF!</v>
      </c>
      <c r="FX162" t="e">
        <f>AND(#REF!,"AAAAAHz7/7M=")</f>
        <v>#REF!</v>
      </c>
      <c r="FY162" t="e">
        <f>AND(#REF!,"AAAAAHz7/7Q=")</f>
        <v>#REF!</v>
      </c>
      <c r="FZ162" t="e">
        <f>AND(#REF!,"AAAAAHz7/7U=")</f>
        <v>#REF!</v>
      </c>
      <c r="GA162" t="e">
        <f>AND(#REF!,"AAAAAHz7/7Y=")</f>
        <v>#REF!</v>
      </c>
      <c r="GB162" t="e">
        <f>AND(#REF!,"AAAAAHz7/7c=")</f>
        <v>#REF!</v>
      </c>
      <c r="GC162" t="e">
        <f>AND(#REF!,"AAAAAHz7/7g=")</f>
        <v>#REF!</v>
      </c>
      <c r="GD162" t="e">
        <f>AND(#REF!,"AAAAAHz7/7k=")</f>
        <v>#REF!</v>
      </c>
      <c r="GE162" t="e">
        <f>AND(#REF!,"AAAAAHz7/7o=")</f>
        <v>#REF!</v>
      </c>
      <c r="GF162" t="e">
        <f>AND(#REF!,"AAAAAHz7/7s=")</f>
        <v>#REF!</v>
      </c>
      <c r="GG162" t="e">
        <f>AND(#REF!,"AAAAAHz7/7w=")</f>
        <v>#REF!</v>
      </c>
      <c r="GH162" t="e">
        <f>AND(#REF!,"AAAAAHz7/70=")</f>
        <v>#REF!</v>
      </c>
      <c r="GI162" t="e">
        <f>IF(#REF!,"AAAAAHz7/74=",0)</f>
        <v>#REF!</v>
      </c>
      <c r="GJ162" t="e">
        <f>AND(#REF!,"AAAAAHz7/78=")</f>
        <v>#REF!</v>
      </c>
      <c r="GK162" t="e">
        <f>AND(#REF!,"AAAAAHz7/8A=")</f>
        <v>#REF!</v>
      </c>
      <c r="GL162" t="e">
        <f>AND(#REF!,"AAAAAHz7/8E=")</f>
        <v>#REF!</v>
      </c>
      <c r="GM162" t="e">
        <f>AND(#REF!,"AAAAAHz7/8I=")</f>
        <v>#REF!</v>
      </c>
      <c r="GN162" t="e">
        <f>AND(#REF!,"AAAAAHz7/8M=")</f>
        <v>#REF!</v>
      </c>
      <c r="GO162" t="e">
        <f>AND(#REF!,"AAAAAHz7/8Q=")</f>
        <v>#REF!</v>
      </c>
      <c r="GP162" t="e">
        <f>AND(#REF!,"AAAAAHz7/8U=")</f>
        <v>#REF!</v>
      </c>
      <c r="GQ162" t="e">
        <f>AND(#REF!,"AAAAAHz7/8Y=")</f>
        <v>#REF!</v>
      </c>
      <c r="GR162" t="e">
        <f>AND(#REF!,"AAAAAHz7/8c=")</f>
        <v>#REF!</v>
      </c>
      <c r="GS162" t="e">
        <f>AND(#REF!,"AAAAAHz7/8g=")</f>
        <v>#REF!</v>
      </c>
      <c r="GT162" t="e">
        <f>AND(#REF!,"AAAAAHz7/8k=")</f>
        <v>#REF!</v>
      </c>
      <c r="GU162" t="e">
        <f>AND(#REF!,"AAAAAHz7/8o=")</f>
        <v>#REF!</v>
      </c>
      <c r="GV162" t="e">
        <f>AND(#REF!,"AAAAAHz7/8s=")</f>
        <v>#REF!</v>
      </c>
      <c r="GW162" t="e">
        <f>AND(#REF!,"AAAAAHz7/8w=")</f>
        <v>#REF!</v>
      </c>
      <c r="GX162" t="e">
        <f>AND(#REF!,"AAAAAHz7/80=")</f>
        <v>#REF!</v>
      </c>
      <c r="GY162" t="e">
        <f>AND(#REF!,"AAAAAHz7/84=")</f>
        <v>#REF!</v>
      </c>
      <c r="GZ162" t="e">
        <f>AND(#REF!,"AAAAAHz7/88=")</f>
        <v>#REF!</v>
      </c>
      <c r="HA162" t="e">
        <f>AND(#REF!,"AAAAAHz7/9A=")</f>
        <v>#REF!</v>
      </c>
      <c r="HB162" t="e">
        <f>AND(#REF!,"AAAAAHz7/9E=")</f>
        <v>#REF!</v>
      </c>
      <c r="HC162" t="e">
        <f>AND(#REF!,"AAAAAHz7/9I=")</f>
        <v>#REF!</v>
      </c>
      <c r="HD162" t="e">
        <f>AND(#REF!,"AAAAAHz7/9M=")</f>
        <v>#REF!</v>
      </c>
      <c r="HE162" t="e">
        <f>IF(#REF!,"AAAAAHz7/9Q=",0)</f>
        <v>#REF!</v>
      </c>
      <c r="HF162" t="e">
        <f>AND(#REF!,"AAAAAHz7/9U=")</f>
        <v>#REF!</v>
      </c>
      <c r="HG162" t="e">
        <f>AND(#REF!,"AAAAAHz7/9Y=")</f>
        <v>#REF!</v>
      </c>
      <c r="HH162" t="e">
        <f>AND(#REF!,"AAAAAHz7/9c=")</f>
        <v>#REF!</v>
      </c>
      <c r="HI162" t="e">
        <f>AND(#REF!,"AAAAAHz7/9g=")</f>
        <v>#REF!</v>
      </c>
      <c r="HJ162" t="e">
        <f>AND(#REF!,"AAAAAHz7/9k=")</f>
        <v>#REF!</v>
      </c>
      <c r="HK162" t="e">
        <f>AND(#REF!,"AAAAAHz7/9o=")</f>
        <v>#REF!</v>
      </c>
      <c r="HL162" t="e">
        <f>AND(#REF!,"AAAAAHz7/9s=")</f>
        <v>#REF!</v>
      </c>
      <c r="HM162" t="e">
        <f>AND(#REF!,"AAAAAHz7/9w=")</f>
        <v>#REF!</v>
      </c>
      <c r="HN162" t="e">
        <f>AND(#REF!,"AAAAAHz7/90=")</f>
        <v>#REF!</v>
      </c>
      <c r="HO162" t="e">
        <f>AND(#REF!,"AAAAAHz7/94=")</f>
        <v>#REF!</v>
      </c>
      <c r="HP162" t="e">
        <f>AND(#REF!,"AAAAAHz7/98=")</f>
        <v>#REF!</v>
      </c>
      <c r="HQ162" t="e">
        <f>AND(#REF!,"AAAAAHz7/+A=")</f>
        <v>#REF!</v>
      </c>
      <c r="HR162" t="e">
        <f>AND(#REF!,"AAAAAHz7/+E=")</f>
        <v>#REF!</v>
      </c>
      <c r="HS162" t="e">
        <f>AND(#REF!,"AAAAAHz7/+I=")</f>
        <v>#REF!</v>
      </c>
      <c r="HT162" t="e">
        <f>AND(#REF!,"AAAAAHz7/+M=")</f>
        <v>#REF!</v>
      </c>
      <c r="HU162" t="e">
        <f>AND(#REF!,"AAAAAHz7/+Q=")</f>
        <v>#REF!</v>
      </c>
      <c r="HV162" t="e">
        <f>AND(#REF!,"AAAAAHz7/+U=")</f>
        <v>#REF!</v>
      </c>
      <c r="HW162" t="e">
        <f>AND(#REF!,"AAAAAHz7/+Y=")</f>
        <v>#REF!</v>
      </c>
      <c r="HX162" t="e">
        <f>AND(#REF!,"AAAAAHz7/+c=")</f>
        <v>#REF!</v>
      </c>
      <c r="HY162" t="e">
        <f>AND(#REF!,"AAAAAHz7/+g=")</f>
        <v>#REF!</v>
      </c>
      <c r="HZ162" t="e">
        <f>AND(#REF!,"AAAAAHz7/+k=")</f>
        <v>#REF!</v>
      </c>
      <c r="IA162" t="e">
        <f>IF(#REF!,"AAAAAHz7/+o=",0)</f>
        <v>#REF!</v>
      </c>
      <c r="IB162" t="e">
        <f>AND(#REF!,"AAAAAHz7/+s=")</f>
        <v>#REF!</v>
      </c>
      <c r="IC162" t="e">
        <f>AND(#REF!,"AAAAAHz7/+w=")</f>
        <v>#REF!</v>
      </c>
      <c r="ID162" t="e">
        <f>AND(#REF!,"AAAAAHz7/+0=")</f>
        <v>#REF!</v>
      </c>
      <c r="IE162" t="e">
        <f>AND(#REF!,"AAAAAHz7/+4=")</f>
        <v>#REF!</v>
      </c>
      <c r="IF162" t="e">
        <f>AND(#REF!,"AAAAAHz7/+8=")</f>
        <v>#REF!</v>
      </c>
      <c r="IG162" t="e">
        <f>AND(#REF!,"AAAAAHz7//A=")</f>
        <v>#REF!</v>
      </c>
      <c r="IH162" t="e">
        <f>AND(#REF!,"AAAAAHz7//E=")</f>
        <v>#REF!</v>
      </c>
      <c r="II162" t="e">
        <f>AND(#REF!,"AAAAAHz7//I=")</f>
        <v>#REF!</v>
      </c>
      <c r="IJ162" t="e">
        <f>AND(#REF!,"AAAAAHz7//M=")</f>
        <v>#REF!</v>
      </c>
      <c r="IK162" t="e">
        <f>AND(#REF!,"AAAAAHz7//Q=")</f>
        <v>#REF!</v>
      </c>
      <c r="IL162" t="e">
        <f>AND(#REF!,"AAAAAHz7//U=")</f>
        <v>#REF!</v>
      </c>
      <c r="IM162" t="e">
        <f>AND(#REF!,"AAAAAHz7//Y=")</f>
        <v>#REF!</v>
      </c>
      <c r="IN162" t="e">
        <f>AND(#REF!,"AAAAAHz7//c=")</f>
        <v>#REF!</v>
      </c>
      <c r="IO162" t="e">
        <f>AND(#REF!,"AAAAAHz7//g=")</f>
        <v>#REF!</v>
      </c>
      <c r="IP162" t="e">
        <f>AND(#REF!,"AAAAAHz7//k=")</f>
        <v>#REF!</v>
      </c>
      <c r="IQ162" t="e">
        <f>AND(#REF!,"AAAAAHz7//o=")</f>
        <v>#REF!</v>
      </c>
      <c r="IR162" t="e">
        <f>AND(#REF!,"AAAAAHz7//s=")</f>
        <v>#REF!</v>
      </c>
      <c r="IS162" t="e">
        <f>AND(#REF!,"AAAAAHz7//w=")</f>
        <v>#REF!</v>
      </c>
      <c r="IT162" t="e">
        <f>AND(#REF!,"AAAAAHz7//0=")</f>
        <v>#REF!</v>
      </c>
      <c r="IU162" t="e">
        <f>AND(#REF!,"AAAAAHz7//4=")</f>
        <v>#REF!</v>
      </c>
      <c r="IV162" t="e">
        <f>AND(#REF!,"AAAAAHz7//8=")</f>
        <v>#REF!</v>
      </c>
    </row>
    <row r="163" spans="1:256" x14ac:dyDescent="0.25">
      <c r="A163" t="e">
        <f>IF(#REF!,"AAAAAEf+qwA=",0)</f>
        <v>#REF!</v>
      </c>
      <c r="B163" t="e">
        <f>AND(#REF!,"AAAAAEf+qwE=")</f>
        <v>#REF!</v>
      </c>
      <c r="C163" t="e">
        <f>AND(#REF!,"AAAAAEf+qwI=")</f>
        <v>#REF!</v>
      </c>
      <c r="D163" t="e">
        <f>AND(#REF!,"AAAAAEf+qwM=")</f>
        <v>#REF!</v>
      </c>
      <c r="E163" t="e">
        <f>AND(#REF!,"AAAAAEf+qwQ=")</f>
        <v>#REF!</v>
      </c>
      <c r="F163" t="e">
        <f>AND(#REF!,"AAAAAEf+qwU=")</f>
        <v>#REF!</v>
      </c>
      <c r="G163" t="e">
        <f>AND(#REF!,"AAAAAEf+qwY=")</f>
        <v>#REF!</v>
      </c>
      <c r="H163" t="e">
        <f>AND(#REF!,"AAAAAEf+qwc=")</f>
        <v>#REF!</v>
      </c>
      <c r="I163" t="e">
        <f>AND(#REF!,"AAAAAEf+qwg=")</f>
        <v>#REF!</v>
      </c>
      <c r="J163" t="e">
        <f>AND(#REF!,"AAAAAEf+qwk=")</f>
        <v>#REF!</v>
      </c>
      <c r="K163" t="e">
        <f>AND(#REF!,"AAAAAEf+qwo=")</f>
        <v>#REF!</v>
      </c>
      <c r="L163" t="e">
        <f>AND(#REF!,"AAAAAEf+qws=")</f>
        <v>#REF!</v>
      </c>
      <c r="M163" t="e">
        <f>AND(#REF!,"AAAAAEf+qww=")</f>
        <v>#REF!</v>
      </c>
      <c r="N163" t="e">
        <f>AND(#REF!,"AAAAAEf+qw0=")</f>
        <v>#REF!</v>
      </c>
      <c r="O163" t="e">
        <f>AND(#REF!,"AAAAAEf+qw4=")</f>
        <v>#REF!</v>
      </c>
      <c r="P163" t="e">
        <f>AND(#REF!,"AAAAAEf+qw8=")</f>
        <v>#REF!</v>
      </c>
      <c r="Q163" t="e">
        <f>AND(#REF!,"AAAAAEf+qxA=")</f>
        <v>#REF!</v>
      </c>
      <c r="R163" t="e">
        <f>AND(#REF!,"AAAAAEf+qxE=")</f>
        <v>#REF!</v>
      </c>
      <c r="S163" t="e">
        <f>AND(#REF!,"AAAAAEf+qxI=")</f>
        <v>#REF!</v>
      </c>
      <c r="T163" t="e">
        <f>AND(#REF!,"AAAAAEf+qxM=")</f>
        <v>#REF!</v>
      </c>
      <c r="U163" t="e">
        <f>AND(#REF!,"AAAAAEf+qxQ=")</f>
        <v>#REF!</v>
      </c>
      <c r="V163" t="e">
        <f>AND(#REF!,"AAAAAEf+qxU=")</f>
        <v>#REF!</v>
      </c>
      <c r="W163" t="e">
        <f>IF(#REF!,"AAAAAEf+qxY=",0)</f>
        <v>#REF!</v>
      </c>
      <c r="X163" t="e">
        <f>AND(#REF!,"AAAAAEf+qxc=")</f>
        <v>#REF!</v>
      </c>
      <c r="Y163" t="e">
        <f>AND(#REF!,"AAAAAEf+qxg=")</f>
        <v>#REF!</v>
      </c>
      <c r="Z163" t="e">
        <f>AND(#REF!,"AAAAAEf+qxk=")</f>
        <v>#REF!</v>
      </c>
      <c r="AA163" t="e">
        <f>AND(#REF!,"AAAAAEf+qxo=")</f>
        <v>#REF!</v>
      </c>
      <c r="AB163" t="e">
        <f>AND(#REF!,"AAAAAEf+qxs=")</f>
        <v>#REF!</v>
      </c>
      <c r="AC163" t="e">
        <f>AND(#REF!,"AAAAAEf+qxw=")</f>
        <v>#REF!</v>
      </c>
      <c r="AD163" t="e">
        <f>AND(#REF!,"AAAAAEf+qx0=")</f>
        <v>#REF!</v>
      </c>
      <c r="AE163" t="e">
        <f>AND(#REF!,"AAAAAEf+qx4=")</f>
        <v>#REF!</v>
      </c>
      <c r="AF163" t="e">
        <f>AND(#REF!,"AAAAAEf+qx8=")</f>
        <v>#REF!</v>
      </c>
      <c r="AG163" t="e">
        <f>AND(#REF!,"AAAAAEf+qyA=")</f>
        <v>#REF!</v>
      </c>
      <c r="AH163" t="e">
        <f>AND(#REF!,"AAAAAEf+qyE=")</f>
        <v>#REF!</v>
      </c>
      <c r="AI163" t="e">
        <f>AND(#REF!,"AAAAAEf+qyI=")</f>
        <v>#REF!</v>
      </c>
      <c r="AJ163" t="e">
        <f>AND(#REF!,"AAAAAEf+qyM=")</f>
        <v>#REF!</v>
      </c>
      <c r="AK163" t="e">
        <f>AND(#REF!,"AAAAAEf+qyQ=")</f>
        <v>#REF!</v>
      </c>
      <c r="AL163" t="e">
        <f>AND(#REF!,"AAAAAEf+qyU=")</f>
        <v>#REF!</v>
      </c>
      <c r="AM163" t="e">
        <f>AND(#REF!,"AAAAAEf+qyY=")</f>
        <v>#REF!</v>
      </c>
      <c r="AN163" t="e">
        <f>AND(#REF!,"AAAAAEf+qyc=")</f>
        <v>#REF!</v>
      </c>
      <c r="AO163" t="e">
        <f>AND(#REF!,"AAAAAEf+qyg=")</f>
        <v>#REF!</v>
      </c>
      <c r="AP163" t="e">
        <f>AND(#REF!,"AAAAAEf+qyk=")</f>
        <v>#REF!</v>
      </c>
      <c r="AQ163" t="e">
        <f>AND(#REF!,"AAAAAEf+qyo=")</f>
        <v>#REF!</v>
      </c>
      <c r="AR163" t="e">
        <f>AND(#REF!,"AAAAAEf+qys=")</f>
        <v>#REF!</v>
      </c>
      <c r="AS163" t="e">
        <f>IF(#REF!,"AAAAAEf+qyw=",0)</f>
        <v>#REF!</v>
      </c>
      <c r="AT163" t="e">
        <f>AND(#REF!,"AAAAAEf+qy0=")</f>
        <v>#REF!</v>
      </c>
      <c r="AU163" t="e">
        <f>AND(#REF!,"AAAAAEf+qy4=")</f>
        <v>#REF!</v>
      </c>
      <c r="AV163" t="e">
        <f>AND(#REF!,"AAAAAEf+qy8=")</f>
        <v>#REF!</v>
      </c>
      <c r="AW163" t="e">
        <f>AND(#REF!,"AAAAAEf+qzA=")</f>
        <v>#REF!</v>
      </c>
      <c r="AX163" t="e">
        <f>AND(#REF!,"AAAAAEf+qzE=")</f>
        <v>#REF!</v>
      </c>
      <c r="AY163" t="e">
        <f>AND(#REF!,"AAAAAEf+qzI=")</f>
        <v>#REF!</v>
      </c>
      <c r="AZ163" t="e">
        <f>AND(#REF!,"AAAAAEf+qzM=")</f>
        <v>#REF!</v>
      </c>
      <c r="BA163" t="e">
        <f>AND(#REF!,"AAAAAEf+qzQ=")</f>
        <v>#REF!</v>
      </c>
      <c r="BB163" t="e">
        <f>AND(#REF!,"AAAAAEf+qzU=")</f>
        <v>#REF!</v>
      </c>
      <c r="BC163" t="e">
        <f>AND(#REF!,"AAAAAEf+qzY=")</f>
        <v>#REF!</v>
      </c>
      <c r="BD163" t="e">
        <f>AND(#REF!,"AAAAAEf+qzc=")</f>
        <v>#REF!</v>
      </c>
      <c r="BE163" t="e">
        <f>AND(#REF!,"AAAAAEf+qzg=")</f>
        <v>#REF!</v>
      </c>
      <c r="BF163" t="e">
        <f>AND(#REF!,"AAAAAEf+qzk=")</f>
        <v>#REF!</v>
      </c>
      <c r="BG163" t="e">
        <f>AND(#REF!,"AAAAAEf+qzo=")</f>
        <v>#REF!</v>
      </c>
      <c r="BH163" t="e">
        <f>AND(#REF!,"AAAAAEf+qzs=")</f>
        <v>#REF!</v>
      </c>
      <c r="BI163" t="e">
        <f>AND(#REF!,"AAAAAEf+qzw=")</f>
        <v>#REF!</v>
      </c>
      <c r="BJ163" t="e">
        <f>AND(#REF!,"AAAAAEf+qz0=")</f>
        <v>#REF!</v>
      </c>
      <c r="BK163" t="e">
        <f>AND(#REF!,"AAAAAEf+qz4=")</f>
        <v>#REF!</v>
      </c>
      <c r="BL163" t="e">
        <f>AND(#REF!,"AAAAAEf+qz8=")</f>
        <v>#REF!</v>
      </c>
      <c r="BM163" t="e">
        <f>AND(#REF!,"AAAAAEf+q0A=")</f>
        <v>#REF!</v>
      </c>
      <c r="BN163" t="e">
        <f>AND(#REF!,"AAAAAEf+q0E=")</f>
        <v>#REF!</v>
      </c>
      <c r="BO163" t="e">
        <f>IF(#REF!,"AAAAAEf+q0I=",0)</f>
        <v>#REF!</v>
      </c>
      <c r="BP163" t="e">
        <f>AND(#REF!,"AAAAAEf+q0M=")</f>
        <v>#REF!</v>
      </c>
      <c r="BQ163" t="e">
        <f>AND(#REF!,"AAAAAEf+q0Q=")</f>
        <v>#REF!</v>
      </c>
      <c r="BR163" t="e">
        <f>AND(#REF!,"AAAAAEf+q0U=")</f>
        <v>#REF!</v>
      </c>
      <c r="BS163" t="e">
        <f>AND(#REF!,"AAAAAEf+q0Y=")</f>
        <v>#REF!</v>
      </c>
      <c r="BT163" t="e">
        <f>AND(#REF!,"AAAAAEf+q0c=")</f>
        <v>#REF!</v>
      </c>
      <c r="BU163" t="e">
        <f>AND(#REF!,"AAAAAEf+q0g=")</f>
        <v>#REF!</v>
      </c>
      <c r="BV163" t="e">
        <f>AND(#REF!,"AAAAAEf+q0k=")</f>
        <v>#REF!</v>
      </c>
      <c r="BW163" t="e">
        <f>AND(#REF!,"AAAAAEf+q0o=")</f>
        <v>#REF!</v>
      </c>
      <c r="BX163" t="e">
        <f>AND(#REF!,"AAAAAEf+q0s=")</f>
        <v>#REF!</v>
      </c>
      <c r="BY163" t="e">
        <f>AND(#REF!,"AAAAAEf+q0w=")</f>
        <v>#REF!</v>
      </c>
      <c r="BZ163" t="e">
        <f>AND(#REF!,"AAAAAEf+q00=")</f>
        <v>#REF!</v>
      </c>
      <c r="CA163" t="e">
        <f>AND(#REF!,"AAAAAEf+q04=")</f>
        <v>#REF!</v>
      </c>
      <c r="CB163" t="e">
        <f>AND(#REF!,"AAAAAEf+q08=")</f>
        <v>#REF!</v>
      </c>
      <c r="CC163" t="e">
        <f>AND(#REF!,"AAAAAEf+q1A=")</f>
        <v>#REF!</v>
      </c>
      <c r="CD163" t="e">
        <f>AND(#REF!,"AAAAAEf+q1E=")</f>
        <v>#REF!</v>
      </c>
      <c r="CE163" t="e">
        <f>AND(#REF!,"AAAAAEf+q1I=")</f>
        <v>#REF!</v>
      </c>
      <c r="CF163" t="e">
        <f>AND(#REF!,"AAAAAEf+q1M=")</f>
        <v>#REF!</v>
      </c>
      <c r="CG163" t="e">
        <f>AND(#REF!,"AAAAAEf+q1Q=")</f>
        <v>#REF!</v>
      </c>
      <c r="CH163" t="e">
        <f>AND(#REF!,"AAAAAEf+q1U=")</f>
        <v>#REF!</v>
      </c>
      <c r="CI163" t="e">
        <f>AND(#REF!,"AAAAAEf+q1Y=")</f>
        <v>#REF!</v>
      </c>
      <c r="CJ163" t="e">
        <f>AND(#REF!,"AAAAAEf+q1c=")</f>
        <v>#REF!</v>
      </c>
      <c r="CK163" t="e">
        <f>IF(#REF!,"AAAAAEf+q1g=",0)</f>
        <v>#REF!</v>
      </c>
      <c r="CL163" t="e">
        <f>AND(#REF!,"AAAAAEf+q1k=")</f>
        <v>#REF!</v>
      </c>
      <c r="CM163" t="e">
        <f>AND(#REF!,"AAAAAEf+q1o=")</f>
        <v>#REF!</v>
      </c>
      <c r="CN163" t="e">
        <f>AND(#REF!,"AAAAAEf+q1s=")</f>
        <v>#REF!</v>
      </c>
      <c r="CO163" t="e">
        <f>AND(#REF!,"AAAAAEf+q1w=")</f>
        <v>#REF!</v>
      </c>
      <c r="CP163" t="e">
        <f>AND(#REF!,"AAAAAEf+q10=")</f>
        <v>#REF!</v>
      </c>
      <c r="CQ163" t="e">
        <f>AND(#REF!,"AAAAAEf+q14=")</f>
        <v>#REF!</v>
      </c>
      <c r="CR163" t="e">
        <f>AND(#REF!,"AAAAAEf+q18=")</f>
        <v>#REF!</v>
      </c>
      <c r="CS163" t="e">
        <f>AND(#REF!,"AAAAAEf+q2A=")</f>
        <v>#REF!</v>
      </c>
      <c r="CT163" t="e">
        <f>AND(#REF!,"AAAAAEf+q2E=")</f>
        <v>#REF!</v>
      </c>
      <c r="CU163" t="e">
        <f>AND(#REF!,"AAAAAEf+q2I=")</f>
        <v>#REF!</v>
      </c>
      <c r="CV163" t="e">
        <f>AND(#REF!,"AAAAAEf+q2M=")</f>
        <v>#REF!</v>
      </c>
      <c r="CW163" t="e">
        <f>AND(#REF!,"AAAAAEf+q2Q=")</f>
        <v>#REF!</v>
      </c>
      <c r="CX163" t="e">
        <f>AND(#REF!,"AAAAAEf+q2U=")</f>
        <v>#REF!</v>
      </c>
      <c r="CY163" t="e">
        <f>AND(#REF!,"AAAAAEf+q2Y=")</f>
        <v>#REF!</v>
      </c>
      <c r="CZ163" t="e">
        <f>AND(#REF!,"AAAAAEf+q2c=")</f>
        <v>#REF!</v>
      </c>
      <c r="DA163" t="e">
        <f>AND(#REF!,"AAAAAEf+q2g=")</f>
        <v>#REF!</v>
      </c>
      <c r="DB163" t="e">
        <f>AND(#REF!,"AAAAAEf+q2k=")</f>
        <v>#REF!</v>
      </c>
      <c r="DC163" t="e">
        <f>AND(#REF!,"AAAAAEf+q2o=")</f>
        <v>#REF!</v>
      </c>
      <c r="DD163" t="e">
        <f>AND(#REF!,"AAAAAEf+q2s=")</f>
        <v>#REF!</v>
      </c>
      <c r="DE163" t="e">
        <f>AND(#REF!,"AAAAAEf+q2w=")</f>
        <v>#REF!</v>
      </c>
      <c r="DF163" t="e">
        <f>AND(#REF!,"AAAAAEf+q20=")</f>
        <v>#REF!</v>
      </c>
      <c r="DG163" t="e">
        <f>IF(#REF!,"AAAAAEf+q24=",0)</f>
        <v>#REF!</v>
      </c>
      <c r="DH163" t="e">
        <f>AND(#REF!,"AAAAAEf+q28=")</f>
        <v>#REF!</v>
      </c>
      <c r="DI163" t="e">
        <f>AND(#REF!,"AAAAAEf+q3A=")</f>
        <v>#REF!</v>
      </c>
      <c r="DJ163" t="e">
        <f>AND(#REF!,"AAAAAEf+q3E=")</f>
        <v>#REF!</v>
      </c>
      <c r="DK163" t="e">
        <f>AND(#REF!,"AAAAAEf+q3I=")</f>
        <v>#REF!</v>
      </c>
      <c r="DL163" t="e">
        <f>AND(#REF!,"AAAAAEf+q3M=")</f>
        <v>#REF!</v>
      </c>
      <c r="DM163" t="e">
        <f>AND(#REF!,"AAAAAEf+q3Q=")</f>
        <v>#REF!</v>
      </c>
      <c r="DN163" t="e">
        <f>AND(#REF!,"AAAAAEf+q3U=")</f>
        <v>#REF!</v>
      </c>
      <c r="DO163" t="e">
        <f>AND(#REF!,"AAAAAEf+q3Y=")</f>
        <v>#REF!</v>
      </c>
      <c r="DP163" t="e">
        <f>AND(#REF!,"AAAAAEf+q3c=")</f>
        <v>#REF!</v>
      </c>
      <c r="DQ163" t="e">
        <f>AND(#REF!,"AAAAAEf+q3g=")</f>
        <v>#REF!</v>
      </c>
      <c r="DR163" t="e">
        <f>AND(#REF!,"AAAAAEf+q3k=")</f>
        <v>#REF!</v>
      </c>
      <c r="DS163" t="e">
        <f>AND(#REF!,"AAAAAEf+q3o=")</f>
        <v>#REF!</v>
      </c>
      <c r="DT163" t="e">
        <f>AND(#REF!,"AAAAAEf+q3s=")</f>
        <v>#REF!</v>
      </c>
      <c r="DU163" t="e">
        <f>AND(#REF!,"AAAAAEf+q3w=")</f>
        <v>#REF!</v>
      </c>
      <c r="DV163" t="e">
        <f>AND(#REF!,"AAAAAEf+q30=")</f>
        <v>#REF!</v>
      </c>
      <c r="DW163" t="e">
        <f>AND(#REF!,"AAAAAEf+q34=")</f>
        <v>#REF!</v>
      </c>
      <c r="DX163" t="e">
        <f>AND(#REF!,"AAAAAEf+q38=")</f>
        <v>#REF!</v>
      </c>
      <c r="DY163" t="e">
        <f>AND(#REF!,"AAAAAEf+q4A=")</f>
        <v>#REF!</v>
      </c>
      <c r="DZ163" t="e">
        <f>AND(#REF!,"AAAAAEf+q4E=")</f>
        <v>#REF!</v>
      </c>
      <c r="EA163" t="e">
        <f>AND(#REF!,"AAAAAEf+q4I=")</f>
        <v>#REF!</v>
      </c>
      <c r="EB163" t="e">
        <f>AND(#REF!,"AAAAAEf+q4M=")</f>
        <v>#REF!</v>
      </c>
      <c r="EC163" t="e">
        <f>IF(#REF!,"AAAAAEf+q4Q=",0)</f>
        <v>#REF!</v>
      </c>
      <c r="ED163" t="e">
        <f>AND(#REF!,"AAAAAEf+q4U=")</f>
        <v>#REF!</v>
      </c>
      <c r="EE163" t="e">
        <f>AND(#REF!,"AAAAAEf+q4Y=")</f>
        <v>#REF!</v>
      </c>
      <c r="EF163" t="e">
        <f>AND(#REF!,"AAAAAEf+q4c=")</f>
        <v>#REF!</v>
      </c>
      <c r="EG163" t="e">
        <f>AND(#REF!,"AAAAAEf+q4g=")</f>
        <v>#REF!</v>
      </c>
      <c r="EH163" t="e">
        <f>AND(#REF!,"AAAAAEf+q4k=")</f>
        <v>#REF!</v>
      </c>
      <c r="EI163" t="e">
        <f>AND(#REF!,"AAAAAEf+q4o=")</f>
        <v>#REF!</v>
      </c>
      <c r="EJ163" t="e">
        <f>AND(#REF!,"AAAAAEf+q4s=")</f>
        <v>#REF!</v>
      </c>
      <c r="EK163" t="e">
        <f>AND(#REF!,"AAAAAEf+q4w=")</f>
        <v>#REF!</v>
      </c>
      <c r="EL163" t="e">
        <f>AND(#REF!,"AAAAAEf+q40=")</f>
        <v>#REF!</v>
      </c>
      <c r="EM163" t="e">
        <f>AND(#REF!,"AAAAAEf+q44=")</f>
        <v>#REF!</v>
      </c>
      <c r="EN163" t="e">
        <f>AND(#REF!,"AAAAAEf+q48=")</f>
        <v>#REF!</v>
      </c>
      <c r="EO163" t="e">
        <f>AND(#REF!,"AAAAAEf+q5A=")</f>
        <v>#REF!</v>
      </c>
      <c r="EP163" t="e">
        <f>AND(#REF!,"AAAAAEf+q5E=")</f>
        <v>#REF!</v>
      </c>
      <c r="EQ163" t="e">
        <f>AND(#REF!,"AAAAAEf+q5I=")</f>
        <v>#REF!</v>
      </c>
      <c r="ER163" t="e">
        <f>AND(#REF!,"AAAAAEf+q5M=")</f>
        <v>#REF!</v>
      </c>
      <c r="ES163" t="e">
        <f>AND(#REF!,"AAAAAEf+q5Q=")</f>
        <v>#REF!</v>
      </c>
      <c r="ET163" t="e">
        <f>AND(#REF!,"AAAAAEf+q5U=")</f>
        <v>#REF!</v>
      </c>
      <c r="EU163" t="e">
        <f>AND(#REF!,"AAAAAEf+q5Y=")</f>
        <v>#REF!</v>
      </c>
      <c r="EV163" t="e">
        <f>AND(#REF!,"AAAAAEf+q5c=")</f>
        <v>#REF!</v>
      </c>
      <c r="EW163" t="e">
        <f>AND(#REF!,"AAAAAEf+q5g=")</f>
        <v>#REF!</v>
      </c>
      <c r="EX163" t="e">
        <f>AND(#REF!,"AAAAAEf+q5k=")</f>
        <v>#REF!</v>
      </c>
      <c r="EY163" t="e">
        <f>IF(#REF!,"AAAAAEf+q5o=",0)</f>
        <v>#REF!</v>
      </c>
      <c r="EZ163" t="e">
        <f>AND(#REF!,"AAAAAEf+q5s=")</f>
        <v>#REF!</v>
      </c>
      <c r="FA163" t="e">
        <f>AND(#REF!,"AAAAAEf+q5w=")</f>
        <v>#REF!</v>
      </c>
      <c r="FB163" t="e">
        <f>AND(#REF!,"AAAAAEf+q50=")</f>
        <v>#REF!</v>
      </c>
      <c r="FC163" t="e">
        <f>AND(#REF!,"AAAAAEf+q54=")</f>
        <v>#REF!</v>
      </c>
      <c r="FD163" t="e">
        <f>AND(#REF!,"AAAAAEf+q58=")</f>
        <v>#REF!</v>
      </c>
      <c r="FE163" t="e">
        <f>AND(#REF!,"AAAAAEf+q6A=")</f>
        <v>#REF!</v>
      </c>
      <c r="FF163" t="e">
        <f>AND(#REF!,"AAAAAEf+q6E=")</f>
        <v>#REF!</v>
      </c>
      <c r="FG163" t="e">
        <f>AND(#REF!,"AAAAAEf+q6I=")</f>
        <v>#REF!</v>
      </c>
      <c r="FH163" t="e">
        <f>AND(#REF!,"AAAAAEf+q6M=")</f>
        <v>#REF!</v>
      </c>
      <c r="FI163" t="e">
        <f>AND(#REF!,"AAAAAEf+q6Q=")</f>
        <v>#REF!</v>
      </c>
      <c r="FJ163" t="e">
        <f>AND(#REF!,"AAAAAEf+q6U=")</f>
        <v>#REF!</v>
      </c>
      <c r="FK163" t="e">
        <f>AND(#REF!,"AAAAAEf+q6Y=")</f>
        <v>#REF!</v>
      </c>
      <c r="FL163" t="e">
        <f>AND(#REF!,"AAAAAEf+q6c=")</f>
        <v>#REF!</v>
      </c>
      <c r="FM163" t="e">
        <f>AND(#REF!,"AAAAAEf+q6g=")</f>
        <v>#REF!</v>
      </c>
      <c r="FN163" t="e">
        <f>AND(#REF!,"AAAAAEf+q6k=")</f>
        <v>#REF!</v>
      </c>
      <c r="FO163" t="e">
        <f>AND(#REF!,"AAAAAEf+q6o=")</f>
        <v>#REF!</v>
      </c>
      <c r="FP163" t="e">
        <f>AND(#REF!,"AAAAAEf+q6s=")</f>
        <v>#REF!</v>
      </c>
      <c r="FQ163" t="e">
        <f>AND(#REF!,"AAAAAEf+q6w=")</f>
        <v>#REF!</v>
      </c>
      <c r="FR163" t="e">
        <f>AND(#REF!,"AAAAAEf+q60=")</f>
        <v>#REF!</v>
      </c>
      <c r="FS163" t="e">
        <f>AND(#REF!,"AAAAAEf+q64=")</f>
        <v>#REF!</v>
      </c>
      <c r="FT163" t="e">
        <f>AND(#REF!,"AAAAAEf+q68=")</f>
        <v>#REF!</v>
      </c>
      <c r="FU163" t="e">
        <f>IF(#REF!,"AAAAAEf+q7A=",0)</f>
        <v>#REF!</v>
      </c>
      <c r="FV163" t="e">
        <f>AND(#REF!,"AAAAAEf+q7E=")</f>
        <v>#REF!</v>
      </c>
      <c r="FW163" t="e">
        <f>AND(#REF!,"AAAAAEf+q7I=")</f>
        <v>#REF!</v>
      </c>
      <c r="FX163" t="e">
        <f>AND(#REF!,"AAAAAEf+q7M=")</f>
        <v>#REF!</v>
      </c>
      <c r="FY163" t="e">
        <f>AND(#REF!,"AAAAAEf+q7Q=")</f>
        <v>#REF!</v>
      </c>
      <c r="FZ163" t="e">
        <f>AND(#REF!,"AAAAAEf+q7U=")</f>
        <v>#REF!</v>
      </c>
      <c r="GA163" t="e">
        <f>AND(#REF!,"AAAAAEf+q7Y=")</f>
        <v>#REF!</v>
      </c>
      <c r="GB163" t="e">
        <f>AND(#REF!,"AAAAAEf+q7c=")</f>
        <v>#REF!</v>
      </c>
      <c r="GC163" t="e">
        <f>AND(#REF!,"AAAAAEf+q7g=")</f>
        <v>#REF!</v>
      </c>
      <c r="GD163" t="e">
        <f>AND(#REF!,"AAAAAEf+q7k=")</f>
        <v>#REF!</v>
      </c>
      <c r="GE163" t="e">
        <f>AND(#REF!,"AAAAAEf+q7o=")</f>
        <v>#REF!</v>
      </c>
      <c r="GF163" t="e">
        <f>AND(#REF!,"AAAAAEf+q7s=")</f>
        <v>#REF!</v>
      </c>
      <c r="GG163" t="e">
        <f>AND(#REF!,"AAAAAEf+q7w=")</f>
        <v>#REF!</v>
      </c>
      <c r="GH163" t="e">
        <f>AND(#REF!,"AAAAAEf+q70=")</f>
        <v>#REF!</v>
      </c>
      <c r="GI163" t="e">
        <f>AND(#REF!,"AAAAAEf+q74=")</f>
        <v>#REF!</v>
      </c>
      <c r="GJ163" t="e">
        <f>AND(#REF!,"AAAAAEf+q78=")</f>
        <v>#REF!</v>
      </c>
      <c r="GK163" t="e">
        <f>AND(#REF!,"AAAAAEf+q8A=")</f>
        <v>#REF!</v>
      </c>
      <c r="GL163" t="e">
        <f>AND(#REF!,"AAAAAEf+q8E=")</f>
        <v>#REF!</v>
      </c>
      <c r="GM163" t="e">
        <f>AND(#REF!,"AAAAAEf+q8I=")</f>
        <v>#REF!</v>
      </c>
      <c r="GN163" t="e">
        <f>AND(#REF!,"AAAAAEf+q8M=")</f>
        <v>#REF!</v>
      </c>
      <c r="GO163" t="e">
        <f>AND(#REF!,"AAAAAEf+q8Q=")</f>
        <v>#REF!</v>
      </c>
      <c r="GP163" t="e">
        <f>AND(#REF!,"AAAAAEf+q8U=")</f>
        <v>#REF!</v>
      </c>
      <c r="GQ163" t="e">
        <f>IF(#REF!,"AAAAAEf+q8Y=",0)</f>
        <v>#REF!</v>
      </c>
      <c r="GR163" t="e">
        <f>AND(#REF!,"AAAAAEf+q8c=")</f>
        <v>#REF!</v>
      </c>
      <c r="GS163" t="e">
        <f>AND(#REF!,"AAAAAEf+q8g=")</f>
        <v>#REF!</v>
      </c>
      <c r="GT163" t="e">
        <f>AND(#REF!,"AAAAAEf+q8k=")</f>
        <v>#REF!</v>
      </c>
      <c r="GU163" t="e">
        <f>AND(#REF!,"AAAAAEf+q8o=")</f>
        <v>#REF!</v>
      </c>
      <c r="GV163" t="e">
        <f>AND(#REF!,"AAAAAEf+q8s=")</f>
        <v>#REF!</v>
      </c>
      <c r="GW163" t="e">
        <f>AND(#REF!,"AAAAAEf+q8w=")</f>
        <v>#REF!</v>
      </c>
      <c r="GX163" t="e">
        <f>AND(#REF!,"AAAAAEf+q80=")</f>
        <v>#REF!</v>
      </c>
      <c r="GY163" t="e">
        <f>AND(#REF!,"AAAAAEf+q84=")</f>
        <v>#REF!</v>
      </c>
      <c r="GZ163" t="e">
        <f>AND(#REF!,"AAAAAEf+q88=")</f>
        <v>#REF!</v>
      </c>
      <c r="HA163" t="e">
        <f>AND(#REF!,"AAAAAEf+q9A=")</f>
        <v>#REF!</v>
      </c>
      <c r="HB163" t="e">
        <f>AND(#REF!,"AAAAAEf+q9E=")</f>
        <v>#REF!</v>
      </c>
      <c r="HC163" t="e">
        <f>AND(#REF!,"AAAAAEf+q9I=")</f>
        <v>#REF!</v>
      </c>
      <c r="HD163" t="e">
        <f>AND(#REF!,"AAAAAEf+q9M=")</f>
        <v>#REF!</v>
      </c>
      <c r="HE163" t="e">
        <f>AND(#REF!,"AAAAAEf+q9Q=")</f>
        <v>#REF!</v>
      </c>
      <c r="HF163" t="e">
        <f>AND(#REF!,"AAAAAEf+q9U=")</f>
        <v>#REF!</v>
      </c>
      <c r="HG163" t="e">
        <f>AND(#REF!,"AAAAAEf+q9Y=")</f>
        <v>#REF!</v>
      </c>
      <c r="HH163" t="e">
        <f>AND(#REF!,"AAAAAEf+q9c=")</f>
        <v>#REF!</v>
      </c>
      <c r="HI163" t="e">
        <f>AND(#REF!,"AAAAAEf+q9g=")</f>
        <v>#REF!</v>
      </c>
      <c r="HJ163" t="e">
        <f>AND(#REF!,"AAAAAEf+q9k=")</f>
        <v>#REF!</v>
      </c>
      <c r="HK163" t="e">
        <f>AND(#REF!,"AAAAAEf+q9o=")</f>
        <v>#REF!</v>
      </c>
      <c r="HL163" t="e">
        <f>AND(#REF!,"AAAAAEf+q9s=")</f>
        <v>#REF!</v>
      </c>
      <c r="HM163" t="e">
        <f>IF(#REF!,"AAAAAEf+q9w=",0)</f>
        <v>#REF!</v>
      </c>
      <c r="HN163" t="e">
        <f>AND(#REF!,"AAAAAEf+q90=")</f>
        <v>#REF!</v>
      </c>
      <c r="HO163" t="e">
        <f>AND(#REF!,"AAAAAEf+q94=")</f>
        <v>#REF!</v>
      </c>
      <c r="HP163" t="e">
        <f>AND(#REF!,"AAAAAEf+q98=")</f>
        <v>#REF!</v>
      </c>
      <c r="HQ163" t="e">
        <f>AND(#REF!,"AAAAAEf+q+A=")</f>
        <v>#REF!</v>
      </c>
      <c r="HR163" t="e">
        <f>AND(#REF!,"AAAAAEf+q+E=")</f>
        <v>#REF!</v>
      </c>
      <c r="HS163" t="e">
        <f>AND(#REF!,"AAAAAEf+q+I=")</f>
        <v>#REF!</v>
      </c>
      <c r="HT163" t="e">
        <f>AND(#REF!,"AAAAAEf+q+M=")</f>
        <v>#REF!</v>
      </c>
      <c r="HU163" t="e">
        <f>AND(#REF!,"AAAAAEf+q+Q=")</f>
        <v>#REF!</v>
      </c>
      <c r="HV163" t="e">
        <f>AND(#REF!,"AAAAAEf+q+U=")</f>
        <v>#REF!</v>
      </c>
      <c r="HW163" t="e">
        <f>AND(#REF!,"AAAAAEf+q+Y=")</f>
        <v>#REF!</v>
      </c>
      <c r="HX163" t="e">
        <f>AND(#REF!,"AAAAAEf+q+c=")</f>
        <v>#REF!</v>
      </c>
      <c r="HY163" t="e">
        <f>AND(#REF!,"AAAAAEf+q+g=")</f>
        <v>#REF!</v>
      </c>
      <c r="HZ163" t="e">
        <f>AND(#REF!,"AAAAAEf+q+k=")</f>
        <v>#REF!</v>
      </c>
      <c r="IA163" t="e">
        <f>AND(#REF!,"AAAAAEf+q+o=")</f>
        <v>#REF!</v>
      </c>
      <c r="IB163" t="e">
        <f>AND(#REF!,"AAAAAEf+q+s=")</f>
        <v>#REF!</v>
      </c>
      <c r="IC163" t="e">
        <f>AND(#REF!,"AAAAAEf+q+w=")</f>
        <v>#REF!</v>
      </c>
      <c r="ID163" t="e">
        <f>AND(#REF!,"AAAAAEf+q+0=")</f>
        <v>#REF!</v>
      </c>
      <c r="IE163" t="e">
        <f>AND(#REF!,"AAAAAEf+q+4=")</f>
        <v>#REF!</v>
      </c>
      <c r="IF163" t="e">
        <f>AND(#REF!,"AAAAAEf+q+8=")</f>
        <v>#REF!</v>
      </c>
      <c r="IG163" t="e">
        <f>AND(#REF!,"AAAAAEf+q/A=")</f>
        <v>#REF!</v>
      </c>
      <c r="IH163" t="e">
        <f>AND(#REF!,"AAAAAEf+q/E=")</f>
        <v>#REF!</v>
      </c>
      <c r="II163" t="e">
        <f>IF(#REF!,"AAAAAEf+q/I=",0)</f>
        <v>#REF!</v>
      </c>
      <c r="IJ163" t="e">
        <f>AND(#REF!,"AAAAAEf+q/M=")</f>
        <v>#REF!</v>
      </c>
      <c r="IK163" t="e">
        <f>AND(#REF!,"AAAAAEf+q/Q=")</f>
        <v>#REF!</v>
      </c>
      <c r="IL163" t="e">
        <f>AND(#REF!,"AAAAAEf+q/U=")</f>
        <v>#REF!</v>
      </c>
      <c r="IM163" t="e">
        <f>AND(#REF!,"AAAAAEf+q/Y=")</f>
        <v>#REF!</v>
      </c>
      <c r="IN163" t="e">
        <f>AND(#REF!,"AAAAAEf+q/c=")</f>
        <v>#REF!</v>
      </c>
      <c r="IO163" t="e">
        <f>AND(#REF!,"AAAAAEf+q/g=")</f>
        <v>#REF!</v>
      </c>
      <c r="IP163" t="e">
        <f>AND(#REF!,"AAAAAEf+q/k=")</f>
        <v>#REF!</v>
      </c>
      <c r="IQ163" t="e">
        <f>AND(#REF!,"AAAAAEf+q/o=")</f>
        <v>#REF!</v>
      </c>
      <c r="IR163" t="e">
        <f>AND(#REF!,"AAAAAEf+q/s=")</f>
        <v>#REF!</v>
      </c>
      <c r="IS163" t="e">
        <f>AND(#REF!,"AAAAAEf+q/w=")</f>
        <v>#REF!</v>
      </c>
      <c r="IT163" t="e">
        <f>AND(#REF!,"AAAAAEf+q/0=")</f>
        <v>#REF!</v>
      </c>
      <c r="IU163" t="e">
        <f>AND(#REF!,"AAAAAEf+q/4=")</f>
        <v>#REF!</v>
      </c>
      <c r="IV163" t="e">
        <f>AND(#REF!,"AAAAAEf+q/8=")</f>
        <v>#REF!</v>
      </c>
    </row>
    <row r="164" spans="1:256" x14ac:dyDescent="0.25">
      <c r="A164" t="e">
        <f>AND(#REF!,"AAAAAGexPwA=")</f>
        <v>#REF!</v>
      </c>
      <c r="B164" t="e">
        <f>AND(#REF!,"AAAAAGexPwE=")</f>
        <v>#REF!</v>
      </c>
      <c r="C164" t="e">
        <f>AND(#REF!,"AAAAAGexPwI=")</f>
        <v>#REF!</v>
      </c>
      <c r="D164" t="e">
        <f>AND(#REF!,"AAAAAGexPwM=")</f>
        <v>#REF!</v>
      </c>
      <c r="E164" t="e">
        <f>AND(#REF!,"AAAAAGexPwQ=")</f>
        <v>#REF!</v>
      </c>
      <c r="F164" t="e">
        <f>AND(#REF!,"AAAAAGexPwU=")</f>
        <v>#REF!</v>
      </c>
      <c r="G164" t="e">
        <f>AND(#REF!,"AAAAAGexPwY=")</f>
        <v>#REF!</v>
      </c>
      <c r="H164" t="e">
        <f>AND(#REF!,"AAAAAGexPwc=")</f>
        <v>#REF!</v>
      </c>
      <c r="I164" t="e">
        <f>IF(#REF!,"AAAAAGexPwg=",0)</f>
        <v>#REF!</v>
      </c>
      <c r="J164" t="e">
        <f>AND(#REF!,"AAAAAGexPwk=")</f>
        <v>#REF!</v>
      </c>
      <c r="K164" t="e">
        <f>AND(#REF!,"AAAAAGexPwo=")</f>
        <v>#REF!</v>
      </c>
      <c r="L164" t="e">
        <f>AND(#REF!,"AAAAAGexPws=")</f>
        <v>#REF!</v>
      </c>
      <c r="M164" t="e">
        <f>AND(#REF!,"AAAAAGexPww=")</f>
        <v>#REF!</v>
      </c>
      <c r="N164" t="e">
        <f>AND(#REF!,"AAAAAGexPw0=")</f>
        <v>#REF!</v>
      </c>
      <c r="O164" t="e">
        <f>AND(#REF!,"AAAAAGexPw4=")</f>
        <v>#REF!</v>
      </c>
      <c r="P164" t="e">
        <f>AND(#REF!,"AAAAAGexPw8=")</f>
        <v>#REF!</v>
      </c>
      <c r="Q164" t="e">
        <f>AND(#REF!,"AAAAAGexPxA=")</f>
        <v>#REF!</v>
      </c>
      <c r="R164" t="e">
        <f>AND(#REF!,"AAAAAGexPxE=")</f>
        <v>#REF!</v>
      </c>
      <c r="S164" t="e">
        <f>AND(#REF!,"AAAAAGexPxI=")</f>
        <v>#REF!</v>
      </c>
      <c r="T164" t="e">
        <f>AND(#REF!,"AAAAAGexPxM=")</f>
        <v>#REF!</v>
      </c>
      <c r="U164" t="e">
        <f>AND(#REF!,"AAAAAGexPxQ=")</f>
        <v>#REF!</v>
      </c>
      <c r="V164" t="e">
        <f>AND(#REF!,"AAAAAGexPxU=")</f>
        <v>#REF!</v>
      </c>
      <c r="W164" t="e">
        <f>AND(#REF!,"AAAAAGexPxY=")</f>
        <v>#REF!</v>
      </c>
      <c r="X164" t="e">
        <f>AND(#REF!,"AAAAAGexPxc=")</f>
        <v>#REF!</v>
      </c>
      <c r="Y164" t="e">
        <f>AND(#REF!,"AAAAAGexPxg=")</f>
        <v>#REF!</v>
      </c>
      <c r="Z164" t="e">
        <f>AND(#REF!,"AAAAAGexPxk=")</f>
        <v>#REF!</v>
      </c>
      <c r="AA164" t="e">
        <f>AND(#REF!,"AAAAAGexPxo=")</f>
        <v>#REF!</v>
      </c>
      <c r="AB164" t="e">
        <f>AND(#REF!,"AAAAAGexPxs=")</f>
        <v>#REF!</v>
      </c>
      <c r="AC164" t="e">
        <f>AND(#REF!,"AAAAAGexPxw=")</f>
        <v>#REF!</v>
      </c>
      <c r="AD164" t="e">
        <f>AND(#REF!,"AAAAAGexPx0=")</f>
        <v>#REF!</v>
      </c>
      <c r="AE164" t="e">
        <f>IF(#REF!,"AAAAAGexPx4=",0)</f>
        <v>#REF!</v>
      </c>
      <c r="AF164" t="e">
        <f>AND(#REF!,"AAAAAGexPx8=")</f>
        <v>#REF!</v>
      </c>
      <c r="AG164" t="e">
        <f>AND(#REF!,"AAAAAGexPyA=")</f>
        <v>#REF!</v>
      </c>
      <c r="AH164" t="e">
        <f>AND(#REF!,"AAAAAGexPyE=")</f>
        <v>#REF!</v>
      </c>
      <c r="AI164" t="e">
        <f>AND(#REF!,"AAAAAGexPyI=")</f>
        <v>#REF!</v>
      </c>
      <c r="AJ164" t="e">
        <f>AND(#REF!,"AAAAAGexPyM=")</f>
        <v>#REF!</v>
      </c>
      <c r="AK164" t="e">
        <f>AND(#REF!,"AAAAAGexPyQ=")</f>
        <v>#REF!</v>
      </c>
      <c r="AL164" t="e">
        <f>AND(#REF!,"AAAAAGexPyU=")</f>
        <v>#REF!</v>
      </c>
      <c r="AM164" t="e">
        <f>AND(#REF!,"AAAAAGexPyY=")</f>
        <v>#REF!</v>
      </c>
      <c r="AN164" t="e">
        <f>AND(#REF!,"AAAAAGexPyc=")</f>
        <v>#REF!</v>
      </c>
      <c r="AO164" t="e">
        <f>AND(#REF!,"AAAAAGexPyg=")</f>
        <v>#REF!</v>
      </c>
      <c r="AP164" t="e">
        <f>AND(#REF!,"AAAAAGexPyk=")</f>
        <v>#REF!</v>
      </c>
      <c r="AQ164" t="e">
        <f>AND(#REF!,"AAAAAGexPyo=")</f>
        <v>#REF!</v>
      </c>
      <c r="AR164" t="e">
        <f>AND(#REF!,"AAAAAGexPys=")</f>
        <v>#REF!</v>
      </c>
      <c r="AS164" t="e">
        <f>AND(#REF!,"AAAAAGexPyw=")</f>
        <v>#REF!</v>
      </c>
      <c r="AT164" t="e">
        <f>AND(#REF!,"AAAAAGexPy0=")</f>
        <v>#REF!</v>
      </c>
      <c r="AU164" t="e">
        <f>AND(#REF!,"AAAAAGexPy4=")</f>
        <v>#REF!</v>
      </c>
      <c r="AV164" t="e">
        <f>AND(#REF!,"AAAAAGexPy8=")</f>
        <v>#REF!</v>
      </c>
      <c r="AW164" t="e">
        <f>AND(#REF!,"AAAAAGexPzA=")</f>
        <v>#REF!</v>
      </c>
      <c r="AX164" t="e">
        <f>AND(#REF!,"AAAAAGexPzE=")</f>
        <v>#REF!</v>
      </c>
      <c r="AY164" t="e">
        <f>AND(#REF!,"AAAAAGexPzI=")</f>
        <v>#REF!</v>
      </c>
      <c r="AZ164" t="e">
        <f>AND(#REF!,"AAAAAGexPzM=")</f>
        <v>#REF!</v>
      </c>
      <c r="BA164" t="e">
        <f>IF(#REF!,"AAAAAGexPzQ=",0)</f>
        <v>#REF!</v>
      </c>
      <c r="BB164" t="e">
        <f>AND(#REF!,"AAAAAGexPzU=")</f>
        <v>#REF!</v>
      </c>
      <c r="BC164" t="e">
        <f>AND(#REF!,"AAAAAGexPzY=")</f>
        <v>#REF!</v>
      </c>
      <c r="BD164" t="e">
        <f>AND(#REF!,"AAAAAGexPzc=")</f>
        <v>#REF!</v>
      </c>
      <c r="BE164" t="e">
        <f>AND(#REF!,"AAAAAGexPzg=")</f>
        <v>#REF!</v>
      </c>
      <c r="BF164" t="e">
        <f>AND(#REF!,"AAAAAGexPzk=")</f>
        <v>#REF!</v>
      </c>
      <c r="BG164" t="e">
        <f>AND(#REF!,"AAAAAGexPzo=")</f>
        <v>#REF!</v>
      </c>
      <c r="BH164" t="e">
        <f>AND(#REF!,"AAAAAGexPzs=")</f>
        <v>#REF!</v>
      </c>
      <c r="BI164" t="e">
        <f>AND(#REF!,"AAAAAGexPzw=")</f>
        <v>#REF!</v>
      </c>
      <c r="BJ164" t="e">
        <f>AND(#REF!,"AAAAAGexPz0=")</f>
        <v>#REF!</v>
      </c>
      <c r="BK164" t="e">
        <f>AND(#REF!,"AAAAAGexPz4=")</f>
        <v>#REF!</v>
      </c>
      <c r="BL164" t="e">
        <f>AND(#REF!,"AAAAAGexPz8=")</f>
        <v>#REF!</v>
      </c>
      <c r="BM164" t="e">
        <f>AND(#REF!,"AAAAAGexP0A=")</f>
        <v>#REF!</v>
      </c>
      <c r="BN164" t="e">
        <f>AND(#REF!,"AAAAAGexP0E=")</f>
        <v>#REF!</v>
      </c>
      <c r="BO164" t="e">
        <f>AND(#REF!,"AAAAAGexP0I=")</f>
        <v>#REF!</v>
      </c>
      <c r="BP164" t="e">
        <f>AND(#REF!,"AAAAAGexP0M=")</f>
        <v>#REF!</v>
      </c>
      <c r="BQ164" t="e">
        <f>AND(#REF!,"AAAAAGexP0Q=")</f>
        <v>#REF!</v>
      </c>
      <c r="BR164" t="e">
        <f>AND(#REF!,"AAAAAGexP0U=")</f>
        <v>#REF!</v>
      </c>
      <c r="BS164" t="e">
        <f>AND(#REF!,"AAAAAGexP0Y=")</f>
        <v>#REF!</v>
      </c>
      <c r="BT164" t="e">
        <f>AND(#REF!,"AAAAAGexP0c=")</f>
        <v>#REF!</v>
      </c>
      <c r="BU164" t="e">
        <f>AND(#REF!,"AAAAAGexP0g=")</f>
        <v>#REF!</v>
      </c>
      <c r="BV164" t="e">
        <f>AND(#REF!,"AAAAAGexP0k=")</f>
        <v>#REF!</v>
      </c>
      <c r="BW164" t="e">
        <f>IF(#REF!,"AAAAAGexP0o=",0)</f>
        <v>#REF!</v>
      </c>
      <c r="BX164" t="e">
        <f>AND(#REF!,"AAAAAGexP0s=")</f>
        <v>#REF!</v>
      </c>
      <c r="BY164" t="e">
        <f>AND(#REF!,"AAAAAGexP0w=")</f>
        <v>#REF!</v>
      </c>
      <c r="BZ164" t="e">
        <f>AND(#REF!,"AAAAAGexP00=")</f>
        <v>#REF!</v>
      </c>
      <c r="CA164" t="e">
        <f>AND(#REF!,"AAAAAGexP04=")</f>
        <v>#REF!</v>
      </c>
      <c r="CB164" t="e">
        <f>AND(#REF!,"AAAAAGexP08=")</f>
        <v>#REF!</v>
      </c>
      <c r="CC164" t="e">
        <f>AND(#REF!,"AAAAAGexP1A=")</f>
        <v>#REF!</v>
      </c>
      <c r="CD164" t="e">
        <f>AND(#REF!,"AAAAAGexP1E=")</f>
        <v>#REF!</v>
      </c>
      <c r="CE164" t="e">
        <f>AND(#REF!,"AAAAAGexP1I=")</f>
        <v>#REF!</v>
      </c>
      <c r="CF164" t="e">
        <f>AND(#REF!,"AAAAAGexP1M=")</f>
        <v>#REF!</v>
      </c>
      <c r="CG164" t="e">
        <f>AND(#REF!,"AAAAAGexP1Q=")</f>
        <v>#REF!</v>
      </c>
      <c r="CH164" t="e">
        <f>AND(#REF!,"AAAAAGexP1U=")</f>
        <v>#REF!</v>
      </c>
      <c r="CI164" t="e">
        <f>AND(#REF!,"AAAAAGexP1Y=")</f>
        <v>#REF!</v>
      </c>
      <c r="CJ164" t="e">
        <f>AND(#REF!,"AAAAAGexP1c=")</f>
        <v>#REF!</v>
      </c>
      <c r="CK164" t="e">
        <f>AND(#REF!,"AAAAAGexP1g=")</f>
        <v>#REF!</v>
      </c>
      <c r="CL164" t="e">
        <f>AND(#REF!,"AAAAAGexP1k=")</f>
        <v>#REF!</v>
      </c>
      <c r="CM164" t="e">
        <f>AND(#REF!,"AAAAAGexP1o=")</f>
        <v>#REF!</v>
      </c>
      <c r="CN164" t="e">
        <f>AND(#REF!,"AAAAAGexP1s=")</f>
        <v>#REF!</v>
      </c>
      <c r="CO164" t="e">
        <f>AND(#REF!,"AAAAAGexP1w=")</f>
        <v>#REF!</v>
      </c>
      <c r="CP164" t="e">
        <f>AND(#REF!,"AAAAAGexP10=")</f>
        <v>#REF!</v>
      </c>
      <c r="CQ164" t="e">
        <f>AND(#REF!,"AAAAAGexP14=")</f>
        <v>#REF!</v>
      </c>
      <c r="CR164" t="e">
        <f>AND(#REF!,"AAAAAGexP18=")</f>
        <v>#REF!</v>
      </c>
      <c r="CS164" t="e">
        <f>IF(#REF!,"AAAAAGexP2A=",0)</f>
        <v>#REF!</v>
      </c>
      <c r="CT164" t="e">
        <f>IF(#REF!,"AAAAAGexP2E=",0)</f>
        <v>#REF!</v>
      </c>
      <c r="CU164" t="e">
        <f>IF(#REF!,"AAAAAGexP2I=",0)</f>
        <v>#REF!</v>
      </c>
      <c r="CV164" t="e">
        <f>IF(#REF!,"AAAAAGexP2M=",0)</f>
        <v>#REF!</v>
      </c>
      <c r="CW164" t="e">
        <f>IF(#REF!,"AAAAAGexP2Q=",0)</f>
        <v>#REF!</v>
      </c>
      <c r="CX164" t="e">
        <f>IF(#REF!,"AAAAAGexP2U=",0)</f>
        <v>#REF!</v>
      </c>
      <c r="CY164" t="e">
        <f>IF(#REF!,"AAAAAGexP2Y=",0)</f>
        <v>#REF!</v>
      </c>
      <c r="CZ164" t="e">
        <f>IF(#REF!,"AAAAAGexP2c=",0)</f>
        <v>#REF!</v>
      </c>
      <c r="DA164" t="e">
        <f>IF(#REF!,"AAAAAGexP2g=",0)</f>
        <v>#REF!</v>
      </c>
      <c r="DB164" t="e">
        <f>IF(#REF!,"AAAAAGexP2k=",0)</f>
        <v>#REF!</v>
      </c>
      <c r="DC164" t="e">
        <f>IF(#REF!,"AAAAAGexP2o=",0)</f>
        <v>#REF!</v>
      </c>
      <c r="DD164" t="e">
        <f>IF(#REF!,"AAAAAGexP2s=",0)</f>
        <v>#REF!</v>
      </c>
      <c r="DE164" t="e">
        <f>IF(#REF!,"AAAAAGexP2w=",0)</f>
        <v>#REF!</v>
      </c>
      <c r="DF164" t="e">
        <f>IF(#REF!,"AAAAAGexP20=",0)</f>
        <v>#REF!</v>
      </c>
      <c r="DG164" t="e">
        <f>IF(#REF!,"AAAAAGexP24=",0)</f>
        <v>#REF!</v>
      </c>
      <c r="DH164" t="e">
        <f>IF(#REF!,"AAAAAGexP28=",0)</f>
        <v>#REF!</v>
      </c>
      <c r="DI164" t="e">
        <f>IF(#REF!,"AAAAAGexP3A=",0)</f>
        <v>#REF!</v>
      </c>
      <c r="DJ164" t="e">
        <f>IF(#REF!,"AAAAAGexP3E=",0)</f>
        <v>#REF!</v>
      </c>
      <c r="DK164" t="e">
        <f>IF(#REF!,"AAAAAGexP3I=",0)</f>
        <v>#REF!</v>
      </c>
      <c r="DL164" t="e">
        <f>IF(#REF!,"AAAAAGexP3M=",0)</f>
        <v>#REF!</v>
      </c>
      <c r="DM164" t="e">
        <f>IF(#REF!,"AAAAAGexP3Q=",0)</f>
        <v>#REF!</v>
      </c>
      <c r="DN164" t="e">
        <f>IF(#REF!,"AAAAAGexP3U=",0)</f>
        <v>#REF!</v>
      </c>
      <c r="DO164" t="e">
        <f>AND(#REF!,"AAAAAGexP3Y=")</f>
        <v>#REF!</v>
      </c>
      <c r="DP164" t="e">
        <f>AND(#REF!,"AAAAAGexP3c=")</f>
        <v>#REF!</v>
      </c>
      <c r="DQ164" t="e">
        <f>AND(#REF!,"AAAAAGexP3g=")</f>
        <v>#REF!</v>
      </c>
      <c r="DR164" t="e">
        <f>AND(#REF!,"AAAAAGexP3k=")</f>
        <v>#REF!</v>
      </c>
      <c r="DS164" t="e">
        <f>AND(#REF!,"AAAAAGexP3o=")</f>
        <v>#REF!</v>
      </c>
      <c r="DT164" t="e">
        <f>AND(#REF!,"AAAAAGexP3s=")</f>
        <v>#REF!</v>
      </c>
      <c r="DU164" t="e">
        <f>AND(#REF!,"AAAAAGexP3w=")</f>
        <v>#REF!</v>
      </c>
      <c r="DV164" t="e">
        <f>AND(#REF!,"AAAAAGexP30=")</f>
        <v>#REF!</v>
      </c>
      <c r="DW164" t="e">
        <f>AND(#REF!,"AAAAAGexP34=")</f>
        <v>#REF!</v>
      </c>
      <c r="DX164" t="e">
        <f>AND(#REF!,"AAAAAGexP38=")</f>
        <v>#REF!</v>
      </c>
      <c r="DY164" t="e">
        <f>AND(#REF!,"AAAAAGexP4A=")</f>
        <v>#REF!</v>
      </c>
      <c r="DZ164" t="e">
        <f>AND(#REF!,"AAAAAGexP4E=")</f>
        <v>#REF!</v>
      </c>
      <c r="EA164" t="e">
        <f>AND(#REF!,"AAAAAGexP4I=")</f>
        <v>#REF!</v>
      </c>
      <c r="EB164" t="e">
        <f>AND(#REF!,"AAAAAGexP4M=")</f>
        <v>#REF!</v>
      </c>
      <c r="EC164" t="e">
        <f>AND(#REF!,"AAAAAGexP4Q=")</f>
        <v>#REF!</v>
      </c>
      <c r="ED164" t="e">
        <f>AND(#REF!,"AAAAAGexP4U=")</f>
        <v>#REF!</v>
      </c>
      <c r="EE164" t="e">
        <f>AND(#REF!,"AAAAAGexP4Y=")</f>
        <v>#REF!</v>
      </c>
      <c r="EF164" t="e">
        <f>AND(#REF!,"AAAAAGexP4c=")</f>
        <v>#REF!</v>
      </c>
      <c r="EG164" t="e">
        <f>AND(#REF!,"AAAAAGexP4g=")</f>
        <v>#REF!</v>
      </c>
      <c r="EH164" t="e">
        <f>AND(#REF!,"AAAAAGexP4k=")</f>
        <v>#REF!</v>
      </c>
      <c r="EI164" t="e">
        <f>AND(#REF!,"AAAAAGexP4o=")</f>
        <v>#REF!</v>
      </c>
      <c r="EJ164" t="e">
        <f>IF(#REF!,"AAAAAGexP4s=",0)</f>
        <v>#REF!</v>
      </c>
      <c r="EK164" t="e">
        <f>AND(#REF!,"AAAAAGexP4w=")</f>
        <v>#REF!</v>
      </c>
      <c r="EL164" t="e">
        <f>AND(#REF!,"AAAAAGexP40=")</f>
        <v>#REF!</v>
      </c>
      <c r="EM164" t="e">
        <f>AND(#REF!,"AAAAAGexP44=")</f>
        <v>#REF!</v>
      </c>
      <c r="EN164" t="e">
        <f>AND(#REF!,"AAAAAGexP48=")</f>
        <v>#REF!</v>
      </c>
      <c r="EO164" t="e">
        <f>AND(#REF!,"AAAAAGexP5A=")</f>
        <v>#REF!</v>
      </c>
      <c r="EP164" t="e">
        <f>AND(#REF!,"AAAAAGexP5E=")</f>
        <v>#REF!</v>
      </c>
      <c r="EQ164" t="e">
        <f>AND(#REF!,"AAAAAGexP5I=")</f>
        <v>#REF!</v>
      </c>
      <c r="ER164" t="e">
        <f>AND(#REF!,"AAAAAGexP5M=")</f>
        <v>#REF!</v>
      </c>
      <c r="ES164" t="e">
        <f>AND(#REF!,"AAAAAGexP5Q=")</f>
        <v>#REF!</v>
      </c>
      <c r="ET164" t="e">
        <f>AND(#REF!,"AAAAAGexP5U=")</f>
        <v>#REF!</v>
      </c>
      <c r="EU164" t="e">
        <f>AND(#REF!,"AAAAAGexP5Y=")</f>
        <v>#REF!</v>
      </c>
      <c r="EV164" t="e">
        <f>AND(#REF!,"AAAAAGexP5c=")</f>
        <v>#REF!</v>
      </c>
      <c r="EW164" t="e">
        <f>AND(#REF!,"AAAAAGexP5g=")</f>
        <v>#REF!</v>
      </c>
      <c r="EX164" t="e">
        <f>AND(#REF!,"AAAAAGexP5k=")</f>
        <v>#REF!</v>
      </c>
      <c r="EY164" t="e">
        <f>AND(#REF!,"AAAAAGexP5o=")</f>
        <v>#REF!</v>
      </c>
      <c r="EZ164" t="e">
        <f>AND(#REF!,"AAAAAGexP5s=")</f>
        <v>#REF!</v>
      </c>
      <c r="FA164" t="e">
        <f>AND(#REF!,"AAAAAGexP5w=")</f>
        <v>#REF!</v>
      </c>
      <c r="FB164" t="e">
        <f>AND(#REF!,"AAAAAGexP50=")</f>
        <v>#REF!</v>
      </c>
      <c r="FC164" t="e">
        <f>AND(#REF!,"AAAAAGexP54=")</f>
        <v>#REF!</v>
      </c>
      <c r="FD164" t="e">
        <f>AND(#REF!,"AAAAAGexP58=")</f>
        <v>#REF!</v>
      </c>
      <c r="FE164" t="e">
        <f>AND(#REF!,"AAAAAGexP6A=")</f>
        <v>#REF!</v>
      </c>
      <c r="FF164" t="e">
        <f>IF(#REF!,"AAAAAGexP6E=",0)</f>
        <v>#REF!</v>
      </c>
      <c r="FG164" t="e">
        <f>AND(#REF!,"AAAAAGexP6I=")</f>
        <v>#REF!</v>
      </c>
      <c r="FH164" t="e">
        <f>AND(#REF!,"AAAAAGexP6M=")</f>
        <v>#REF!</v>
      </c>
      <c r="FI164" t="e">
        <f>AND(#REF!,"AAAAAGexP6Q=")</f>
        <v>#REF!</v>
      </c>
      <c r="FJ164" t="e">
        <f>AND(#REF!,"AAAAAGexP6U=")</f>
        <v>#REF!</v>
      </c>
      <c r="FK164" t="e">
        <f>AND(#REF!,"AAAAAGexP6Y=")</f>
        <v>#REF!</v>
      </c>
      <c r="FL164" t="e">
        <f>AND(#REF!,"AAAAAGexP6c=")</f>
        <v>#REF!</v>
      </c>
      <c r="FM164" t="e">
        <f>AND(#REF!,"AAAAAGexP6g=")</f>
        <v>#REF!</v>
      </c>
      <c r="FN164" t="e">
        <f>AND(#REF!,"AAAAAGexP6k=")</f>
        <v>#REF!</v>
      </c>
      <c r="FO164" t="e">
        <f>AND(#REF!,"AAAAAGexP6o=")</f>
        <v>#REF!</v>
      </c>
      <c r="FP164" t="e">
        <f>AND(#REF!,"AAAAAGexP6s=")</f>
        <v>#REF!</v>
      </c>
      <c r="FQ164" t="e">
        <f>AND(#REF!,"AAAAAGexP6w=")</f>
        <v>#REF!</v>
      </c>
      <c r="FR164" t="e">
        <f>AND(#REF!,"AAAAAGexP60=")</f>
        <v>#REF!</v>
      </c>
      <c r="FS164" t="e">
        <f>AND(#REF!,"AAAAAGexP64=")</f>
        <v>#REF!</v>
      </c>
      <c r="FT164" t="e">
        <f>AND(#REF!,"AAAAAGexP68=")</f>
        <v>#REF!</v>
      </c>
      <c r="FU164" t="e">
        <f>AND(#REF!,"AAAAAGexP7A=")</f>
        <v>#REF!</v>
      </c>
      <c r="FV164" t="e">
        <f>AND(#REF!,"AAAAAGexP7E=")</f>
        <v>#REF!</v>
      </c>
      <c r="FW164" t="e">
        <f>AND(#REF!,"AAAAAGexP7I=")</f>
        <v>#REF!</v>
      </c>
      <c r="FX164" t="e">
        <f>AND(#REF!,"AAAAAGexP7M=")</f>
        <v>#REF!</v>
      </c>
      <c r="FY164" t="e">
        <f>AND(#REF!,"AAAAAGexP7Q=")</f>
        <v>#REF!</v>
      </c>
      <c r="FZ164" t="e">
        <f>AND(#REF!,"AAAAAGexP7U=")</f>
        <v>#REF!</v>
      </c>
      <c r="GA164" t="e">
        <f>AND(#REF!,"AAAAAGexP7Y=")</f>
        <v>#REF!</v>
      </c>
      <c r="GB164" t="e">
        <f>IF(#REF!,"AAAAAGexP7c=",0)</f>
        <v>#REF!</v>
      </c>
      <c r="GC164" t="e">
        <f>AND(#REF!,"AAAAAGexP7g=")</f>
        <v>#REF!</v>
      </c>
      <c r="GD164" t="e">
        <f>AND(#REF!,"AAAAAGexP7k=")</f>
        <v>#REF!</v>
      </c>
      <c r="GE164" t="e">
        <f>AND(#REF!,"AAAAAGexP7o=")</f>
        <v>#REF!</v>
      </c>
      <c r="GF164" t="e">
        <f>AND(#REF!,"AAAAAGexP7s=")</f>
        <v>#REF!</v>
      </c>
      <c r="GG164" t="e">
        <f>AND(#REF!,"AAAAAGexP7w=")</f>
        <v>#REF!</v>
      </c>
      <c r="GH164" t="e">
        <f>AND(#REF!,"AAAAAGexP70=")</f>
        <v>#REF!</v>
      </c>
      <c r="GI164" t="e">
        <f>AND(#REF!,"AAAAAGexP74=")</f>
        <v>#REF!</v>
      </c>
      <c r="GJ164" t="e">
        <f>AND(#REF!,"AAAAAGexP78=")</f>
        <v>#REF!</v>
      </c>
      <c r="GK164" t="e">
        <f>AND(#REF!,"AAAAAGexP8A=")</f>
        <v>#REF!</v>
      </c>
      <c r="GL164" t="e">
        <f>AND(#REF!,"AAAAAGexP8E=")</f>
        <v>#REF!</v>
      </c>
      <c r="GM164" t="e">
        <f>AND(#REF!,"AAAAAGexP8I=")</f>
        <v>#REF!</v>
      </c>
      <c r="GN164" t="e">
        <f>AND(#REF!,"AAAAAGexP8M=")</f>
        <v>#REF!</v>
      </c>
      <c r="GO164" t="e">
        <f>AND(#REF!,"AAAAAGexP8Q=")</f>
        <v>#REF!</v>
      </c>
      <c r="GP164" t="e">
        <f>AND(#REF!,"AAAAAGexP8U=")</f>
        <v>#REF!</v>
      </c>
      <c r="GQ164" t="e">
        <f>AND(#REF!,"AAAAAGexP8Y=")</f>
        <v>#REF!</v>
      </c>
      <c r="GR164" t="e">
        <f>AND(#REF!,"AAAAAGexP8c=")</f>
        <v>#REF!</v>
      </c>
      <c r="GS164" t="e">
        <f>AND(#REF!,"AAAAAGexP8g=")</f>
        <v>#REF!</v>
      </c>
      <c r="GT164" t="e">
        <f>AND(#REF!,"AAAAAGexP8k=")</f>
        <v>#REF!</v>
      </c>
      <c r="GU164" t="e">
        <f>AND(#REF!,"AAAAAGexP8o=")</f>
        <v>#REF!</v>
      </c>
      <c r="GV164" t="e">
        <f>AND(#REF!,"AAAAAGexP8s=")</f>
        <v>#REF!</v>
      </c>
      <c r="GW164" t="e">
        <f>AND(#REF!,"AAAAAGexP8w=")</f>
        <v>#REF!</v>
      </c>
      <c r="GX164" t="e">
        <f>IF(#REF!,"AAAAAGexP80=",0)</f>
        <v>#REF!</v>
      </c>
      <c r="GY164" t="e">
        <f>AND(#REF!,"AAAAAGexP84=")</f>
        <v>#REF!</v>
      </c>
      <c r="GZ164" t="e">
        <f>AND(#REF!,"AAAAAGexP88=")</f>
        <v>#REF!</v>
      </c>
      <c r="HA164" t="e">
        <f>AND(#REF!,"AAAAAGexP9A=")</f>
        <v>#REF!</v>
      </c>
      <c r="HB164" t="e">
        <f>AND(#REF!,"AAAAAGexP9E=")</f>
        <v>#REF!</v>
      </c>
      <c r="HC164" t="e">
        <f>AND(#REF!,"AAAAAGexP9I=")</f>
        <v>#REF!</v>
      </c>
      <c r="HD164" t="e">
        <f>AND(#REF!,"AAAAAGexP9M=")</f>
        <v>#REF!</v>
      </c>
      <c r="HE164" t="e">
        <f>AND(#REF!,"AAAAAGexP9Q=")</f>
        <v>#REF!</v>
      </c>
      <c r="HF164" t="e">
        <f>AND(#REF!,"AAAAAGexP9U=")</f>
        <v>#REF!</v>
      </c>
      <c r="HG164" t="e">
        <f>AND(#REF!,"AAAAAGexP9Y=")</f>
        <v>#REF!</v>
      </c>
      <c r="HH164" t="e">
        <f>AND(#REF!,"AAAAAGexP9c=")</f>
        <v>#REF!</v>
      </c>
      <c r="HI164" t="e">
        <f>AND(#REF!,"AAAAAGexP9g=")</f>
        <v>#REF!</v>
      </c>
      <c r="HJ164" t="e">
        <f>AND(#REF!,"AAAAAGexP9k=")</f>
        <v>#REF!</v>
      </c>
      <c r="HK164" t="e">
        <f>AND(#REF!,"AAAAAGexP9o=")</f>
        <v>#REF!</v>
      </c>
      <c r="HL164" t="e">
        <f>AND(#REF!,"AAAAAGexP9s=")</f>
        <v>#REF!</v>
      </c>
      <c r="HM164" t="e">
        <f>AND(#REF!,"AAAAAGexP9w=")</f>
        <v>#REF!</v>
      </c>
      <c r="HN164" t="e">
        <f>AND(#REF!,"AAAAAGexP90=")</f>
        <v>#REF!</v>
      </c>
      <c r="HO164" t="e">
        <f>AND(#REF!,"AAAAAGexP94=")</f>
        <v>#REF!</v>
      </c>
      <c r="HP164" t="e">
        <f>AND(#REF!,"AAAAAGexP98=")</f>
        <v>#REF!</v>
      </c>
      <c r="HQ164" t="e">
        <f>AND(#REF!,"AAAAAGexP+A=")</f>
        <v>#REF!</v>
      </c>
      <c r="HR164" t="e">
        <f>AND(#REF!,"AAAAAGexP+E=")</f>
        <v>#REF!</v>
      </c>
      <c r="HS164" t="e">
        <f>AND(#REF!,"AAAAAGexP+I=")</f>
        <v>#REF!</v>
      </c>
      <c r="HT164" t="e">
        <f>IF(#REF!,"AAAAAGexP+M=",0)</f>
        <v>#REF!</v>
      </c>
      <c r="HU164" t="e">
        <f>AND(#REF!,"AAAAAGexP+Q=")</f>
        <v>#REF!</v>
      </c>
      <c r="HV164" t="e">
        <f>AND(#REF!,"AAAAAGexP+U=")</f>
        <v>#REF!</v>
      </c>
      <c r="HW164" t="e">
        <f>AND(#REF!,"AAAAAGexP+Y=")</f>
        <v>#REF!</v>
      </c>
      <c r="HX164" t="e">
        <f>AND(#REF!,"AAAAAGexP+c=")</f>
        <v>#REF!</v>
      </c>
      <c r="HY164" t="e">
        <f>AND(#REF!,"AAAAAGexP+g=")</f>
        <v>#REF!</v>
      </c>
      <c r="HZ164" t="e">
        <f>AND(#REF!,"AAAAAGexP+k=")</f>
        <v>#REF!</v>
      </c>
      <c r="IA164" t="e">
        <f>AND(#REF!,"AAAAAGexP+o=")</f>
        <v>#REF!</v>
      </c>
      <c r="IB164" t="e">
        <f>AND(#REF!,"AAAAAGexP+s=")</f>
        <v>#REF!</v>
      </c>
      <c r="IC164" t="e">
        <f>AND(#REF!,"AAAAAGexP+w=")</f>
        <v>#REF!</v>
      </c>
      <c r="ID164" t="e">
        <f>AND(#REF!,"AAAAAGexP+0=")</f>
        <v>#REF!</v>
      </c>
      <c r="IE164" t="e">
        <f>AND(#REF!,"AAAAAGexP+4=")</f>
        <v>#REF!</v>
      </c>
      <c r="IF164" t="e">
        <f>AND(#REF!,"AAAAAGexP+8=")</f>
        <v>#REF!</v>
      </c>
      <c r="IG164" t="e">
        <f>AND(#REF!,"AAAAAGexP/A=")</f>
        <v>#REF!</v>
      </c>
      <c r="IH164" t="e">
        <f>AND(#REF!,"AAAAAGexP/E=")</f>
        <v>#REF!</v>
      </c>
      <c r="II164" t="e">
        <f>AND(#REF!,"AAAAAGexP/I=")</f>
        <v>#REF!</v>
      </c>
      <c r="IJ164" t="e">
        <f>AND(#REF!,"AAAAAGexP/M=")</f>
        <v>#REF!</v>
      </c>
      <c r="IK164" t="e">
        <f>AND(#REF!,"AAAAAGexP/Q=")</f>
        <v>#REF!</v>
      </c>
      <c r="IL164" t="e">
        <f>AND(#REF!,"AAAAAGexP/U=")</f>
        <v>#REF!</v>
      </c>
      <c r="IM164" t="e">
        <f>AND(#REF!,"AAAAAGexP/Y=")</f>
        <v>#REF!</v>
      </c>
      <c r="IN164" t="e">
        <f>AND(#REF!,"AAAAAGexP/c=")</f>
        <v>#REF!</v>
      </c>
      <c r="IO164" t="e">
        <f>AND(#REF!,"AAAAAGexP/g=")</f>
        <v>#REF!</v>
      </c>
      <c r="IP164" t="e">
        <f>IF(#REF!,"AAAAAGexP/k=",0)</f>
        <v>#REF!</v>
      </c>
      <c r="IQ164" t="e">
        <f>AND(#REF!,"AAAAAGexP/o=")</f>
        <v>#REF!</v>
      </c>
      <c r="IR164" t="e">
        <f>AND(#REF!,"AAAAAGexP/s=")</f>
        <v>#REF!</v>
      </c>
      <c r="IS164" t="e">
        <f>AND(#REF!,"AAAAAGexP/w=")</f>
        <v>#REF!</v>
      </c>
      <c r="IT164" t="e">
        <f>AND(#REF!,"AAAAAGexP/0=")</f>
        <v>#REF!</v>
      </c>
      <c r="IU164" t="e">
        <f>AND(#REF!,"AAAAAGexP/4=")</f>
        <v>#REF!</v>
      </c>
      <c r="IV164" t="e">
        <f>AND(#REF!,"AAAAAGexP/8=")</f>
        <v>#REF!</v>
      </c>
    </row>
    <row r="165" spans="1:256" x14ac:dyDescent="0.25">
      <c r="A165" t="e">
        <f>AND(#REF!,"AAAAAHnuzwA=")</f>
        <v>#REF!</v>
      </c>
      <c r="B165" t="e">
        <f>AND(#REF!,"AAAAAHnuzwE=")</f>
        <v>#REF!</v>
      </c>
      <c r="C165" t="e">
        <f>AND(#REF!,"AAAAAHnuzwI=")</f>
        <v>#REF!</v>
      </c>
      <c r="D165" t="e">
        <f>AND(#REF!,"AAAAAHnuzwM=")</f>
        <v>#REF!</v>
      </c>
      <c r="E165" t="e">
        <f>AND(#REF!,"AAAAAHnuzwQ=")</f>
        <v>#REF!</v>
      </c>
      <c r="F165" t="e">
        <f>AND(#REF!,"AAAAAHnuzwU=")</f>
        <v>#REF!</v>
      </c>
      <c r="G165" t="e">
        <f>AND(#REF!,"AAAAAHnuzwY=")</f>
        <v>#REF!</v>
      </c>
      <c r="H165" t="e">
        <f>AND(#REF!,"AAAAAHnuzwc=")</f>
        <v>#REF!</v>
      </c>
      <c r="I165" t="e">
        <f>AND(#REF!,"AAAAAHnuzwg=")</f>
        <v>#REF!</v>
      </c>
      <c r="J165" t="e">
        <f>AND(#REF!,"AAAAAHnuzwk=")</f>
        <v>#REF!</v>
      </c>
      <c r="K165" t="e">
        <f>AND(#REF!,"AAAAAHnuzwo=")</f>
        <v>#REF!</v>
      </c>
      <c r="L165" t="e">
        <f>AND(#REF!,"AAAAAHnuzws=")</f>
        <v>#REF!</v>
      </c>
      <c r="M165" t="e">
        <f>AND(#REF!,"AAAAAHnuzww=")</f>
        <v>#REF!</v>
      </c>
      <c r="N165" t="e">
        <f>AND(#REF!,"AAAAAHnuzw0=")</f>
        <v>#REF!</v>
      </c>
      <c r="O165" t="e">
        <f>AND(#REF!,"AAAAAHnuzw4=")</f>
        <v>#REF!</v>
      </c>
      <c r="P165" t="e">
        <f>IF(#REF!,"AAAAAHnuzw8=",0)</f>
        <v>#REF!</v>
      </c>
      <c r="Q165" t="e">
        <f>AND(#REF!,"AAAAAHnuzxA=")</f>
        <v>#REF!</v>
      </c>
      <c r="R165" t="e">
        <f>AND(#REF!,"AAAAAHnuzxE=")</f>
        <v>#REF!</v>
      </c>
      <c r="S165" t="e">
        <f>AND(#REF!,"AAAAAHnuzxI=")</f>
        <v>#REF!</v>
      </c>
      <c r="T165" t="e">
        <f>AND(#REF!,"AAAAAHnuzxM=")</f>
        <v>#REF!</v>
      </c>
      <c r="U165" t="e">
        <f>AND(#REF!,"AAAAAHnuzxQ=")</f>
        <v>#REF!</v>
      </c>
      <c r="V165" t="e">
        <f>AND(#REF!,"AAAAAHnuzxU=")</f>
        <v>#REF!</v>
      </c>
      <c r="W165" t="e">
        <f>AND(#REF!,"AAAAAHnuzxY=")</f>
        <v>#REF!</v>
      </c>
      <c r="X165" t="e">
        <f>AND(#REF!,"AAAAAHnuzxc=")</f>
        <v>#REF!</v>
      </c>
      <c r="Y165" t="e">
        <f>AND(#REF!,"AAAAAHnuzxg=")</f>
        <v>#REF!</v>
      </c>
      <c r="Z165" t="e">
        <f>AND(#REF!,"AAAAAHnuzxk=")</f>
        <v>#REF!</v>
      </c>
      <c r="AA165" t="e">
        <f>AND(#REF!,"AAAAAHnuzxo=")</f>
        <v>#REF!</v>
      </c>
      <c r="AB165" t="e">
        <f>AND(#REF!,"AAAAAHnuzxs=")</f>
        <v>#REF!</v>
      </c>
      <c r="AC165" t="e">
        <f>AND(#REF!,"AAAAAHnuzxw=")</f>
        <v>#REF!</v>
      </c>
      <c r="AD165" t="e">
        <f>AND(#REF!,"AAAAAHnuzx0=")</f>
        <v>#REF!</v>
      </c>
      <c r="AE165" t="e">
        <f>AND(#REF!,"AAAAAHnuzx4=")</f>
        <v>#REF!</v>
      </c>
      <c r="AF165" t="e">
        <f>AND(#REF!,"AAAAAHnuzx8=")</f>
        <v>#REF!</v>
      </c>
      <c r="AG165" t="e">
        <f>AND(#REF!,"AAAAAHnuzyA=")</f>
        <v>#REF!</v>
      </c>
      <c r="AH165" t="e">
        <f>AND(#REF!,"AAAAAHnuzyE=")</f>
        <v>#REF!</v>
      </c>
      <c r="AI165" t="e">
        <f>AND(#REF!,"AAAAAHnuzyI=")</f>
        <v>#REF!</v>
      </c>
      <c r="AJ165" t="e">
        <f>AND(#REF!,"AAAAAHnuzyM=")</f>
        <v>#REF!</v>
      </c>
      <c r="AK165" t="e">
        <f>AND(#REF!,"AAAAAHnuzyQ=")</f>
        <v>#REF!</v>
      </c>
      <c r="AL165" t="e">
        <f>IF(#REF!,"AAAAAHnuzyU=",0)</f>
        <v>#REF!</v>
      </c>
      <c r="AM165" t="e">
        <f>AND(#REF!,"AAAAAHnuzyY=")</f>
        <v>#REF!</v>
      </c>
      <c r="AN165" t="e">
        <f>AND(#REF!,"AAAAAHnuzyc=")</f>
        <v>#REF!</v>
      </c>
      <c r="AO165" t="e">
        <f>AND(#REF!,"AAAAAHnuzyg=")</f>
        <v>#REF!</v>
      </c>
      <c r="AP165" t="e">
        <f>AND(#REF!,"AAAAAHnuzyk=")</f>
        <v>#REF!</v>
      </c>
      <c r="AQ165" t="e">
        <f>AND(#REF!,"AAAAAHnuzyo=")</f>
        <v>#REF!</v>
      </c>
      <c r="AR165" t="e">
        <f>AND(#REF!,"AAAAAHnuzys=")</f>
        <v>#REF!</v>
      </c>
      <c r="AS165" t="e">
        <f>AND(#REF!,"AAAAAHnuzyw=")</f>
        <v>#REF!</v>
      </c>
      <c r="AT165" t="e">
        <f>AND(#REF!,"AAAAAHnuzy0=")</f>
        <v>#REF!</v>
      </c>
      <c r="AU165" t="e">
        <f>AND(#REF!,"AAAAAHnuzy4=")</f>
        <v>#REF!</v>
      </c>
      <c r="AV165" t="e">
        <f>AND(#REF!,"AAAAAHnuzy8=")</f>
        <v>#REF!</v>
      </c>
      <c r="AW165" t="e">
        <f>AND(#REF!,"AAAAAHnuzzA=")</f>
        <v>#REF!</v>
      </c>
      <c r="AX165" t="e">
        <f>AND(#REF!,"AAAAAHnuzzE=")</f>
        <v>#REF!</v>
      </c>
      <c r="AY165" t="e">
        <f>AND(#REF!,"AAAAAHnuzzI=")</f>
        <v>#REF!</v>
      </c>
      <c r="AZ165" t="e">
        <f>AND(#REF!,"AAAAAHnuzzM=")</f>
        <v>#REF!</v>
      </c>
      <c r="BA165" t="e">
        <f>AND(#REF!,"AAAAAHnuzzQ=")</f>
        <v>#REF!</v>
      </c>
      <c r="BB165" t="e">
        <f>AND(#REF!,"AAAAAHnuzzU=")</f>
        <v>#REF!</v>
      </c>
      <c r="BC165" t="e">
        <f>AND(#REF!,"AAAAAHnuzzY=")</f>
        <v>#REF!</v>
      </c>
      <c r="BD165" t="e">
        <f>AND(#REF!,"AAAAAHnuzzc=")</f>
        <v>#REF!</v>
      </c>
      <c r="BE165" t="e">
        <f>AND(#REF!,"AAAAAHnuzzg=")</f>
        <v>#REF!</v>
      </c>
      <c r="BF165" t="e">
        <f>AND(#REF!,"AAAAAHnuzzk=")</f>
        <v>#REF!</v>
      </c>
      <c r="BG165" t="e">
        <f>AND(#REF!,"AAAAAHnuzzo=")</f>
        <v>#REF!</v>
      </c>
      <c r="BH165" t="e">
        <f>IF(#REF!,"AAAAAHnuzzs=",0)</f>
        <v>#REF!</v>
      </c>
      <c r="BI165" t="e">
        <f>AND(#REF!,"AAAAAHnuzzw=")</f>
        <v>#REF!</v>
      </c>
      <c r="BJ165" t="e">
        <f>AND(#REF!,"AAAAAHnuzz0=")</f>
        <v>#REF!</v>
      </c>
      <c r="BK165" t="e">
        <f>AND(#REF!,"AAAAAHnuzz4=")</f>
        <v>#REF!</v>
      </c>
      <c r="BL165" t="e">
        <f>AND(#REF!,"AAAAAHnuzz8=")</f>
        <v>#REF!</v>
      </c>
      <c r="BM165" t="e">
        <f>AND(#REF!,"AAAAAHnuz0A=")</f>
        <v>#REF!</v>
      </c>
      <c r="BN165" t="e">
        <f>AND(#REF!,"AAAAAHnuz0E=")</f>
        <v>#REF!</v>
      </c>
      <c r="BO165" t="e">
        <f>AND(#REF!,"AAAAAHnuz0I=")</f>
        <v>#REF!</v>
      </c>
      <c r="BP165" t="e">
        <f>AND(#REF!,"AAAAAHnuz0M=")</f>
        <v>#REF!</v>
      </c>
      <c r="BQ165" t="e">
        <f>AND(#REF!,"AAAAAHnuz0Q=")</f>
        <v>#REF!</v>
      </c>
      <c r="BR165" t="e">
        <f>AND(#REF!,"AAAAAHnuz0U=")</f>
        <v>#REF!</v>
      </c>
      <c r="BS165" t="e">
        <f>AND(#REF!,"AAAAAHnuz0Y=")</f>
        <v>#REF!</v>
      </c>
      <c r="BT165" t="e">
        <f>AND(#REF!,"AAAAAHnuz0c=")</f>
        <v>#REF!</v>
      </c>
      <c r="BU165" t="e">
        <f>AND(#REF!,"AAAAAHnuz0g=")</f>
        <v>#REF!</v>
      </c>
      <c r="BV165" t="e">
        <f>AND(#REF!,"AAAAAHnuz0k=")</f>
        <v>#REF!</v>
      </c>
      <c r="BW165" t="e">
        <f>AND(#REF!,"AAAAAHnuz0o=")</f>
        <v>#REF!</v>
      </c>
      <c r="BX165" t="e">
        <f>AND(#REF!,"AAAAAHnuz0s=")</f>
        <v>#REF!</v>
      </c>
      <c r="BY165" t="e">
        <f>AND(#REF!,"AAAAAHnuz0w=")</f>
        <v>#REF!</v>
      </c>
      <c r="BZ165" t="e">
        <f>AND(#REF!,"AAAAAHnuz00=")</f>
        <v>#REF!</v>
      </c>
      <c r="CA165" t="e">
        <f>AND(#REF!,"AAAAAHnuz04=")</f>
        <v>#REF!</v>
      </c>
      <c r="CB165" t="e">
        <f>AND(#REF!,"AAAAAHnuz08=")</f>
        <v>#REF!</v>
      </c>
      <c r="CC165" t="e">
        <f>AND(#REF!,"AAAAAHnuz1A=")</f>
        <v>#REF!</v>
      </c>
      <c r="CD165" t="e">
        <f>IF(#REF!,"AAAAAHnuz1E=",0)</f>
        <v>#REF!</v>
      </c>
      <c r="CE165" t="e">
        <f>AND(#REF!,"AAAAAHnuz1I=")</f>
        <v>#REF!</v>
      </c>
      <c r="CF165" t="e">
        <f>AND(#REF!,"AAAAAHnuz1M=")</f>
        <v>#REF!</v>
      </c>
      <c r="CG165" t="e">
        <f>AND(#REF!,"AAAAAHnuz1Q=")</f>
        <v>#REF!</v>
      </c>
      <c r="CH165" t="e">
        <f>AND(#REF!,"AAAAAHnuz1U=")</f>
        <v>#REF!</v>
      </c>
      <c r="CI165" t="e">
        <f>AND(#REF!,"AAAAAHnuz1Y=")</f>
        <v>#REF!</v>
      </c>
      <c r="CJ165" t="e">
        <f>AND(#REF!,"AAAAAHnuz1c=")</f>
        <v>#REF!</v>
      </c>
      <c r="CK165" t="e">
        <f>AND(#REF!,"AAAAAHnuz1g=")</f>
        <v>#REF!</v>
      </c>
      <c r="CL165" t="e">
        <f>AND(#REF!,"AAAAAHnuz1k=")</f>
        <v>#REF!</v>
      </c>
      <c r="CM165" t="e">
        <f>AND(#REF!,"AAAAAHnuz1o=")</f>
        <v>#REF!</v>
      </c>
      <c r="CN165" t="e">
        <f>AND(#REF!,"AAAAAHnuz1s=")</f>
        <v>#REF!</v>
      </c>
      <c r="CO165" t="e">
        <f>AND(#REF!,"AAAAAHnuz1w=")</f>
        <v>#REF!</v>
      </c>
      <c r="CP165" t="e">
        <f>AND(#REF!,"AAAAAHnuz10=")</f>
        <v>#REF!</v>
      </c>
      <c r="CQ165" t="e">
        <f>AND(#REF!,"AAAAAHnuz14=")</f>
        <v>#REF!</v>
      </c>
      <c r="CR165" t="e">
        <f>AND(#REF!,"AAAAAHnuz18=")</f>
        <v>#REF!</v>
      </c>
      <c r="CS165" t="e">
        <f>AND(#REF!,"AAAAAHnuz2A=")</f>
        <v>#REF!</v>
      </c>
      <c r="CT165" t="e">
        <f>AND(#REF!,"AAAAAHnuz2E=")</f>
        <v>#REF!</v>
      </c>
      <c r="CU165" t="e">
        <f>AND(#REF!,"AAAAAHnuz2I=")</f>
        <v>#REF!</v>
      </c>
      <c r="CV165" t="e">
        <f>AND(#REF!,"AAAAAHnuz2M=")</f>
        <v>#REF!</v>
      </c>
      <c r="CW165" t="e">
        <f>AND(#REF!,"AAAAAHnuz2Q=")</f>
        <v>#REF!</v>
      </c>
      <c r="CX165" t="e">
        <f>AND(#REF!,"AAAAAHnuz2U=")</f>
        <v>#REF!</v>
      </c>
      <c r="CY165" t="e">
        <f>AND(#REF!,"AAAAAHnuz2Y=")</f>
        <v>#REF!</v>
      </c>
      <c r="CZ165" t="e">
        <f>IF(#REF!,"AAAAAHnuz2c=",0)</f>
        <v>#REF!</v>
      </c>
      <c r="DA165" t="e">
        <f>AND(#REF!,"AAAAAHnuz2g=")</f>
        <v>#REF!</v>
      </c>
      <c r="DB165" t="e">
        <f>AND(#REF!,"AAAAAHnuz2k=")</f>
        <v>#REF!</v>
      </c>
      <c r="DC165" t="e">
        <f>AND(#REF!,"AAAAAHnuz2o=")</f>
        <v>#REF!</v>
      </c>
      <c r="DD165" t="e">
        <f>AND(#REF!,"AAAAAHnuz2s=")</f>
        <v>#REF!</v>
      </c>
      <c r="DE165" t="e">
        <f>AND(#REF!,"AAAAAHnuz2w=")</f>
        <v>#REF!</v>
      </c>
      <c r="DF165" t="e">
        <f>AND(#REF!,"AAAAAHnuz20=")</f>
        <v>#REF!</v>
      </c>
      <c r="DG165" t="e">
        <f>AND(#REF!,"AAAAAHnuz24=")</f>
        <v>#REF!</v>
      </c>
      <c r="DH165" t="e">
        <f>AND(#REF!,"AAAAAHnuz28=")</f>
        <v>#REF!</v>
      </c>
      <c r="DI165" t="e">
        <f>AND(#REF!,"AAAAAHnuz3A=")</f>
        <v>#REF!</v>
      </c>
      <c r="DJ165" t="e">
        <f>AND(#REF!,"AAAAAHnuz3E=")</f>
        <v>#REF!</v>
      </c>
      <c r="DK165" t="e">
        <f>AND(#REF!,"AAAAAHnuz3I=")</f>
        <v>#REF!</v>
      </c>
      <c r="DL165" t="e">
        <f>AND(#REF!,"AAAAAHnuz3M=")</f>
        <v>#REF!</v>
      </c>
      <c r="DM165" t="e">
        <f>AND(#REF!,"AAAAAHnuz3Q=")</f>
        <v>#REF!</v>
      </c>
      <c r="DN165" t="e">
        <f>AND(#REF!,"AAAAAHnuz3U=")</f>
        <v>#REF!</v>
      </c>
      <c r="DO165" t="e">
        <f>AND(#REF!,"AAAAAHnuz3Y=")</f>
        <v>#REF!</v>
      </c>
      <c r="DP165" t="e">
        <f>AND(#REF!,"AAAAAHnuz3c=")</f>
        <v>#REF!</v>
      </c>
      <c r="DQ165" t="e">
        <f>AND(#REF!,"AAAAAHnuz3g=")</f>
        <v>#REF!</v>
      </c>
      <c r="DR165" t="e">
        <f>AND(#REF!,"AAAAAHnuz3k=")</f>
        <v>#REF!</v>
      </c>
      <c r="DS165" t="e">
        <f>AND(#REF!,"AAAAAHnuz3o=")</f>
        <v>#REF!</v>
      </c>
      <c r="DT165" t="e">
        <f>AND(#REF!,"AAAAAHnuz3s=")</f>
        <v>#REF!</v>
      </c>
      <c r="DU165" t="e">
        <f>AND(#REF!,"AAAAAHnuz3w=")</f>
        <v>#REF!</v>
      </c>
      <c r="DV165" t="e">
        <f>IF(#REF!,"AAAAAHnuz30=",0)</f>
        <v>#REF!</v>
      </c>
      <c r="DW165" t="e">
        <f>AND(#REF!,"AAAAAHnuz34=")</f>
        <v>#REF!</v>
      </c>
      <c r="DX165" t="e">
        <f>AND(#REF!,"AAAAAHnuz38=")</f>
        <v>#REF!</v>
      </c>
      <c r="DY165" t="e">
        <f>AND(#REF!,"AAAAAHnuz4A=")</f>
        <v>#REF!</v>
      </c>
      <c r="DZ165" t="e">
        <f>AND(#REF!,"AAAAAHnuz4E=")</f>
        <v>#REF!</v>
      </c>
      <c r="EA165" t="e">
        <f>AND(#REF!,"AAAAAHnuz4I=")</f>
        <v>#REF!</v>
      </c>
      <c r="EB165" t="e">
        <f>AND(#REF!,"AAAAAHnuz4M=")</f>
        <v>#REF!</v>
      </c>
      <c r="EC165" t="e">
        <f>AND(#REF!,"AAAAAHnuz4Q=")</f>
        <v>#REF!</v>
      </c>
      <c r="ED165" t="e">
        <f>AND(#REF!,"AAAAAHnuz4U=")</f>
        <v>#REF!</v>
      </c>
      <c r="EE165" t="e">
        <f>AND(#REF!,"AAAAAHnuz4Y=")</f>
        <v>#REF!</v>
      </c>
      <c r="EF165" t="e">
        <f>AND(#REF!,"AAAAAHnuz4c=")</f>
        <v>#REF!</v>
      </c>
      <c r="EG165" t="e">
        <f>AND(#REF!,"AAAAAHnuz4g=")</f>
        <v>#REF!</v>
      </c>
      <c r="EH165" t="e">
        <f>AND(#REF!,"AAAAAHnuz4k=")</f>
        <v>#REF!</v>
      </c>
      <c r="EI165" t="e">
        <f>AND(#REF!,"AAAAAHnuz4o=")</f>
        <v>#REF!</v>
      </c>
      <c r="EJ165" t="e">
        <f>AND(#REF!,"AAAAAHnuz4s=")</f>
        <v>#REF!</v>
      </c>
      <c r="EK165" t="e">
        <f>AND(#REF!,"AAAAAHnuz4w=")</f>
        <v>#REF!</v>
      </c>
      <c r="EL165" t="e">
        <f>AND(#REF!,"AAAAAHnuz40=")</f>
        <v>#REF!</v>
      </c>
      <c r="EM165" t="e">
        <f>AND(#REF!,"AAAAAHnuz44=")</f>
        <v>#REF!</v>
      </c>
      <c r="EN165" t="e">
        <f>AND(#REF!,"AAAAAHnuz48=")</f>
        <v>#REF!</v>
      </c>
      <c r="EO165" t="e">
        <f>AND(#REF!,"AAAAAHnuz5A=")</f>
        <v>#REF!</v>
      </c>
      <c r="EP165" t="e">
        <f>AND(#REF!,"AAAAAHnuz5E=")</f>
        <v>#REF!</v>
      </c>
      <c r="EQ165" t="e">
        <f>AND(#REF!,"AAAAAHnuz5I=")</f>
        <v>#REF!</v>
      </c>
      <c r="ER165" t="e">
        <f>IF(#REF!,"AAAAAHnuz5M=",0)</f>
        <v>#REF!</v>
      </c>
      <c r="ES165" t="e">
        <f>AND(#REF!,"AAAAAHnuz5Q=")</f>
        <v>#REF!</v>
      </c>
      <c r="ET165" t="e">
        <f>AND(#REF!,"AAAAAHnuz5U=")</f>
        <v>#REF!</v>
      </c>
      <c r="EU165" t="e">
        <f>AND(#REF!,"AAAAAHnuz5Y=")</f>
        <v>#REF!</v>
      </c>
      <c r="EV165" t="e">
        <f>AND(#REF!,"AAAAAHnuz5c=")</f>
        <v>#REF!</v>
      </c>
      <c r="EW165" t="e">
        <f>AND(#REF!,"AAAAAHnuz5g=")</f>
        <v>#REF!</v>
      </c>
      <c r="EX165" t="e">
        <f>AND(#REF!,"AAAAAHnuz5k=")</f>
        <v>#REF!</v>
      </c>
      <c r="EY165" t="e">
        <f>AND(#REF!,"AAAAAHnuz5o=")</f>
        <v>#REF!</v>
      </c>
      <c r="EZ165" t="e">
        <f>AND(#REF!,"AAAAAHnuz5s=")</f>
        <v>#REF!</v>
      </c>
      <c r="FA165" t="e">
        <f>AND(#REF!,"AAAAAHnuz5w=")</f>
        <v>#REF!</v>
      </c>
      <c r="FB165" t="e">
        <f>AND(#REF!,"AAAAAHnuz50=")</f>
        <v>#REF!</v>
      </c>
      <c r="FC165" t="e">
        <f>AND(#REF!,"AAAAAHnuz54=")</f>
        <v>#REF!</v>
      </c>
      <c r="FD165" t="e">
        <f>AND(#REF!,"AAAAAHnuz58=")</f>
        <v>#REF!</v>
      </c>
      <c r="FE165" t="e">
        <f>AND(#REF!,"AAAAAHnuz6A=")</f>
        <v>#REF!</v>
      </c>
      <c r="FF165" t="e">
        <f>AND(#REF!,"AAAAAHnuz6E=")</f>
        <v>#REF!</v>
      </c>
      <c r="FG165" t="e">
        <f>AND(#REF!,"AAAAAHnuz6I=")</f>
        <v>#REF!</v>
      </c>
      <c r="FH165" t="e">
        <f>AND(#REF!,"AAAAAHnuz6M=")</f>
        <v>#REF!</v>
      </c>
      <c r="FI165" t="e">
        <f>AND(#REF!,"AAAAAHnuz6Q=")</f>
        <v>#REF!</v>
      </c>
      <c r="FJ165" t="e">
        <f>AND(#REF!,"AAAAAHnuz6U=")</f>
        <v>#REF!</v>
      </c>
      <c r="FK165" t="e">
        <f>AND(#REF!,"AAAAAHnuz6Y=")</f>
        <v>#REF!</v>
      </c>
      <c r="FL165" t="e">
        <f>AND(#REF!,"AAAAAHnuz6c=")</f>
        <v>#REF!</v>
      </c>
      <c r="FM165" t="e">
        <f>AND(#REF!,"AAAAAHnuz6g=")</f>
        <v>#REF!</v>
      </c>
      <c r="FN165" t="e">
        <f>IF(#REF!,"AAAAAHnuz6k=",0)</f>
        <v>#REF!</v>
      </c>
      <c r="FO165" t="e">
        <f>AND(#REF!,"AAAAAHnuz6o=")</f>
        <v>#REF!</v>
      </c>
      <c r="FP165" t="e">
        <f>AND(#REF!,"AAAAAHnuz6s=")</f>
        <v>#REF!</v>
      </c>
      <c r="FQ165" t="e">
        <f>AND(#REF!,"AAAAAHnuz6w=")</f>
        <v>#REF!</v>
      </c>
      <c r="FR165" t="e">
        <f>AND(#REF!,"AAAAAHnuz60=")</f>
        <v>#REF!</v>
      </c>
      <c r="FS165" t="e">
        <f>AND(#REF!,"AAAAAHnuz64=")</f>
        <v>#REF!</v>
      </c>
      <c r="FT165" t="e">
        <f>AND(#REF!,"AAAAAHnuz68=")</f>
        <v>#REF!</v>
      </c>
      <c r="FU165" t="e">
        <f>AND(#REF!,"AAAAAHnuz7A=")</f>
        <v>#REF!</v>
      </c>
      <c r="FV165" t="e">
        <f>AND(#REF!,"AAAAAHnuz7E=")</f>
        <v>#REF!</v>
      </c>
      <c r="FW165" t="e">
        <f>AND(#REF!,"AAAAAHnuz7I=")</f>
        <v>#REF!</v>
      </c>
      <c r="FX165" t="e">
        <f>AND(#REF!,"AAAAAHnuz7M=")</f>
        <v>#REF!</v>
      </c>
      <c r="FY165" t="e">
        <f>AND(#REF!,"AAAAAHnuz7Q=")</f>
        <v>#REF!</v>
      </c>
      <c r="FZ165" t="e">
        <f>AND(#REF!,"AAAAAHnuz7U=")</f>
        <v>#REF!</v>
      </c>
      <c r="GA165" t="e">
        <f>AND(#REF!,"AAAAAHnuz7Y=")</f>
        <v>#REF!</v>
      </c>
      <c r="GB165" t="e">
        <f>AND(#REF!,"AAAAAHnuz7c=")</f>
        <v>#REF!</v>
      </c>
      <c r="GC165" t="e">
        <f>AND(#REF!,"AAAAAHnuz7g=")</f>
        <v>#REF!</v>
      </c>
      <c r="GD165" t="e">
        <f>AND(#REF!,"AAAAAHnuz7k=")</f>
        <v>#REF!</v>
      </c>
      <c r="GE165" t="e">
        <f>AND(#REF!,"AAAAAHnuz7o=")</f>
        <v>#REF!</v>
      </c>
      <c r="GF165" t="e">
        <f>AND(#REF!,"AAAAAHnuz7s=")</f>
        <v>#REF!</v>
      </c>
      <c r="GG165" t="e">
        <f>AND(#REF!,"AAAAAHnuz7w=")</f>
        <v>#REF!</v>
      </c>
      <c r="GH165" t="e">
        <f>AND(#REF!,"AAAAAHnuz70=")</f>
        <v>#REF!</v>
      </c>
      <c r="GI165" t="e">
        <f>AND(#REF!,"AAAAAHnuz74=")</f>
        <v>#REF!</v>
      </c>
      <c r="GJ165" t="e">
        <f>IF(#REF!,"AAAAAHnuz78=",0)</f>
        <v>#REF!</v>
      </c>
      <c r="GK165" t="e">
        <f>AND(#REF!,"AAAAAHnuz8A=")</f>
        <v>#REF!</v>
      </c>
      <c r="GL165" t="e">
        <f>AND(#REF!,"AAAAAHnuz8E=")</f>
        <v>#REF!</v>
      </c>
      <c r="GM165" t="e">
        <f>AND(#REF!,"AAAAAHnuz8I=")</f>
        <v>#REF!</v>
      </c>
      <c r="GN165" t="e">
        <f>AND(#REF!,"AAAAAHnuz8M=")</f>
        <v>#REF!</v>
      </c>
      <c r="GO165" t="e">
        <f>AND(#REF!,"AAAAAHnuz8Q=")</f>
        <v>#REF!</v>
      </c>
      <c r="GP165" t="e">
        <f>AND(#REF!,"AAAAAHnuz8U=")</f>
        <v>#REF!</v>
      </c>
      <c r="GQ165" t="e">
        <f>AND(#REF!,"AAAAAHnuz8Y=")</f>
        <v>#REF!</v>
      </c>
      <c r="GR165" t="e">
        <f>AND(#REF!,"AAAAAHnuz8c=")</f>
        <v>#REF!</v>
      </c>
      <c r="GS165" t="e">
        <f>AND(#REF!,"AAAAAHnuz8g=")</f>
        <v>#REF!</v>
      </c>
      <c r="GT165" t="e">
        <f>AND(#REF!,"AAAAAHnuz8k=")</f>
        <v>#REF!</v>
      </c>
      <c r="GU165" t="e">
        <f>AND(#REF!,"AAAAAHnuz8o=")</f>
        <v>#REF!</v>
      </c>
      <c r="GV165" t="e">
        <f>AND(#REF!,"AAAAAHnuz8s=")</f>
        <v>#REF!</v>
      </c>
      <c r="GW165" t="e">
        <f>AND(#REF!,"AAAAAHnuz8w=")</f>
        <v>#REF!</v>
      </c>
      <c r="GX165" t="e">
        <f>AND(#REF!,"AAAAAHnuz80=")</f>
        <v>#REF!</v>
      </c>
      <c r="GY165" t="e">
        <f>AND(#REF!,"AAAAAHnuz84=")</f>
        <v>#REF!</v>
      </c>
      <c r="GZ165" t="e">
        <f>AND(#REF!,"AAAAAHnuz88=")</f>
        <v>#REF!</v>
      </c>
      <c r="HA165" t="e">
        <f>AND(#REF!,"AAAAAHnuz9A=")</f>
        <v>#REF!</v>
      </c>
      <c r="HB165" t="e">
        <f>AND(#REF!,"AAAAAHnuz9E=")</f>
        <v>#REF!</v>
      </c>
      <c r="HC165" t="e">
        <f>AND(#REF!,"AAAAAHnuz9I=")</f>
        <v>#REF!</v>
      </c>
      <c r="HD165" t="e">
        <f>AND(#REF!,"AAAAAHnuz9M=")</f>
        <v>#REF!</v>
      </c>
      <c r="HE165" t="e">
        <f>AND(#REF!,"AAAAAHnuz9Q=")</f>
        <v>#REF!</v>
      </c>
      <c r="HF165" t="e">
        <f>IF(#REF!,"AAAAAHnuz9U=",0)</f>
        <v>#REF!</v>
      </c>
      <c r="HG165" t="e">
        <f>AND(#REF!,"AAAAAHnuz9Y=")</f>
        <v>#REF!</v>
      </c>
      <c r="HH165" t="e">
        <f>AND(#REF!,"AAAAAHnuz9c=")</f>
        <v>#REF!</v>
      </c>
      <c r="HI165" t="e">
        <f>AND(#REF!,"AAAAAHnuz9g=")</f>
        <v>#REF!</v>
      </c>
      <c r="HJ165" t="e">
        <f>AND(#REF!,"AAAAAHnuz9k=")</f>
        <v>#REF!</v>
      </c>
      <c r="HK165" t="e">
        <f>AND(#REF!,"AAAAAHnuz9o=")</f>
        <v>#REF!</v>
      </c>
      <c r="HL165" t="e">
        <f>AND(#REF!,"AAAAAHnuz9s=")</f>
        <v>#REF!</v>
      </c>
      <c r="HM165" t="e">
        <f>AND(#REF!,"AAAAAHnuz9w=")</f>
        <v>#REF!</v>
      </c>
      <c r="HN165" t="e">
        <f>AND(#REF!,"AAAAAHnuz90=")</f>
        <v>#REF!</v>
      </c>
      <c r="HO165" t="e">
        <f>AND(#REF!,"AAAAAHnuz94=")</f>
        <v>#REF!</v>
      </c>
      <c r="HP165" t="e">
        <f>AND(#REF!,"AAAAAHnuz98=")</f>
        <v>#REF!</v>
      </c>
      <c r="HQ165" t="e">
        <f>AND(#REF!,"AAAAAHnuz+A=")</f>
        <v>#REF!</v>
      </c>
      <c r="HR165" t="e">
        <f>AND(#REF!,"AAAAAHnuz+E=")</f>
        <v>#REF!</v>
      </c>
      <c r="HS165" t="e">
        <f>AND(#REF!,"AAAAAHnuz+I=")</f>
        <v>#REF!</v>
      </c>
      <c r="HT165" t="e">
        <f>AND(#REF!,"AAAAAHnuz+M=")</f>
        <v>#REF!</v>
      </c>
      <c r="HU165" t="e">
        <f>AND(#REF!,"AAAAAHnuz+Q=")</f>
        <v>#REF!</v>
      </c>
      <c r="HV165" t="e">
        <f>AND(#REF!,"AAAAAHnuz+U=")</f>
        <v>#REF!</v>
      </c>
      <c r="HW165" t="e">
        <f>AND(#REF!,"AAAAAHnuz+Y=")</f>
        <v>#REF!</v>
      </c>
      <c r="HX165" t="e">
        <f>AND(#REF!,"AAAAAHnuz+c=")</f>
        <v>#REF!</v>
      </c>
      <c r="HY165" t="e">
        <f>AND(#REF!,"AAAAAHnuz+g=")</f>
        <v>#REF!</v>
      </c>
      <c r="HZ165" t="e">
        <f>AND(#REF!,"AAAAAHnuz+k=")</f>
        <v>#REF!</v>
      </c>
      <c r="IA165" t="e">
        <f>AND(#REF!,"AAAAAHnuz+o=")</f>
        <v>#REF!</v>
      </c>
      <c r="IB165" t="e">
        <f>IF(#REF!,"AAAAAHnuz+s=",0)</f>
        <v>#REF!</v>
      </c>
      <c r="IC165" t="e">
        <f>AND(#REF!,"AAAAAHnuz+w=")</f>
        <v>#REF!</v>
      </c>
      <c r="ID165" t="e">
        <f>AND(#REF!,"AAAAAHnuz+0=")</f>
        <v>#REF!</v>
      </c>
      <c r="IE165" t="e">
        <f>AND(#REF!,"AAAAAHnuz+4=")</f>
        <v>#REF!</v>
      </c>
      <c r="IF165" t="e">
        <f>AND(#REF!,"AAAAAHnuz+8=")</f>
        <v>#REF!</v>
      </c>
      <c r="IG165" t="e">
        <f>AND(#REF!,"AAAAAHnuz/A=")</f>
        <v>#REF!</v>
      </c>
      <c r="IH165" t="e">
        <f>AND(#REF!,"AAAAAHnuz/E=")</f>
        <v>#REF!</v>
      </c>
      <c r="II165" t="e">
        <f>AND(#REF!,"AAAAAHnuz/I=")</f>
        <v>#REF!</v>
      </c>
      <c r="IJ165" t="e">
        <f>AND(#REF!,"AAAAAHnuz/M=")</f>
        <v>#REF!</v>
      </c>
      <c r="IK165" t="e">
        <f>AND(#REF!,"AAAAAHnuz/Q=")</f>
        <v>#REF!</v>
      </c>
      <c r="IL165" t="e">
        <f>AND(#REF!,"AAAAAHnuz/U=")</f>
        <v>#REF!</v>
      </c>
      <c r="IM165" t="e">
        <f>AND(#REF!,"AAAAAHnuz/Y=")</f>
        <v>#REF!</v>
      </c>
      <c r="IN165" t="e">
        <f>AND(#REF!,"AAAAAHnuz/c=")</f>
        <v>#REF!</v>
      </c>
      <c r="IO165" t="e">
        <f>AND(#REF!,"AAAAAHnuz/g=")</f>
        <v>#REF!</v>
      </c>
      <c r="IP165" t="e">
        <f>AND(#REF!,"AAAAAHnuz/k=")</f>
        <v>#REF!</v>
      </c>
      <c r="IQ165" t="e">
        <f>AND(#REF!,"AAAAAHnuz/o=")</f>
        <v>#REF!</v>
      </c>
      <c r="IR165" t="e">
        <f>AND(#REF!,"AAAAAHnuz/s=")</f>
        <v>#REF!</v>
      </c>
      <c r="IS165" t="e">
        <f>AND(#REF!,"AAAAAHnuz/w=")</f>
        <v>#REF!</v>
      </c>
      <c r="IT165" t="e">
        <f>AND(#REF!,"AAAAAHnuz/0=")</f>
        <v>#REF!</v>
      </c>
      <c r="IU165" t="e">
        <f>AND(#REF!,"AAAAAHnuz/4=")</f>
        <v>#REF!</v>
      </c>
      <c r="IV165" t="e">
        <f>AND(#REF!,"AAAAAHnuz/8=")</f>
        <v>#REF!</v>
      </c>
    </row>
    <row r="166" spans="1:256" x14ac:dyDescent="0.25">
      <c r="A166" t="e">
        <f>AND(#REF!,"AAAAAA9/zQA=")</f>
        <v>#REF!</v>
      </c>
      <c r="B166" t="e">
        <f>IF(#REF!,"AAAAAA9/zQE=",0)</f>
        <v>#REF!</v>
      </c>
      <c r="C166" t="e">
        <f>AND(#REF!,"AAAAAA9/zQI=")</f>
        <v>#REF!</v>
      </c>
      <c r="D166" t="e">
        <f>AND(#REF!,"AAAAAA9/zQM=")</f>
        <v>#REF!</v>
      </c>
      <c r="E166" t="e">
        <f>AND(#REF!,"AAAAAA9/zQQ=")</f>
        <v>#REF!</v>
      </c>
      <c r="F166" t="e">
        <f>AND(#REF!,"AAAAAA9/zQU=")</f>
        <v>#REF!</v>
      </c>
      <c r="G166" t="e">
        <f>AND(#REF!,"AAAAAA9/zQY=")</f>
        <v>#REF!</v>
      </c>
      <c r="H166" t="e">
        <f>AND(#REF!,"AAAAAA9/zQc=")</f>
        <v>#REF!</v>
      </c>
      <c r="I166" t="e">
        <f>AND(#REF!,"AAAAAA9/zQg=")</f>
        <v>#REF!</v>
      </c>
      <c r="J166" t="e">
        <f>AND(#REF!,"AAAAAA9/zQk=")</f>
        <v>#REF!</v>
      </c>
      <c r="K166" t="e">
        <f>AND(#REF!,"AAAAAA9/zQo=")</f>
        <v>#REF!</v>
      </c>
      <c r="L166" t="e">
        <f>AND(#REF!,"AAAAAA9/zQs=")</f>
        <v>#REF!</v>
      </c>
      <c r="M166" t="e">
        <f>AND(#REF!,"AAAAAA9/zQw=")</f>
        <v>#REF!</v>
      </c>
      <c r="N166" t="e">
        <f>AND(#REF!,"AAAAAA9/zQ0=")</f>
        <v>#REF!</v>
      </c>
      <c r="O166" t="e">
        <f>AND(#REF!,"AAAAAA9/zQ4=")</f>
        <v>#REF!</v>
      </c>
      <c r="P166" t="e">
        <f>AND(#REF!,"AAAAAA9/zQ8=")</f>
        <v>#REF!</v>
      </c>
      <c r="Q166" t="e">
        <f>AND(#REF!,"AAAAAA9/zRA=")</f>
        <v>#REF!</v>
      </c>
      <c r="R166" t="e">
        <f>AND(#REF!,"AAAAAA9/zRE=")</f>
        <v>#REF!</v>
      </c>
      <c r="S166" t="e">
        <f>AND(#REF!,"AAAAAA9/zRI=")</f>
        <v>#REF!</v>
      </c>
      <c r="T166" t="e">
        <f>AND(#REF!,"AAAAAA9/zRM=")</f>
        <v>#REF!</v>
      </c>
      <c r="U166" t="e">
        <f>AND(#REF!,"AAAAAA9/zRQ=")</f>
        <v>#REF!</v>
      </c>
      <c r="V166" t="e">
        <f>AND(#REF!,"AAAAAA9/zRU=")</f>
        <v>#REF!</v>
      </c>
      <c r="W166" t="e">
        <f>AND(#REF!,"AAAAAA9/zRY=")</f>
        <v>#REF!</v>
      </c>
      <c r="X166" t="e">
        <f>IF(#REF!,"AAAAAA9/zRc=",0)</f>
        <v>#REF!</v>
      </c>
      <c r="Y166" t="e">
        <f>AND(#REF!,"AAAAAA9/zRg=")</f>
        <v>#REF!</v>
      </c>
      <c r="Z166" t="e">
        <f>AND(#REF!,"AAAAAA9/zRk=")</f>
        <v>#REF!</v>
      </c>
      <c r="AA166" t="e">
        <f>AND(#REF!,"AAAAAA9/zRo=")</f>
        <v>#REF!</v>
      </c>
      <c r="AB166" t="e">
        <f>AND(#REF!,"AAAAAA9/zRs=")</f>
        <v>#REF!</v>
      </c>
      <c r="AC166" t="e">
        <f>AND(#REF!,"AAAAAA9/zRw=")</f>
        <v>#REF!</v>
      </c>
      <c r="AD166" t="e">
        <f>AND(#REF!,"AAAAAA9/zR0=")</f>
        <v>#REF!</v>
      </c>
      <c r="AE166" t="e">
        <f>AND(#REF!,"AAAAAA9/zR4=")</f>
        <v>#REF!</v>
      </c>
      <c r="AF166" t="e">
        <f>AND(#REF!,"AAAAAA9/zR8=")</f>
        <v>#REF!</v>
      </c>
      <c r="AG166" t="e">
        <f>AND(#REF!,"AAAAAA9/zSA=")</f>
        <v>#REF!</v>
      </c>
      <c r="AH166" t="e">
        <f>AND(#REF!,"AAAAAA9/zSE=")</f>
        <v>#REF!</v>
      </c>
      <c r="AI166" t="e">
        <f>AND(#REF!,"AAAAAA9/zSI=")</f>
        <v>#REF!</v>
      </c>
      <c r="AJ166" t="e">
        <f>AND(#REF!,"AAAAAA9/zSM=")</f>
        <v>#REF!</v>
      </c>
      <c r="AK166" t="e">
        <f>AND(#REF!,"AAAAAA9/zSQ=")</f>
        <v>#REF!</v>
      </c>
      <c r="AL166" t="e">
        <f>AND(#REF!,"AAAAAA9/zSU=")</f>
        <v>#REF!</v>
      </c>
      <c r="AM166" t="e">
        <f>AND(#REF!,"AAAAAA9/zSY=")</f>
        <v>#REF!</v>
      </c>
      <c r="AN166" t="e">
        <f>AND(#REF!,"AAAAAA9/zSc=")</f>
        <v>#REF!</v>
      </c>
      <c r="AO166" t="e">
        <f>AND(#REF!,"AAAAAA9/zSg=")</f>
        <v>#REF!</v>
      </c>
      <c r="AP166" t="e">
        <f>AND(#REF!,"AAAAAA9/zSk=")</f>
        <v>#REF!</v>
      </c>
      <c r="AQ166" t="e">
        <f>AND(#REF!,"AAAAAA9/zSo=")</f>
        <v>#REF!</v>
      </c>
      <c r="AR166" t="e">
        <f>AND(#REF!,"AAAAAA9/zSs=")</f>
        <v>#REF!</v>
      </c>
      <c r="AS166" t="e">
        <f>AND(#REF!,"AAAAAA9/zSw=")</f>
        <v>#REF!</v>
      </c>
      <c r="AT166" t="e">
        <f>IF(#REF!,"AAAAAA9/zS0=",0)</f>
        <v>#REF!</v>
      </c>
      <c r="AU166" t="e">
        <f>AND(#REF!,"AAAAAA9/zS4=")</f>
        <v>#REF!</v>
      </c>
      <c r="AV166" t="e">
        <f>AND(#REF!,"AAAAAA9/zS8=")</f>
        <v>#REF!</v>
      </c>
      <c r="AW166" t="e">
        <f>AND(#REF!,"AAAAAA9/zTA=")</f>
        <v>#REF!</v>
      </c>
      <c r="AX166" t="e">
        <f>AND(#REF!,"AAAAAA9/zTE=")</f>
        <v>#REF!</v>
      </c>
      <c r="AY166" t="e">
        <f>AND(#REF!,"AAAAAA9/zTI=")</f>
        <v>#REF!</v>
      </c>
      <c r="AZ166" t="e">
        <f>AND(#REF!,"AAAAAA9/zTM=")</f>
        <v>#REF!</v>
      </c>
      <c r="BA166" t="e">
        <f>AND(#REF!,"AAAAAA9/zTQ=")</f>
        <v>#REF!</v>
      </c>
      <c r="BB166" t="e">
        <f>AND(#REF!,"AAAAAA9/zTU=")</f>
        <v>#REF!</v>
      </c>
      <c r="BC166" t="e">
        <f>AND(#REF!,"AAAAAA9/zTY=")</f>
        <v>#REF!</v>
      </c>
      <c r="BD166" t="e">
        <f>AND(#REF!,"AAAAAA9/zTc=")</f>
        <v>#REF!</v>
      </c>
      <c r="BE166" t="e">
        <f>AND(#REF!,"AAAAAA9/zTg=")</f>
        <v>#REF!</v>
      </c>
      <c r="BF166" t="e">
        <f>AND(#REF!,"AAAAAA9/zTk=")</f>
        <v>#REF!</v>
      </c>
      <c r="BG166" t="e">
        <f>AND(#REF!,"AAAAAA9/zTo=")</f>
        <v>#REF!</v>
      </c>
      <c r="BH166" t="e">
        <f>AND(#REF!,"AAAAAA9/zTs=")</f>
        <v>#REF!</v>
      </c>
      <c r="BI166" t="e">
        <f>AND(#REF!,"AAAAAA9/zTw=")</f>
        <v>#REF!</v>
      </c>
      <c r="BJ166" t="e">
        <f>AND(#REF!,"AAAAAA9/zT0=")</f>
        <v>#REF!</v>
      </c>
      <c r="BK166" t="e">
        <f>AND(#REF!,"AAAAAA9/zT4=")</f>
        <v>#REF!</v>
      </c>
      <c r="BL166" t="e">
        <f>AND(#REF!,"AAAAAA9/zT8=")</f>
        <v>#REF!</v>
      </c>
      <c r="BM166" t="e">
        <f>AND(#REF!,"AAAAAA9/zUA=")</f>
        <v>#REF!</v>
      </c>
      <c r="BN166" t="e">
        <f>AND(#REF!,"AAAAAA9/zUE=")</f>
        <v>#REF!</v>
      </c>
      <c r="BO166" t="e">
        <f>AND(#REF!,"AAAAAA9/zUI=")</f>
        <v>#REF!</v>
      </c>
      <c r="BP166" t="e">
        <f>IF(#REF!,"AAAAAA9/zUM=",0)</f>
        <v>#REF!</v>
      </c>
      <c r="BQ166" t="e">
        <f>AND(#REF!,"AAAAAA9/zUQ=")</f>
        <v>#REF!</v>
      </c>
      <c r="BR166" t="e">
        <f>AND(#REF!,"AAAAAA9/zUU=")</f>
        <v>#REF!</v>
      </c>
      <c r="BS166" t="e">
        <f>AND(#REF!,"AAAAAA9/zUY=")</f>
        <v>#REF!</v>
      </c>
      <c r="BT166" t="e">
        <f>AND(#REF!,"AAAAAA9/zUc=")</f>
        <v>#REF!</v>
      </c>
      <c r="BU166" t="e">
        <f>AND(#REF!,"AAAAAA9/zUg=")</f>
        <v>#REF!</v>
      </c>
      <c r="BV166" t="e">
        <f>AND(#REF!,"AAAAAA9/zUk=")</f>
        <v>#REF!</v>
      </c>
      <c r="BW166" t="e">
        <f>AND(#REF!,"AAAAAA9/zUo=")</f>
        <v>#REF!</v>
      </c>
      <c r="BX166" t="e">
        <f>AND(#REF!,"AAAAAA9/zUs=")</f>
        <v>#REF!</v>
      </c>
      <c r="BY166" t="e">
        <f>AND(#REF!,"AAAAAA9/zUw=")</f>
        <v>#REF!</v>
      </c>
      <c r="BZ166" t="e">
        <f>AND(#REF!,"AAAAAA9/zU0=")</f>
        <v>#REF!</v>
      </c>
      <c r="CA166" t="e">
        <f>AND(#REF!,"AAAAAA9/zU4=")</f>
        <v>#REF!</v>
      </c>
      <c r="CB166" t="e">
        <f>AND(#REF!,"AAAAAA9/zU8=")</f>
        <v>#REF!</v>
      </c>
      <c r="CC166" t="e">
        <f>AND(#REF!,"AAAAAA9/zVA=")</f>
        <v>#REF!</v>
      </c>
      <c r="CD166" t="e">
        <f>AND(#REF!,"AAAAAA9/zVE=")</f>
        <v>#REF!</v>
      </c>
      <c r="CE166" t="e">
        <f>AND(#REF!,"AAAAAA9/zVI=")</f>
        <v>#REF!</v>
      </c>
      <c r="CF166" t="e">
        <f>AND(#REF!,"AAAAAA9/zVM=")</f>
        <v>#REF!</v>
      </c>
      <c r="CG166" t="e">
        <f>AND(#REF!,"AAAAAA9/zVQ=")</f>
        <v>#REF!</v>
      </c>
      <c r="CH166" t="e">
        <f>AND(#REF!,"AAAAAA9/zVU=")</f>
        <v>#REF!</v>
      </c>
      <c r="CI166" t="e">
        <f>AND(#REF!,"AAAAAA9/zVY=")</f>
        <v>#REF!</v>
      </c>
      <c r="CJ166" t="e">
        <f>AND(#REF!,"AAAAAA9/zVc=")</f>
        <v>#REF!</v>
      </c>
      <c r="CK166" t="e">
        <f>AND(#REF!,"AAAAAA9/zVg=")</f>
        <v>#REF!</v>
      </c>
      <c r="CL166" t="e">
        <f>IF(#REF!,"AAAAAA9/zVk=",0)</f>
        <v>#REF!</v>
      </c>
      <c r="CM166" t="e">
        <f>AND(#REF!,"AAAAAA9/zVo=")</f>
        <v>#REF!</v>
      </c>
      <c r="CN166" t="e">
        <f>AND(#REF!,"AAAAAA9/zVs=")</f>
        <v>#REF!</v>
      </c>
      <c r="CO166" t="e">
        <f>AND(#REF!,"AAAAAA9/zVw=")</f>
        <v>#REF!</v>
      </c>
      <c r="CP166" t="e">
        <f>AND(#REF!,"AAAAAA9/zV0=")</f>
        <v>#REF!</v>
      </c>
      <c r="CQ166" t="e">
        <f>AND(#REF!,"AAAAAA9/zV4=")</f>
        <v>#REF!</v>
      </c>
      <c r="CR166" t="e">
        <f>AND(#REF!,"AAAAAA9/zV8=")</f>
        <v>#REF!</v>
      </c>
      <c r="CS166" t="e">
        <f>AND(#REF!,"AAAAAA9/zWA=")</f>
        <v>#REF!</v>
      </c>
      <c r="CT166" t="e">
        <f>AND(#REF!,"AAAAAA9/zWE=")</f>
        <v>#REF!</v>
      </c>
      <c r="CU166" t="e">
        <f>AND(#REF!,"AAAAAA9/zWI=")</f>
        <v>#REF!</v>
      </c>
      <c r="CV166" t="e">
        <f>AND(#REF!,"AAAAAA9/zWM=")</f>
        <v>#REF!</v>
      </c>
      <c r="CW166" t="e">
        <f>AND(#REF!,"AAAAAA9/zWQ=")</f>
        <v>#REF!</v>
      </c>
      <c r="CX166" t="e">
        <f>AND(#REF!,"AAAAAA9/zWU=")</f>
        <v>#REF!</v>
      </c>
      <c r="CY166" t="e">
        <f>AND(#REF!,"AAAAAA9/zWY=")</f>
        <v>#REF!</v>
      </c>
      <c r="CZ166" t="e">
        <f>AND(#REF!,"AAAAAA9/zWc=")</f>
        <v>#REF!</v>
      </c>
      <c r="DA166" t="e">
        <f>AND(#REF!,"AAAAAA9/zWg=")</f>
        <v>#REF!</v>
      </c>
      <c r="DB166" t="e">
        <f>AND(#REF!,"AAAAAA9/zWk=")</f>
        <v>#REF!</v>
      </c>
      <c r="DC166" t="e">
        <f>AND(#REF!,"AAAAAA9/zWo=")</f>
        <v>#REF!</v>
      </c>
      <c r="DD166" t="e">
        <f>AND(#REF!,"AAAAAA9/zWs=")</f>
        <v>#REF!</v>
      </c>
      <c r="DE166" t="e">
        <f>AND(#REF!,"AAAAAA9/zWw=")</f>
        <v>#REF!</v>
      </c>
      <c r="DF166" t="e">
        <f>AND(#REF!,"AAAAAA9/zW0=")</f>
        <v>#REF!</v>
      </c>
      <c r="DG166" t="e">
        <f>AND(#REF!,"AAAAAA9/zW4=")</f>
        <v>#REF!</v>
      </c>
      <c r="DH166" t="e">
        <f>IF(#REF!,"AAAAAA9/zW8=",0)</f>
        <v>#REF!</v>
      </c>
      <c r="DI166" t="e">
        <f>AND(#REF!,"AAAAAA9/zXA=")</f>
        <v>#REF!</v>
      </c>
      <c r="DJ166" t="e">
        <f>AND(#REF!,"AAAAAA9/zXE=")</f>
        <v>#REF!</v>
      </c>
      <c r="DK166" t="e">
        <f>AND(#REF!,"AAAAAA9/zXI=")</f>
        <v>#REF!</v>
      </c>
      <c r="DL166" t="e">
        <f>AND(#REF!,"AAAAAA9/zXM=")</f>
        <v>#REF!</v>
      </c>
      <c r="DM166" t="e">
        <f>AND(#REF!,"AAAAAA9/zXQ=")</f>
        <v>#REF!</v>
      </c>
      <c r="DN166" t="e">
        <f>AND(#REF!,"AAAAAA9/zXU=")</f>
        <v>#REF!</v>
      </c>
      <c r="DO166" t="e">
        <f>AND(#REF!,"AAAAAA9/zXY=")</f>
        <v>#REF!</v>
      </c>
      <c r="DP166" t="e">
        <f>AND(#REF!,"AAAAAA9/zXc=")</f>
        <v>#REF!</v>
      </c>
      <c r="DQ166" t="e">
        <f>AND(#REF!,"AAAAAA9/zXg=")</f>
        <v>#REF!</v>
      </c>
      <c r="DR166" t="e">
        <f>AND(#REF!,"AAAAAA9/zXk=")</f>
        <v>#REF!</v>
      </c>
      <c r="DS166" t="e">
        <f>AND(#REF!,"AAAAAA9/zXo=")</f>
        <v>#REF!</v>
      </c>
      <c r="DT166" t="e">
        <f>AND(#REF!,"AAAAAA9/zXs=")</f>
        <v>#REF!</v>
      </c>
      <c r="DU166" t="e">
        <f>AND(#REF!,"AAAAAA9/zXw=")</f>
        <v>#REF!</v>
      </c>
      <c r="DV166" t="e">
        <f>AND(#REF!,"AAAAAA9/zX0=")</f>
        <v>#REF!</v>
      </c>
      <c r="DW166" t="e">
        <f>AND(#REF!,"AAAAAA9/zX4=")</f>
        <v>#REF!</v>
      </c>
      <c r="DX166" t="e">
        <f>AND(#REF!,"AAAAAA9/zX8=")</f>
        <v>#REF!</v>
      </c>
      <c r="DY166" t="e">
        <f>AND(#REF!,"AAAAAA9/zYA=")</f>
        <v>#REF!</v>
      </c>
      <c r="DZ166" t="e">
        <f>AND(#REF!,"AAAAAA9/zYE=")</f>
        <v>#REF!</v>
      </c>
      <c r="EA166" t="e">
        <f>AND(#REF!,"AAAAAA9/zYI=")</f>
        <v>#REF!</v>
      </c>
      <c r="EB166" t="e">
        <f>AND(#REF!,"AAAAAA9/zYM=")</f>
        <v>#REF!</v>
      </c>
      <c r="EC166" t="e">
        <f>AND(#REF!,"AAAAAA9/zYQ=")</f>
        <v>#REF!</v>
      </c>
      <c r="ED166" t="e">
        <f>IF(#REF!,"AAAAAA9/zYU=",0)</f>
        <v>#REF!</v>
      </c>
      <c r="EE166" t="e">
        <f>AND(#REF!,"AAAAAA9/zYY=")</f>
        <v>#REF!</v>
      </c>
      <c r="EF166" t="e">
        <f>AND(#REF!,"AAAAAA9/zYc=")</f>
        <v>#REF!</v>
      </c>
      <c r="EG166" t="e">
        <f>AND(#REF!,"AAAAAA9/zYg=")</f>
        <v>#REF!</v>
      </c>
      <c r="EH166" t="e">
        <f>AND(#REF!,"AAAAAA9/zYk=")</f>
        <v>#REF!</v>
      </c>
      <c r="EI166" t="e">
        <f>AND(#REF!,"AAAAAA9/zYo=")</f>
        <v>#REF!</v>
      </c>
      <c r="EJ166" t="e">
        <f>AND(#REF!,"AAAAAA9/zYs=")</f>
        <v>#REF!</v>
      </c>
      <c r="EK166" t="e">
        <f>AND(#REF!,"AAAAAA9/zYw=")</f>
        <v>#REF!</v>
      </c>
      <c r="EL166" t="e">
        <f>AND(#REF!,"AAAAAA9/zY0=")</f>
        <v>#REF!</v>
      </c>
      <c r="EM166" t="e">
        <f>AND(#REF!,"AAAAAA9/zY4=")</f>
        <v>#REF!</v>
      </c>
      <c r="EN166" t="e">
        <f>AND(#REF!,"AAAAAA9/zY8=")</f>
        <v>#REF!</v>
      </c>
      <c r="EO166" t="e">
        <f>AND(#REF!,"AAAAAA9/zZA=")</f>
        <v>#REF!</v>
      </c>
      <c r="EP166" t="e">
        <f>AND(#REF!,"AAAAAA9/zZE=")</f>
        <v>#REF!</v>
      </c>
      <c r="EQ166" t="e">
        <f>AND(#REF!,"AAAAAA9/zZI=")</f>
        <v>#REF!</v>
      </c>
      <c r="ER166" t="e">
        <f>AND(#REF!,"AAAAAA9/zZM=")</f>
        <v>#REF!</v>
      </c>
      <c r="ES166" t="e">
        <f>AND(#REF!,"AAAAAA9/zZQ=")</f>
        <v>#REF!</v>
      </c>
      <c r="ET166" t="e">
        <f>AND(#REF!,"AAAAAA9/zZU=")</f>
        <v>#REF!</v>
      </c>
      <c r="EU166" t="e">
        <f>AND(#REF!,"AAAAAA9/zZY=")</f>
        <v>#REF!</v>
      </c>
      <c r="EV166" t="e">
        <f>AND(#REF!,"AAAAAA9/zZc=")</f>
        <v>#REF!</v>
      </c>
      <c r="EW166" t="e">
        <f>AND(#REF!,"AAAAAA9/zZg=")</f>
        <v>#REF!</v>
      </c>
      <c r="EX166" t="e">
        <f>AND(#REF!,"AAAAAA9/zZk=")</f>
        <v>#REF!</v>
      </c>
      <c r="EY166" t="e">
        <f>AND(#REF!,"AAAAAA9/zZo=")</f>
        <v>#REF!</v>
      </c>
      <c r="EZ166" t="e">
        <f>IF(#REF!,"AAAAAA9/zZs=",0)</f>
        <v>#REF!</v>
      </c>
      <c r="FA166" t="e">
        <f>AND(#REF!,"AAAAAA9/zZw=")</f>
        <v>#REF!</v>
      </c>
      <c r="FB166" t="e">
        <f>AND(#REF!,"AAAAAA9/zZ0=")</f>
        <v>#REF!</v>
      </c>
      <c r="FC166" t="e">
        <f>AND(#REF!,"AAAAAA9/zZ4=")</f>
        <v>#REF!</v>
      </c>
      <c r="FD166" t="e">
        <f>AND(#REF!,"AAAAAA9/zZ8=")</f>
        <v>#REF!</v>
      </c>
      <c r="FE166" t="e">
        <f>AND(#REF!,"AAAAAA9/zaA=")</f>
        <v>#REF!</v>
      </c>
      <c r="FF166" t="e">
        <f>AND(#REF!,"AAAAAA9/zaE=")</f>
        <v>#REF!</v>
      </c>
      <c r="FG166" t="e">
        <f>AND(#REF!,"AAAAAA9/zaI=")</f>
        <v>#REF!</v>
      </c>
      <c r="FH166" t="e">
        <f>AND(#REF!,"AAAAAA9/zaM=")</f>
        <v>#REF!</v>
      </c>
      <c r="FI166" t="e">
        <f>AND(#REF!,"AAAAAA9/zaQ=")</f>
        <v>#REF!</v>
      </c>
      <c r="FJ166" t="e">
        <f>AND(#REF!,"AAAAAA9/zaU=")</f>
        <v>#REF!</v>
      </c>
      <c r="FK166" t="e">
        <f>AND(#REF!,"AAAAAA9/zaY=")</f>
        <v>#REF!</v>
      </c>
      <c r="FL166" t="e">
        <f>AND(#REF!,"AAAAAA9/zac=")</f>
        <v>#REF!</v>
      </c>
      <c r="FM166" t="e">
        <f>AND(#REF!,"AAAAAA9/zag=")</f>
        <v>#REF!</v>
      </c>
      <c r="FN166" t="e">
        <f>AND(#REF!,"AAAAAA9/zak=")</f>
        <v>#REF!</v>
      </c>
      <c r="FO166" t="e">
        <f>AND(#REF!,"AAAAAA9/zao=")</f>
        <v>#REF!</v>
      </c>
      <c r="FP166" t="e">
        <f>AND(#REF!,"AAAAAA9/zas=")</f>
        <v>#REF!</v>
      </c>
      <c r="FQ166" t="e">
        <f>AND(#REF!,"AAAAAA9/zaw=")</f>
        <v>#REF!</v>
      </c>
      <c r="FR166" t="e">
        <f>AND(#REF!,"AAAAAA9/za0=")</f>
        <v>#REF!</v>
      </c>
      <c r="FS166" t="e">
        <f>AND(#REF!,"AAAAAA9/za4=")</f>
        <v>#REF!</v>
      </c>
      <c r="FT166" t="e">
        <f>AND(#REF!,"AAAAAA9/za8=")</f>
        <v>#REF!</v>
      </c>
      <c r="FU166" t="e">
        <f>AND(#REF!,"AAAAAA9/zbA=")</f>
        <v>#REF!</v>
      </c>
      <c r="FV166" t="e">
        <f>IF(#REF!,"AAAAAA9/zbE=",0)</f>
        <v>#REF!</v>
      </c>
      <c r="FW166" t="e">
        <f>AND(#REF!,"AAAAAA9/zbI=")</f>
        <v>#REF!</v>
      </c>
      <c r="FX166" t="e">
        <f>AND(#REF!,"AAAAAA9/zbM=")</f>
        <v>#REF!</v>
      </c>
      <c r="FY166" t="e">
        <f>AND(#REF!,"AAAAAA9/zbQ=")</f>
        <v>#REF!</v>
      </c>
      <c r="FZ166" t="e">
        <f>AND(#REF!,"AAAAAA9/zbU=")</f>
        <v>#REF!</v>
      </c>
      <c r="GA166" t="e">
        <f>AND(#REF!,"AAAAAA9/zbY=")</f>
        <v>#REF!</v>
      </c>
      <c r="GB166" t="e">
        <f>AND(#REF!,"AAAAAA9/zbc=")</f>
        <v>#REF!</v>
      </c>
      <c r="GC166" t="e">
        <f>AND(#REF!,"AAAAAA9/zbg=")</f>
        <v>#REF!</v>
      </c>
      <c r="GD166" t="e">
        <f>AND(#REF!,"AAAAAA9/zbk=")</f>
        <v>#REF!</v>
      </c>
      <c r="GE166" t="e">
        <f>AND(#REF!,"AAAAAA9/zbo=")</f>
        <v>#REF!</v>
      </c>
      <c r="GF166" t="e">
        <f>AND(#REF!,"AAAAAA9/zbs=")</f>
        <v>#REF!</v>
      </c>
      <c r="GG166" t="e">
        <f>AND(#REF!,"AAAAAA9/zbw=")</f>
        <v>#REF!</v>
      </c>
      <c r="GH166" t="e">
        <f>AND(#REF!,"AAAAAA9/zb0=")</f>
        <v>#REF!</v>
      </c>
      <c r="GI166" t="e">
        <f>AND(#REF!,"AAAAAA9/zb4=")</f>
        <v>#REF!</v>
      </c>
      <c r="GJ166" t="e">
        <f>AND(#REF!,"AAAAAA9/zb8=")</f>
        <v>#REF!</v>
      </c>
      <c r="GK166" t="e">
        <f>AND(#REF!,"AAAAAA9/zcA=")</f>
        <v>#REF!</v>
      </c>
      <c r="GL166" t="e">
        <f>AND(#REF!,"AAAAAA9/zcE=")</f>
        <v>#REF!</v>
      </c>
      <c r="GM166" t="e">
        <f>AND(#REF!,"AAAAAA9/zcI=")</f>
        <v>#REF!</v>
      </c>
      <c r="GN166" t="e">
        <f>AND(#REF!,"AAAAAA9/zcM=")</f>
        <v>#REF!</v>
      </c>
      <c r="GO166" t="e">
        <f>AND(#REF!,"AAAAAA9/zcQ=")</f>
        <v>#REF!</v>
      </c>
      <c r="GP166" t="e">
        <f>AND(#REF!,"AAAAAA9/zcU=")</f>
        <v>#REF!</v>
      </c>
      <c r="GQ166" t="e">
        <f>AND(#REF!,"AAAAAA9/zcY=")</f>
        <v>#REF!</v>
      </c>
      <c r="GR166" t="e">
        <f>IF(#REF!,"AAAAAA9/zcc=",0)</f>
        <v>#REF!</v>
      </c>
      <c r="GS166" t="e">
        <f>AND(#REF!,"AAAAAA9/zcg=")</f>
        <v>#REF!</v>
      </c>
      <c r="GT166" t="e">
        <f>AND(#REF!,"AAAAAA9/zck=")</f>
        <v>#REF!</v>
      </c>
      <c r="GU166" t="e">
        <f>AND(#REF!,"AAAAAA9/zco=")</f>
        <v>#REF!</v>
      </c>
      <c r="GV166" t="e">
        <f>AND(#REF!,"AAAAAA9/zcs=")</f>
        <v>#REF!</v>
      </c>
      <c r="GW166" t="e">
        <f>AND(#REF!,"AAAAAA9/zcw=")</f>
        <v>#REF!</v>
      </c>
      <c r="GX166" t="e">
        <f>AND(#REF!,"AAAAAA9/zc0=")</f>
        <v>#REF!</v>
      </c>
      <c r="GY166" t="e">
        <f>AND(#REF!,"AAAAAA9/zc4=")</f>
        <v>#REF!</v>
      </c>
      <c r="GZ166" t="e">
        <f>AND(#REF!,"AAAAAA9/zc8=")</f>
        <v>#REF!</v>
      </c>
      <c r="HA166" t="e">
        <f>AND(#REF!,"AAAAAA9/zdA=")</f>
        <v>#REF!</v>
      </c>
      <c r="HB166" t="e">
        <f>AND(#REF!,"AAAAAA9/zdE=")</f>
        <v>#REF!</v>
      </c>
      <c r="HC166" t="e">
        <f>AND(#REF!,"AAAAAA9/zdI=")</f>
        <v>#REF!</v>
      </c>
      <c r="HD166" t="e">
        <f>AND(#REF!,"AAAAAA9/zdM=")</f>
        <v>#REF!</v>
      </c>
      <c r="HE166" t="e">
        <f>AND(#REF!,"AAAAAA9/zdQ=")</f>
        <v>#REF!</v>
      </c>
      <c r="HF166" t="e">
        <f>AND(#REF!,"AAAAAA9/zdU=")</f>
        <v>#REF!</v>
      </c>
      <c r="HG166" t="e">
        <f>AND(#REF!,"AAAAAA9/zdY=")</f>
        <v>#REF!</v>
      </c>
      <c r="HH166" t="e">
        <f>AND(#REF!,"AAAAAA9/zdc=")</f>
        <v>#REF!</v>
      </c>
      <c r="HI166" t="e">
        <f>AND(#REF!,"AAAAAA9/zdg=")</f>
        <v>#REF!</v>
      </c>
      <c r="HJ166" t="e">
        <f>AND(#REF!,"AAAAAA9/zdk=")</f>
        <v>#REF!</v>
      </c>
      <c r="HK166" t="e">
        <f>AND(#REF!,"AAAAAA9/zdo=")</f>
        <v>#REF!</v>
      </c>
      <c r="HL166" t="e">
        <f>AND(#REF!,"AAAAAA9/zds=")</f>
        <v>#REF!</v>
      </c>
      <c r="HM166" t="e">
        <f>AND(#REF!,"AAAAAA9/zdw=")</f>
        <v>#REF!</v>
      </c>
      <c r="HN166" t="e">
        <f>IF(#REF!,"AAAAAA9/zd0=",0)</f>
        <v>#REF!</v>
      </c>
      <c r="HO166" t="e">
        <f>AND(#REF!,"AAAAAA9/zd4=")</f>
        <v>#REF!</v>
      </c>
      <c r="HP166" t="e">
        <f>AND(#REF!,"AAAAAA9/zd8=")</f>
        <v>#REF!</v>
      </c>
      <c r="HQ166" t="e">
        <f>AND(#REF!,"AAAAAA9/zeA=")</f>
        <v>#REF!</v>
      </c>
      <c r="HR166" t="e">
        <f>AND(#REF!,"AAAAAA9/zeE=")</f>
        <v>#REF!</v>
      </c>
      <c r="HS166" t="e">
        <f>AND(#REF!,"AAAAAA9/zeI=")</f>
        <v>#REF!</v>
      </c>
      <c r="HT166" t="e">
        <f>AND(#REF!,"AAAAAA9/zeM=")</f>
        <v>#REF!</v>
      </c>
      <c r="HU166" t="e">
        <f>AND(#REF!,"AAAAAA9/zeQ=")</f>
        <v>#REF!</v>
      </c>
      <c r="HV166" t="e">
        <f>AND(#REF!,"AAAAAA9/zeU=")</f>
        <v>#REF!</v>
      </c>
      <c r="HW166" t="e">
        <f>AND(#REF!,"AAAAAA9/zeY=")</f>
        <v>#REF!</v>
      </c>
      <c r="HX166" t="e">
        <f>AND(#REF!,"AAAAAA9/zec=")</f>
        <v>#REF!</v>
      </c>
      <c r="HY166" t="e">
        <f>AND(#REF!,"AAAAAA9/zeg=")</f>
        <v>#REF!</v>
      </c>
      <c r="HZ166" t="e">
        <f>AND(#REF!,"AAAAAA9/zek=")</f>
        <v>#REF!</v>
      </c>
      <c r="IA166" t="e">
        <f>AND(#REF!,"AAAAAA9/zeo=")</f>
        <v>#REF!</v>
      </c>
      <c r="IB166" t="e">
        <f>AND(#REF!,"AAAAAA9/zes=")</f>
        <v>#REF!</v>
      </c>
      <c r="IC166" t="e">
        <f>AND(#REF!,"AAAAAA9/zew=")</f>
        <v>#REF!</v>
      </c>
      <c r="ID166" t="e">
        <f>AND(#REF!,"AAAAAA9/ze0=")</f>
        <v>#REF!</v>
      </c>
      <c r="IE166" t="e">
        <f>AND(#REF!,"AAAAAA9/ze4=")</f>
        <v>#REF!</v>
      </c>
      <c r="IF166" t="e">
        <f>AND(#REF!,"AAAAAA9/ze8=")</f>
        <v>#REF!</v>
      </c>
      <c r="IG166" t="e">
        <f>AND(#REF!,"AAAAAA9/zfA=")</f>
        <v>#REF!</v>
      </c>
      <c r="IH166" t="e">
        <f>AND(#REF!,"AAAAAA9/zfE=")</f>
        <v>#REF!</v>
      </c>
      <c r="II166" t="e">
        <f>AND(#REF!,"AAAAAA9/zfI=")</f>
        <v>#REF!</v>
      </c>
      <c r="IJ166" t="e">
        <f>IF(#REF!,"AAAAAA9/zfM=",0)</f>
        <v>#REF!</v>
      </c>
      <c r="IK166" t="e">
        <f>AND(#REF!,"AAAAAA9/zfQ=")</f>
        <v>#REF!</v>
      </c>
      <c r="IL166" t="e">
        <f>AND(#REF!,"AAAAAA9/zfU=")</f>
        <v>#REF!</v>
      </c>
      <c r="IM166" t="e">
        <f>AND(#REF!,"AAAAAA9/zfY=")</f>
        <v>#REF!</v>
      </c>
      <c r="IN166" t="e">
        <f>AND(#REF!,"AAAAAA9/zfc=")</f>
        <v>#REF!</v>
      </c>
      <c r="IO166" t="e">
        <f>AND(#REF!,"AAAAAA9/zfg=")</f>
        <v>#REF!</v>
      </c>
      <c r="IP166" t="e">
        <f>AND(#REF!,"AAAAAA9/zfk=")</f>
        <v>#REF!</v>
      </c>
      <c r="IQ166" t="e">
        <f>AND(#REF!,"AAAAAA9/zfo=")</f>
        <v>#REF!</v>
      </c>
      <c r="IR166" t="e">
        <f>AND(#REF!,"AAAAAA9/zfs=")</f>
        <v>#REF!</v>
      </c>
      <c r="IS166" t="e">
        <f>AND(#REF!,"AAAAAA9/zfw=")</f>
        <v>#REF!</v>
      </c>
      <c r="IT166" t="e">
        <f>AND(#REF!,"AAAAAA9/zf0=")</f>
        <v>#REF!</v>
      </c>
      <c r="IU166" t="e">
        <f>AND(#REF!,"AAAAAA9/zf4=")</f>
        <v>#REF!</v>
      </c>
      <c r="IV166" t="e">
        <f>AND(#REF!,"AAAAAA9/zf8=")</f>
        <v>#REF!</v>
      </c>
    </row>
    <row r="167" spans="1:256" x14ac:dyDescent="0.25">
      <c r="A167" t="e">
        <f>AND(#REF!,"AAAAAEcn+gA=")</f>
        <v>#REF!</v>
      </c>
      <c r="B167" t="e">
        <f>AND(#REF!,"AAAAAEcn+gE=")</f>
        <v>#REF!</v>
      </c>
      <c r="C167" t="e">
        <f>AND(#REF!,"AAAAAEcn+gI=")</f>
        <v>#REF!</v>
      </c>
      <c r="D167" t="e">
        <f>AND(#REF!,"AAAAAEcn+gM=")</f>
        <v>#REF!</v>
      </c>
      <c r="E167" t="e">
        <f>AND(#REF!,"AAAAAEcn+gQ=")</f>
        <v>#REF!</v>
      </c>
      <c r="F167" t="e">
        <f>AND(#REF!,"AAAAAEcn+gU=")</f>
        <v>#REF!</v>
      </c>
      <c r="G167" t="e">
        <f>AND(#REF!,"AAAAAEcn+gY=")</f>
        <v>#REF!</v>
      </c>
      <c r="H167" t="e">
        <f>AND(#REF!,"AAAAAEcn+gc=")</f>
        <v>#REF!</v>
      </c>
      <c r="I167" t="e">
        <f>AND(#REF!,"AAAAAEcn+gg=")</f>
        <v>#REF!</v>
      </c>
      <c r="J167" t="e">
        <f>IF(#REF!,"AAAAAEcn+gk=",0)</f>
        <v>#REF!</v>
      </c>
      <c r="K167" t="e">
        <f>AND(#REF!,"AAAAAEcn+go=")</f>
        <v>#REF!</v>
      </c>
      <c r="L167" t="e">
        <f>AND(#REF!,"AAAAAEcn+gs=")</f>
        <v>#REF!</v>
      </c>
      <c r="M167" t="e">
        <f>AND(#REF!,"AAAAAEcn+gw=")</f>
        <v>#REF!</v>
      </c>
      <c r="N167" t="e">
        <f>AND(#REF!,"AAAAAEcn+g0=")</f>
        <v>#REF!</v>
      </c>
      <c r="O167" t="e">
        <f>AND(#REF!,"AAAAAEcn+g4=")</f>
        <v>#REF!</v>
      </c>
      <c r="P167" t="e">
        <f>AND(#REF!,"AAAAAEcn+g8=")</f>
        <v>#REF!</v>
      </c>
      <c r="Q167" t="e">
        <f>AND(#REF!,"AAAAAEcn+hA=")</f>
        <v>#REF!</v>
      </c>
      <c r="R167" t="e">
        <f>AND(#REF!,"AAAAAEcn+hE=")</f>
        <v>#REF!</v>
      </c>
      <c r="S167" t="e">
        <f>AND(#REF!,"AAAAAEcn+hI=")</f>
        <v>#REF!</v>
      </c>
      <c r="T167" t="e">
        <f>AND(#REF!,"AAAAAEcn+hM=")</f>
        <v>#REF!</v>
      </c>
      <c r="U167" t="e">
        <f>AND(#REF!,"AAAAAEcn+hQ=")</f>
        <v>#REF!</v>
      </c>
      <c r="V167" t="e">
        <f>AND(#REF!,"AAAAAEcn+hU=")</f>
        <v>#REF!</v>
      </c>
      <c r="W167" t="e">
        <f>AND(#REF!,"AAAAAEcn+hY=")</f>
        <v>#REF!</v>
      </c>
      <c r="X167" t="e">
        <f>AND(#REF!,"AAAAAEcn+hc=")</f>
        <v>#REF!</v>
      </c>
      <c r="Y167" t="e">
        <f>AND(#REF!,"AAAAAEcn+hg=")</f>
        <v>#REF!</v>
      </c>
      <c r="Z167" t="e">
        <f>AND(#REF!,"AAAAAEcn+hk=")</f>
        <v>#REF!</v>
      </c>
      <c r="AA167" t="e">
        <f>AND(#REF!,"AAAAAEcn+ho=")</f>
        <v>#REF!</v>
      </c>
      <c r="AB167" t="e">
        <f>AND(#REF!,"AAAAAEcn+hs=")</f>
        <v>#REF!</v>
      </c>
      <c r="AC167" t="e">
        <f>AND(#REF!,"AAAAAEcn+hw=")</f>
        <v>#REF!</v>
      </c>
      <c r="AD167" t="e">
        <f>AND(#REF!,"AAAAAEcn+h0=")</f>
        <v>#REF!</v>
      </c>
      <c r="AE167" t="e">
        <f>AND(#REF!,"AAAAAEcn+h4=")</f>
        <v>#REF!</v>
      </c>
      <c r="AF167" t="e">
        <f>IF(#REF!,"AAAAAEcn+h8=",0)</f>
        <v>#REF!</v>
      </c>
      <c r="AG167" t="e">
        <f>AND(#REF!,"AAAAAEcn+iA=")</f>
        <v>#REF!</v>
      </c>
      <c r="AH167" t="e">
        <f>AND(#REF!,"AAAAAEcn+iE=")</f>
        <v>#REF!</v>
      </c>
      <c r="AI167" t="e">
        <f>AND(#REF!,"AAAAAEcn+iI=")</f>
        <v>#REF!</v>
      </c>
      <c r="AJ167" t="e">
        <f>AND(#REF!,"AAAAAEcn+iM=")</f>
        <v>#REF!</v>
      </c>
      <c r="AK167" t="e">
        <f>AND(#REF!,"AAAAAEcn+iQ=")</f>
        <v>#REF!</v>
      </c>
      <c r="AL167" t="e">
        <f>AND(#REF!,"AAAAAEcn+iU=")</f>
        <v>#REF!</v>
      </c>
      <c r="AM167" t="e">
        <f>AND(#REF!,"AAAAAEcn+iY=")</f>
        <v>#REF!</v>
      </c>
      <c r="AN167" t="e">
        <f>AND(#REF!,"AAAAAEcn+ic=")</f>
        <v>#REF!</v>
      </c>
      <c r="AO167" t="e">
        <f>AND(#REF!,"AAAAAEcn+ig=")</f>
        <v>#REF!</v>
      </c>
      <c r="AP167" t="e">
        <f>AND(#REF!,"AAAAAEcn+ik=")</f>
        <v>#REF!</v>
      </c>
      <c r="AQ167" t="e">
        <f>AND(#REF!,"AAAAAEcn+io=")</f>
        <v>#REF!</v>
      </c>
      <c r="AR167" t="e">
        <f>AND(#REF!,"AAAAAEcn+is=")</f>
        <v>#REF!</v>
      </c>
      <c r="AS167" t="e">
        <f>AND(#REF!,"AAAAAEcn+iw=")</f>
        <v>#REF!</v>
      </c>
      <c r="AT167" t="e">
        <f>AND(#REF!,"AAAAAEcn+i0=")</f>
        <v>#REF!</v>
      </c>
      <c r="AU167" t="e">
        <f>AND(#REF!,"AAAAAEcn+i4=")</f>
        <v>#REF!</v>
      </c>
      <c r="AV167" t="e">
        <f>AND(#REF!,"AAAAAEcn+i8=")</f>
        <v>#REF!</v>
      </c>
      <c r="AW167" t="e">
        <f>AND(#REF!,"AAAAAEcn+jA=")</f>
        <v>#REF!</v>
      </c>
      <c r="AX167" t="e">
        <f>AND(#REF!,"AAAAAEcn+jE=")</f>
        <v>#REF!</v>
      </c>
      <c r="AY167" t="e">
        <f>AND(#REF!,"AAAAAEcn+jI=")</f>
        <v>#REF!</v>
      </c>
      <c r="AZ167" t="e">
        <f>AND(#REF!,"AAAAAEcn+jM=")</f>
        <v>#REF!</v>
      </c>
      <c r="BA167" t="e">
        <f>AND(#REF!,"AAAAAEcn+jQ=")</f>
        <v>#REF!</v>
      </c>
      <c r="BB167" t="e">
        <f>IF(#REF!,"AAAAAEcn+jU=",0)</f>
        <v>#REF!</v>
      </c>
      <c r="BC167" t="e">
        <f>AND(#REF!,"AAAAAEcn+jY=")</f>
        <v>#REF!</v>
      </c>
      <c r="BD167" t="e">
        <f>AND(#REF!,"AAAAAEcn+jc=")</f>
        <v>#REF!</v>
      </c>
      <c r="BE167" t="e">
        <f>AND(#REF!,"AAAAAEcn+jg=")</f>
        <v>#REF!</v>
      </c>
      <c r="BF167" t="e">
        <f>AND(#REF!,"AAAAAEcn+jk=")</f>
        <v>#REF!</v>
      </c>
      <c r="BG167" t="e">
        <f>AND(#REF!,"AAAAAEcn+jo=")</f>
        <v>#REF!</v>
      </c>
      <c r="BH167" t="e">
        <f>AND(#REF!,"AAAAAEcn+js=")</f>
        <v>#REF!</v>
      </c>
      <c r="BI167" t="e">
        <f>AND(#REF!,"AAAAAEcn+jw=")</f>
        <v>#REF!</v>
      </c>
      <c r="BJ167" t="e">
        <f>AND(#REF!,"AAAAAEcn+j0=")</f>
        <v>#REF!</v>
      </c>
      <c r="BK167" t="e">
        <f>AND(#REF!,"AAAAAEcn+j4=")</f>
        <v>#REF!</v>
      </c>
      <c r="BL167" t="e">
        <f>AND(#REF!,"AAAAAEcn+j8=")</f>
        <v>#REF!</v>
      </c>
      <c r="BM167" t="e">
        <f>AND(#REF!,"AAAAAEcn+kA=")</f>
        <v>#REF!</v>
      </c>
      <c r="BN167" t="e">
        <f>AND(#REF!,"AAAAAEcn+kE=")</f>
        <v>#REF!</v>
      </c>
      <c r="BO167" t="e">
        <f>AND(#REF!,"AAAAAEcn+kI=")</f>
        <v>#REF!</v>
      </c>
      <c r="BP167" t="e">
        <f>AND(#REF!,"AAAAAEcn+kM=")</f>
        <v>#REF!</v>
      </c>
      <c r="BQ167" t="e">
        <f>AND(#REF!,"AAAAAEcn+kQ=")</f>
        <v>#REF!</v>
      </c>
      <c r="BR167" t="e">
        <f>AND(#REF!,"AAAAAEcn+kU=")</f>
        <v>#REF!</v>
      </c>
      <c r="BS167" t="e">
        <f>AND(#REF!,"AAAAAEcn+kY=")</f>
        <v>#REF!</v>
      </c>
      <c r="BT167" t="e">
        <f>AND(#REF!,"AAAAAEcn+kc=")</f>
        <v>#REF!</v>
      </c>
      <c r="BU167" t="e">
        <f>AND(#REF!,"AAAAAEcn+kg=")</f>
        <v>#REF!</v>
      </c>
      <c r="BV167" t="e">
        <f>AND(#REF!,"AAAAAEcn+kk=")</f>
        <v>#REF!</v>
      </c>
      <c r="BW167" t="e">
        <f>AND(#REF!,"AAAAAEcn+ko=")</f>
        <v>#REF!</v>
      </c>
      <c r="BX167" t="e">
        <f>IF(#REF!,"AAAAAEcn+ks=",0)</f>
        <v>#REF!</v>
      </c>
      <c r="BY167" t="e">
        <f>AND(#REF!,"AAAAAEcn+kw=")</f>
        <v>#REF!</v>
      </c>
      <c r="BZ167" t="e">
        <f>AND(#REF!,"AAAAAEcn+k0=")</f>
        <v>#REF!</v>
      </c>
      <c r="CA167" t="e">
        <f>AND(#REF!,"AAAAAEcn+k4=")</f>
        <v>#REF!</v>
      </c>
      <c r="CB167" t="e">
        <f>AND(#REF!,"AAAAAEcn+k8=")</f>
        <v>#REF!</v>
      </c>
      <c r="CC167" t="e">
        <f>AND(#REF!,"AAAAAEcn+lA=")</f>
        <v>#REF!</v>
      </c>
      <c r="CD167" t="e">
        <f>AND(#REF!,"AAAAAEcn+lE=")</f>
        <v>#REF!</v>
      </c>
      <c r="CE167" t="e">
        <f>AND(#REF!,"AAAAAEcn+lI=")</f>
        <v>#REF!</v>
      </c>
      <c r="CF167" t="e">
        <f>AND(#REF!,"AAAAAEcn+lM=")</f>
        <v>#REF!</v>
      </c>
      <c r="CG167" t="e">
        <f>AND(#REF!,"AAAAAEcn+lQ=")</f>
        <v>#REF!</v>
      </c>
      <c r="CH167" t="e">
        <f>AND(#REF!,"AAAAAEcn+lU=")</f>
        <v>#REF!</v>
      </c>
      <c r="CI167" t="e">
        <f>AND(#REF!,"AAAAAEcn+lY=")</f>
        <v>#REF!</v>
      </c>
      <c r="CJ167" t="e">
        <f>AND(#REF!,"AAAAAEcn+lc=")</f>
        <v>#REF!</v>
      </c>
      <c r="CK167" t="e">
        <f>AND(#REF!,"AAAAAEcn+lg=")</f>
        <v>#REF!</v>
      </c>
      <c r="CL167" t="e">
        <f>AND(#REF!,"AAAAAEcn+lk=")</f>
        <v>#REF!</v>
      </c>
      <c r="CM167" t="e">
        <f>AND(#REF!,"AAAAAEcn+lo=")</f>
        <v>#REF!</v>
      </c>
      <c r="CN167" t="e">
        <f>AND(#REF!,"AAAAAEcn+ls=")</f>
        <v>#REF!</v>
      </c>
      <c r="CO167" t="e">
        <f>AND(#REF!,"AAAAAEcn+lw=")</f>
        <v>#REF!</v>
      </c>
      <c r="CP167" t="e">
        <f>AND(#REF!,"AAAAAEcn+l0=")</f>
        <v>#REF!</v>
      </c>
      <c r="CQ167" t="e">
        <f>AND(#REF!,"AAAAAEcn+l4=")</f>
        <v>#REF!</v>
      </c>
      <c r="CR167" t="e">
        <f>AND(#REF!,"AAAAAEcn+l8=")</f>
        <v>#REF!</v>
      </c>
      <c r="CS167" t="e">
        <f>AND(#REF!,"AAAAAEcn+mA=")</f>
        <v>#REF!</v>
      </c>
      <c r="CT167" t="e">
        <f>IF(#REF!,"AAAAAEcn+mE=",0)</f>
        <v>#REF!</v>
      </c>
      <c r="CU167" t="e">
        <f>IF(#REF!,"AAAAAEcn+mI=",0)</f>
        <v>#REF!</v>
      </c>
      <c r="CV167" t="e">
        <f>IF(#REF!,"AAAAAEcn+mM=",0)</f>
        <v>#REF!</v>
      </c>
      <c r="CW167" t="e">
        <f>IF(#REF!,"AAAAAEcn+mQ=",0)</f>
        <v>#REF!</v>
      </c>
      <c r="CX167" t="e">
        <f>IF(#REF!,"AAAAAEcn+mU=",0)</f>
        <v>#REF!</v>
      </c>
      <c r="CY167" t="e">
        <f>IF(#REF!,"AAAAAEcn+mY=",0)</f>
        <v>#REF!</v>
      </c>
      <c r="CZ167" t="e">
        <f>IF(#REF!,"AAAAAEcn+mc=",0)</f>
        <v>#REF!</v>
      </c>
      <c r="DA167" t="e">
        <f>IF(#REF!,"AAAAAEcn+mg=",0)</f>
        <v>#REF!</v>
      </c>
      <c r="DB167" t="e">
        <f>IF(#REF!,"AAAAAEcn+mk=",0)</f>
        <v>#REF!</v>
      </c>
      <c r="DC167" t="e">
        <f>IF(#REF!,"AAAAAEcn+mo=",0)</f>
        <v>#REF!</v>
      </c>
      <c r="DD167" t="e">
        <f>IF(#REF!,"AAAAAEcn+ms=",0)</f>
        <v>#REF!</v>
      </c>
      <c r="DE167" t="e">
        <f>IF(#REF!,"AAAAAEcn+mw=",0)</f>
        <v>#REF!</v>
      </c>
      <c r="DF167" t="e">
        <f>IF(#REF!,"AAAAAEcn+m0=",0)</f>
        <v>#REF!</v>
      </c>
      <c r="DG167" t="e">
        <f>IF(#REF!,"AAAAAEcn+m4=",0)</f>
        <v>#REF!</v>
      </c>
      <c r="DH167" t="e">
        <f>IF(#REF!,"AAAAAEcn+m8=",0)</f>
        <v>#REF!</v>
      </c>
      <c r="DI167" t="e">
        <f>IF(#REF!,"AAAAAEcn+nA=",0)</f>
        <v>#REF!</v>
      </c>
      <c r="DJ167" t="e">
        <f>IF(#REF!,"AAAAAEcn+nE=",0)</f>
        <v>#REF!</v>
      </c>
      <c r="DK167" t="e">
        <f>IF(#REF!,"AAAAAEcn+nI=",0)</f>
        <v>#REF!</v>
      </c>
      <c r="DL167" t="e">
        <f>IF(#REF!,"AAAAAEcn+nM=",0)</f>
        <v>#REF!</v>
      </c>
      <c r="DM167" t="e">
        <f>IF(#REF!,"AAAAAEcn+nQ=",0)</f>
        <v>#REF!</v>
      </c>
      <c r="DN167" t="e">
        <f>IF(#REF!,"AAAAAEcn+nU=",0)</f>
        <v>#REF!</v>
      </c>
      <c r="DO167" t="e">
        <f>IF(#REF!,"AAAAAEcn+nY=",0)</f>
        <v>#REF!</v>
      </c>
      <c r="DP167" t="e">
        <f>AND(#REF!,"AAAAAEcn+nc=")</f>
        <v>#REF!</v>
      </c>
      <c r="DQ167" t="e">
        <f>AND(#REF!,"AAAAAEcn+ng=")</f>
        <v>#REF!</v>
      </c>
      <c r="DR167" t="e">
        <f>AND(#REF!,"AAAAAEcn+nk=")</f>
        <v>#REF!</v>
      </c>
      <c r="DS167" t="e">
        <f>AND(#REF!,"AAAAAEcn+no=")</f>
        <v>#REF!</v>
      </c>
      <c r="DT167" t="e">
        <f>AND(#REF!,"AAAAAEcn+ns=")</f>
        <v>#REF!</v>
      </c>
      <c r="DU167" t="e">
        <f>AND(#REF!,"AAAAAEcn+nw=")</f>
        <v>#REF!</v>
      </c>
      <c r="DV167" t="e">
        <f>AND(#REF!,"AAAAAEcn+n0=")</f>
        <v>#REF!</v>
      </c>
      <c r="DW167" t="e">
        <f>AND(#REF!,"AAAAAEcn+n4=")</f>
        <v>#REF!</v>
      </c>
      <c r="DX167" t="e">
        <f>AND(#REF!,"AAAAAEcn+n8=")</f>
        <v>#REF!</v>
      </c>
      <c r="DY167" t="e">
        <f>AND(#REF!,"AAAAAEcn+oA=")</f>
        <v>#REF!</v>
      </c>
      <c r="DZ167" t="e">
        <f>AND(#REF!,"AAAAAEcn+oE=")</f>
        <v>#REF!</v>
      </c>
      <c r="EA167" t="e">
        <f>AND(#REF!,"AAAAAEcn+oI=")</f>
        <v>#REF!</v>
      </c>
      <c r="EB167" t="e">
        <f>AND(#REF!,"AAAAAEcn+oM=")</f>
        <v>#REF!</v>
      </c>
      <c r="EC167" t="e">
        <f>AND(#REF!,"AAAAAEcn+oQ=")</f>
        <v>#REF!</v>
      </c>
      <c r="ED167" t="e">
        <f>AND(#REF!,"AAAAAEcn+oU=")</f>
        <v>#REF!</v>
      </c>
      <c r="EE167" t="e">
        <f>AND(#REF!,"AAAAAEcn+oY=")</f>
        <v>#REF!</v>
      </c>
      <c r="EF167" t="e">
        <f>AND(#REF!,"AAAAAEcn+oc=")</f>
        <v>#REF!</v>
      </c>
      <c r="EG167" t="e">
        <f>AND(#REF!,"AAAAAEcn+og=")</f>
        <v>#REF!</v>
      </c>
      <c r="EH167" t="e">
        <f>AND(#REF!,"AAAAAEcn+ok=")</f>
        <v>#REF!</v>
      </c>
      <c r="EI167" t="e">
        <f>AND(#REF!,"AAAAAEcn+oo=")</f>
        <v>#REF!</v>
      </c>
      <c r="EJ167" t="e">
        <f>AND(#REF!,"AAAAAEcn+os=")</f>
        <v>#REF!</v>
      </c>
      <c r="EK167" t="e">
        <f>IF(#REF!,"AAAAAEcn+ow=",0)</f>
        <v>#REF!</v>
      </c>
      <c r="EL167" t="e">
        <f>AND(#REF!,"AAAAAEcn+o0=")</f>
        <v>#REF!</v>
      </c>
      <c r="EM167" t="e">
        <f>AND(#REF!,"AAAAAEcn+o4=")</f>
        <v>#REF!</v>
      </c>
      <c r="EN167" t="e">
        <f>AND(#REF!,"AAAAAEcn+o8=")</f>
        <v>#REF!</v>
      </c>
      <c r="EO167" t="e">
        <f>AND(#REF!,"AAAAAEcn+pA=")</f>
        <v>#REF!</v>
      </c>
      <c r="EP167" t="e">
        <f>AND(#REF!,"AAAAAEcn+pE=")</f>
        <v>#REF!</v>
      </c>
      <c r="EQ167" t="e">
        <f>AND(#REF!,"AAAAAEcn+pI=")</f>
        <v>#REF!</v>
      </c>
      <c r="ER167" t="e">
        <f>AND(#REF!,"AAAAAEcn+pM=")</f>
        <v>#REF!</v>
      </c>
      <c r="ES167" t="e">
        <f>AND(#REF!,"AAAAAEcn+pQ=")</f>
        <v>#REF!</v>
      </c>
      <c r="ET167" t="e">
        <f>AND(#REF!,"AAAAAEcn+pU=")</f>
        <v>#REF!</v>
      </c>
      <c r="EU167" t="e">
        <f>AND(#REF!,"AAAAAEcn+pY=")</f>
        <v>#REF!</v>
      </c>
      <c r="EV167" t="e">
        <f>AND(#REF!,"AAAAAEcn+pc=")</f>
        <v>#REF!</v>
      </c>
      <c r="EW167" t="e">
        <f>AND(#REF!,"AAAAAEcn+pg=")</f>
        <v>#REF!</v>
      </c>
      <c r="EX167" t="e">
        <f>AND(#REF!,"AAAAAEcn+pk=")</f>
        <v>#REF!</v>
      </c>
      <c r="EY167" t="e">
        <f>AND(#REF!,"AAAAAEcn+po=")</f>
        <v>#REF!</v>
      </c>
      <c r="EZ167" t="e">
        <f>AND(#REF!,"AAAAAEcn+ps=")</f>
        <v>#REF!</v>
      </c>
      <c r="FA167" t="e">
        <f>AND(#REF!,"AAAAAEcn+pw=")</f>
        <v>#REF!</v>
      </c>
      <c r="FB167" t="e">
        <f>AND(#REF!,"AAAAAEcn+p0=")</f>
        <v>#REF!</v>
      </c>
      <c r="FC167" t="e">
        <f>AND(#REF!,"AAAAAEcn+p4=")</f>
        <v>#REF!</v>
      </c>
      <c r="FD167" t="e">
        <f>AND(#REF!,"AAAAAEcn+p8=")</f>
        <v>#REF!</v>
      </c>
      <c r="FE167" t="e">
        <f>AND(#REF!,"AAAAAEcn+qA=")</f>
        <v>#REF!</v>
      </c>
      <c r="FF167" t="e">
        <f>AND(#REF!,"AAAAAEcn+qE=")</f>
        <v>#REF!</v>
      </c>
      <c r="FG167" t="e">
        <f>IF(#REF!,"AAAAAEcn+qI=",0)</f>
        <v>#REF!</v>
      </c>
      <c r="FH167" t="e">
        <f>AND(#REF!,"AAAAAEcn+qM=")</f>
        <v>#REF!</v>
      </c>
      <c r="FI167" t="e">
        <f>AND(#REF!,"AAAAAEcn+qQ=")</f>
        <v>#REF!</v>
      </c>
      <c r="FJ167" t="e">
        <f>AND(#REF!,"AAAAAEcn+qU=")</f>
        <v>#REF!</v>
      </c>
      <c r="FK167" t="e">
        <f>AND(#REF!,"AAAAAEcn+qY=")</f>
        <v>#REF!</v>
      </c>
      <c r="FL167" t="e">
        <f>AND(#REF!,"AAAAAEcn+qc=")</f>
        <v>#REF!</v>
      </c>
      <c r="FM167" t="e">
        <f>AND(#REF!,"AAAAAEcn+qg=")</f>
        <v>#REF!</v>
      </c>
      <c r="FN167" t="e">
        <f>AND(#REF!,"AAAAAEcn+qk=")</f>
        <v>#REF!</v>
      </c>
      <c r="FO167" t="e">
        <f>AND(#REF!,"AAAAAEcn+qo=")</f>
        <v>#REF!</v>
      </c>
      <c r="FP167" t="e">
        <f>AND(#REF!,"AAAAAEcn+qs=")</f>
        <v>#REF!</v>
      </c>
      <c r="FQ167" t="e">
        <f>AND(#REF!,"AAAAAEcn+qw=")</f>
        <v>#REF!</v>
      </c>
      <c r="FR167" t="e">
        <f>AND(#REF!,"AAAAAEcn+q0=")</f>
        <v>#REF!</v>
      </c>
      <c r="FS167" t="e">
        <f>AND(#REF!,"AAAAAEcn+q4=")</f>
        <v>#REF!</v>
      </c>
      <c r="FT167" t="e">
        <f>AND(#REF!,"AAAAAEcn+q8=")</f>
        <v>#REF!</v>
      </c>
      <c r="FU167" t="e">
        <f>AND(#REF!,"AAAAAEcn+rA=")</f>
        <v>#REF!</v>
      </c>
      <c r="FV167" t="e">
        <f>AND(#REF!,"AAAAAEcn+rE=")</f>
        <v>#REF!</v>
      </c>
      <c r="FW167" t="e">
        <f>AND(#REF!,"AAAAAEcn+rI=")</f>
        <v>#REF!</v>
      </c>
      <c r="FX167" t="e">
        <f>AND(#REF!,"AAAAAEcn+rM=")</f>
        <v>#REF!</v>
      </c>
      <c r="FY167" t="e">
        <f>AND(#REF!,"AAAAAEcn+rQ=")</f>
        <v>#REF!</v>
      </c>
      <c r="FZ167" t="e">
        <f>AND(#REF!,"AAAAAEcn+rU=")</f>
        <v>#REF!</v>
      </c>
      <c r="GA167" t="e">
        <f>AND(#REF!,"AAAAAEcn+rY=")</f>
        <v>#REF!</v>
      </c>
      <c r="GB167" t="e">
        <f>AND(#REF!,"AAAAAEcn+rc=")</f>
        <v>#REF!</v>
      </c>
      <c r="GC167" t="e">
        <f>IF(#REF!,"AAAAAEcn+rg=",0)</f>
        <v>#REF!</v>
      </c>
      <c r="GD167" t="e">
        <f>AND(#REF!,"AAAAAEcn+rk=")</f>
        <v>#REF!</v>
      </c>
      <c r="GE167" t="e">
        <f>AND(#REF!,"AAAAAEcn+ro=")</f>
        <v>#REF!</v>
      </c>
      <c r="GF167" t="e">
        <f>AND(#REF!,"AAAAAEcn+rs=")</f>
        <v>#REF!</v>
      </c>
      <c r="GG167" t="e">
        <f>AND(#REF!,"AAAAAEcn+rw=")</f>
        <v>#REF!</v>
      </c>
      <c r="GH167" t="e">
        <f>AND(#REF!,"AAAAAEcn+r0=")</f>
        <v>#REF!</v>
      </c>
      <c r="GI167" t="e">
        <f>AND(#REF!,"AAAAAEcn+r4=")</f>
        <v>#REF!</v>
      </c>
      <c r="GJ167" t="e">
        <f>AND(#REF!,"AAAAAEcn+r8=")</f>
        <v>#REF!</v>
      </c>
      <c r="GK167" t="e">
        <f>AND(#REF!,"AAAAAEcn+sA=")</f>
        <v>#REF!</v>
      </c>
      <c r="GL167" t="e">
        <f>AND(#REF!,"AAAAAEcn+sE=")</f>
        <v>#REF!</v>
      </c>
      <c r="GM167" t="e">
        <f>AND(#REF!,"AAAAAEcn+sI=")</f>
        <v>#REF!</v>
      </c>
      <c r="GN167" t="e">
        <f>AND(#REF!,"AAAAAEcn+sM=")</f>
        <v>#REF!</v>
      </c>
      <c r="GO167" t="e">
        <f>AND(#REF!,"AAAAAEcn+sQ=")</f>
        <v>#REF!</v>
      </c>
      <c r="GP167" t="e">
        <f>AND(#REF!,"AAAAAEcn+sU=")</f>
        <v>#REF!</v>
      </c>
      <c r="GQ167" t="e">
        <f>AND(#REF!,"AAAAAEcn+sY=")</f>
        <v>#REF!</v>
      </c>
      <c r="GR167" t="e">
        <f>AND(#REF!,"AAAAAEcn+sc=")</f>
        <v>#REF!</v>
      </c>
      <c r="GS167" t="e">
        <f>AND(#REF!,"AAAAAEcn+sg=")</f>
        <v>#REF!</v>
      </c>
      <c r="GT167" t="e">
        <f>AND(#REF!,"AAAAAEcn+sk=")</f>
        <v>#REF!</v>
      </c>
      <c r="GU167" t="e">
        <f>AND(#REF!,"AAAAAEcn+so=")</f>
        <v>#REF!</v>
      </c>
      <c r="GV167" t="e">
        <f>AND(#REF!,"AAAAAEcn+ss=")</f>
        <v>#REF!</v>
      </c>
      <c r="GW167" t="e">
        <f>AND(#REF!,"AAAAAEcn+sw=")</f>
        <v>#REF!</v>
      </c>
      <c r="GX167" t="e">
        <f>AND(#REF!,"AAAAAEcn+s0=")</f>
        <v>#REF!</v>
      </c>
      <c r="GY167" t="e">
        <f>IF(#REF!,"AAAAAEcn+s4=",0)</f>
        <v>#REF!</v>
      </c>
      <c r="GZ167" t="e">
        <f>AND(#REF!,"AAAAAEcn+s8=")</f>
        <v>#REF!</v>
      </c>
      <c r="HA167" t="e">
        <f>AND(#REF!,"AAAAAEcn+tA=")</f>
        <v>#REF!</v>
      </c>
      <c r="HB167" t="e">
        <f>AND(#REF!,"AAAAAEcn+tE=")</f>
        <v>#REF!</v>
      </c>
      <c r="HC167" t="e">
        <f>AND(#REF!,"AAAAAEcn+tI=")</f>
        <v>#REF!</v>
      </c>
      <c r="HD167" t="e">
        <f>AND(#REF!,"AAAAAEcn+tM=")</f>
        <v>#REF!</v>
      </c>
      <c r="HE167" t="e">
        <f>AND(#REF!,"AAAAAEcn+tQ=")</f>
        <v>#REF!</v>
      </c>
      <c r="HF167" t="e">
        <f>AND(#REF!,"AAAAAEcn+tU=")</f>
        <v>#REF!</v>
      </c>
      <c r="HG167" t="e">
        <f>AND(#REF!,"AAAAAEcn+tY=")</f>
        <v>#REF!</v>
      </c>
      <c r="HH167" t="e">
        <f>AND(#REF!,"AAAAAEcn+tc=")</f>
        <v>#REF!</v>
      </c>
      <c r="HI167" t="e">
        <f>AND(#REF!,"AAAAAEcn+tg=")</f>
        <v>#REF!</v>
      </c>
      <c r="HJ167" t="e">
        <f>AND(#REF!,"AAAAAEcn+tk=")</f>
        <v>#REF!</v>
      </c>
      <c r="HK167" t="e">
        <f>AND(#REF!,"AAAAAEcn+to=")</f>
        <v>#REF!</v>
      </c>
      <c r="HL167" t="e">
        <f>AND(#REF!,"AAAAAEcn+ts=")</f>
        <v>#REF!</v>
      </c>
      <c r="HM167" t="e">
        <f>AND(#REF!,"AAAAAEcn+tw=")</f>
        <v>#REF!</v>
      </c>
      <c r="HN167" t="e">
        <f>AND(#REF!,"AAAAAEcn+t0=")</f>
        <v>#REF!</v>
      </c>
      <c r="HO167" t="e">
        <f>AND(#REF!,"AAAAAEcn+t4=")</f>
        <v>#REF!</v>
      </c>
      <c r="HP167" t="e">
        <f>AND(#REF!,"AAAAAEcn+t8=")</f>
        <v>#REF!</v>
      </c>
      <c r="HQ167" t="e">
        <f>AND(#REF!,"AAAAAEcn+uA=")</f>
        <v>#REF!</v>
      </c>
      <c r="HR167" t="e">
        <f>AND(#REF!,"AAAAAEcn+uE=")</f>
        <v>#REF!</v>
      </c>
      <c r="HS167" t="e">
        <f>AND(#REF!,"AAAAAEcn+uI=")</f>
        <v>#REF!</v>
      </c>
      <c r="HT167" t="e">
        <f>AND(#REF!,"AAAAAEcn+uM=")</f>
        <v>#REF!</v>
      </c>
      <c r="HU167" t="e">
        <f>IF(#REF!,"AAAAAEcn+uQ=",0)</f>
        <v>#REF!</v>
      </c>
      <c r="HV167" t="e">
        <f>AND(#REF!,"AAAAAEcn+uU=")</f>
        <v>#REF!</v>
      </c>
      <c r="HW167" t="e">
        <f>AND(#REF!,"AAAAAEcn+uY=")</f>
        <v>#REF!</v>
      </c>
      <c r="HX167" t="e">
        <f>AND(#REF!,"AAAAAEcn+uc=")</f>
        <v>#REF!</v>
      </c>
      <c r="HY167" t="e">
        <f>AND(#REF!,"AAAAAEcn+ug=")</f>
        <v>#REF!</v>
      </c>
      <c r="HZ167" t="e">
        <f>AND(#REF!,"AAAAAEcn+uk=")</f>
        <v>#REF!</v>
      </c>
      <c r="IA167" t="e">
        <f>AND(#REF!,"AAAAAEcn+uo=")</f>
        <v>#REF!</v>
      </c>
      <c r="IB167" t="e">
        <f>AND(#REF!,"AAAAAEcn+us=")</f>
        <v>#REF!</v>
      </c>
      <c r="IC167" t="e">
        <f>AND(#REF!,"AAAAAEcn+uw=")</f>
        <v>#REF!</v>
      </c>
      <c r="ID167" t="e">
        <f>AND(#REF!,"AAAAAEcn+u0=")</f>
        <v>#REF!</v>
      </c>
      <c r="IE167" t="e">
        <f>AND(#REF!,"AAAAAEcn+u4=")</f>
        <v>#REF!</v>
      </c>
      <c r="IF167" t="e">
        <f>AND(#REF!,"AAAAAEcn+u8=")</f>
        <v>#REF!</v>
      </c>
      <c r="IG167" t="e">
        <f>AND(#REF!,"AAAAAEcn+vA=")</f>
        <v>#REF!</v>
      </c>
      <c r="IH167" t="e">
        <f>AND(#REF!,"AAAAAEcn+vE=")</f>
        <v>#REF!</v>
      </c>
      <c r="II167" t="e">
        <f>AND(#REF!,"AAAAAEcn+vI=")</f>
        <v>#REF!</v>
      </c>
      <c r="IJ167" t="e">
        <f>AND(#REF!,"AAAAAEcn+vM=")</f>
        <v>#REF!</v>
      </c>
      <c r="IK167" t="e">
        <f>AND(#REF!,"AAAAAEcn+vQ=")</f>
        <v>#REF!</v>
      </c>
      <c r="IL167" t="e">
        <f>AND(#REF!,"AAAAAEcn+vU=")</f>
        <v>#REF!</v>
      </c>
      <c r="IM167" t="e">
        <f>AND(#REF!,"AAAAAEcn+vY=")</f>
        <v>#REF!</v>
      </c>
      <c r="IN167" t="e">
        <f>AND(#REF!,"AAAAAEcn+vc=")</f>
        <v>#REF!</v>
      </c>
      <c r="IO167" t="e">
        <f>AND(#REF!,"AAAAAEcn+vg=")</f>
        <v>#REF!</v>
      </c>
      <c r="IP167" t="e">
        <f>AND(#REF!,"AAAAAEcn+vk=")</f>
        <v>#REF!</v>
      </c>
      <c r="IQ167" t="e">
        <f>IF(#REF!,"AAAAAEcn+vo=",0)</f>
        <v>#REF!</v>
      </c>
      <c r="IR167" t="e">
        <f>AND(#REF!,"AAAAAEcn+vs=")</f>
        <v>#REF!</v>
      </c>
      <c r="IS167" t="e">
        <f>AND(#REF!,"AAAAAEcn+vw=")</f>
        <v>#REF!</v>
      </c>
      <c r="IT167" t="e">
        <f>AND(#REF!,"AAAAAEcn+v0=")</f>
        <v>#REF!</v>
      </c>
      <c r="IU167" t="e">
        <f>AND(#REF!,"AAAAAEcn+v4=")</f>
        <v>#REF!</v>
      </c>
      <c r="IV167" t="e">
        <f>AND(#REF!,"AAAAAEcn+v8=")</f>
        <v>#REF!</v>
      </c>
    </row>
    <row r="168" spans="1:256" x14ac:dyDescent="0.25">
      <c r="A168" t="e">
        <f>AND(#REF!,"AAAAAH3/nQA=")</f>
        <v>#REF!</v>
      </c>
      <c r="B168" t="e">
        <f>AND(#REF!,"AAAAAH3/nQE=")</f>
        <v>#REF!</v>
      </c>
      <c r="C168" t="e">
        <f>AND(#REF!,"AAAAAH3/nQI=")</f>
        <v>#REF!</v>
      </c>
      <c r="D168" t="e">
        <f>AND(#REF!,"AAAAAH3/nQM=")</f>
        <v>#REF!</v>
      </c>
      <c r="E168" t="e">
        <f>AND(#REF!,"AAAAAH3/nQQ=")</f>
        <v>#REF!</v>
      </c>
      <c r="F168" t="e">
        <f>AND(#REF!,"AAAAAH3/nQU=")</f>
        <v>#REF!</v>
      </c>
      <c r="G168" t="e">
        <f>AND(#REF!,"AAAAAH3/nQY=")</f>
        <v>#REF!</v>
      </c>
      <c r="H168" t="e">
        <f>AND(#REF!,"AAAAAH3/nQc=")</f>
        <v>#REF!</v>
      </c>
      <c r="I168" t="e">
        <f>AND(#REF!,"AAAAAH3/nQg=")</f>
        <v>#REF!</v>
      </c>
      <c r="J168" t="e">
        <f>AND(#REF!,"AAAAAH3/nQk=")</f>
        <v>#REF!</v>
      </c>
      <c r="K168" t="e">
        <f>AND(#REF!,"AAAAAH3/nQo=")</f>
        <v>#REF!</v>
      </c>
      <c r="L168" t="e">
        <f>AND(#REF!,"AAAAAH3/nQs=")</f>
        <v>#REF!</v>
      </c>
      <c r="M168" t="e">
        <f>AND(#REF!,"AAAAAH3/nQw=")</f>
        <v>#REF!</v>
      </c>
      <c r="N168" t="e">
        <f>AND(#REF!,"AAAAAH3/nQ0=")</f>
        <v>#REF!</v>
      </c>
      <c r="O168" t="e">
        <f>AND(#REF!,"AAAAAH3/nQ4=")</f>
        <v>#REF!</v>
      </c>
      <c r="P168" t="e">
        <f>AND(#REF!,"AAAAAH3/nQ8=")</f>
        <v>#REF!</v>
      </c>
      <c r="Q168" t="e">
        <f>IF(#REF!,"AAAAAH3/nRA=",0)</f>
        <v>#REF!</v>
      </c>
      <c r="R168" t="e">
        <f>AND(#REF!,"AAAAAH3/nRE=")</f>
        <v>#REF!</v>
      </c>
      <c r="S168" t="e">
        <f>AND(#REF!,"AAAAAH3/nRI=")</f>
        <v>#REF!</v>
      </c>
      <c r="T168" t="e">
        <f>AND(#REF!,"AAAAAH3/nRM=")</f>
        <v>#REF!</v>
      </c>
      <c r="U168" t="e">
        <f>AND(#REF!,"AAAAAH3/nRQ=")</f>
        <v>#REF!</v>
      </c>
      <c r="V168" t="e">
        <f>AND(#REF!,"AAAAAH3/nRU=")</f>
        <v>#REF!</v>
      </c>
      <c r="W168" t="e">
        <f>AND(#REF!,"AAAAAH3/nRY=")</f>
        <v>#REF!</v>
      </c>
      <c r="X168" t="e">
        <f>AND(#REF!,"AAAAAH3/nRc=")</f>
        <v>#REF!</v>
      </c>
      <c r="Y168" t="e">
        <f>AND(#REF!,"AAAAAH3/nRg=")</f>
        <v>#REF!</v>
      </c>
      <c r="Z168" t="e">
        <f>AND(#REF!,"AAAAAH3/nRk=")</f>
        <v>#REF!</v>
      </c>
      <c r="AA168" t="e">
        <f>AND(#REF!,"AAAAAH3/nRo=")</f>
        <v>#REF!</v>
      </c>
      <c r="AB168" t="e">
        <f>AND(#REF!,"AAAAAH3/nRs=")</f>
        <v>#REF!</v>
      </c>
      <c r="AC168" t="e">
        <f>AND(#REF!,"AAAAAH3/nRw=")</f>
        <v>#REF!</v>
      </c>
      <c r="AD168" t="e">
        <f>AND(#REF!,"AAAAAH3/nR0=")</f>
        <v>#REF!</v>
      </c>
      <c r="AE168" t="e">
        <f>AND(#REF!,"AAAAAH3/nR4=")</f>
        <v>#REF!</v>
      </c>
      <c r="AF168" t="e">
        <f>AND(#REF!,"AAAAAH3/nR8=")</f>
        <v>#REF!</v>
      </c>
      <c r="AG168" t="e">
        <f>AND(#REF!,"AAAAAH3/nSA=")</f>
        <v>#REF!</v>
      </c>
      <c r="AH168" t="e">
        <f>AND(#REF!,"AAAAAH3/nSE=")</f>
        <v>#REF!</v>
      </c>
      <c r="AI168" t="e">
        <f>AND(#REF!,"AAAAAH3/nSI=")</f>
        <v>#REF!</v>
      </c>
      <c r="AJ168" t="e">
        <f>AND(#REF!,"AAAAAH3/nSM=")</f>
        <v>#REF!</v>
      </c>
      <c r="AK168" t="e">
        <f>AND(#REF!,"AAAAAH3/nSQ=")</f>
        <v>#REF!</v>
      </c>
      <c r="AL168" t="e">
        <f>AND(#REF!,"AAAAAH3/nSU=")</f>
        <v>#REF!</v>
      </c>
      <c r="AM168" t="e">
        <f>IF(#REF!,"AAAAAH3/nSY=",0)</f>
        <v>#REF!</v>
      </c>
      <c r="AN168" t="e">
        <f>AND(#REF!,"AAAAAH3/nSc=")</f>
        <v>#REF!</v>
      </c>
      <c r="AO168" t="e">
        <f>AND(#REF!,"AAAAAH3/nSg=")</f>
        <v>#REF!</v>
      </c>
      <c r="AP168" t="e">
        <f>AND(#REF!,"AAAAAH3/nSk=")</f>
        <v>#REF!</v>
      </c>
      <c r="AQ168" t="e">
        <f>AND(#REF!,"AAAAAH3/nSo=")</f>
        <v>#REF!</v>
      </c>
      <c r="AR168" t="e">
        <f>AND(#REF!,"AAAAAH3/nSs=")</f>
        <v>#REF!</v>
      </c>
      <c r="AS168" t="e">
        <f>AND(#REF!,"AAAAAH3/nSw=")</f>
        <v>#REF!</v>
      </c>
      <c r="AT168" t="e">
        <f>AND(#REF!,"AAAAAH3/nS0=")</f>
        <v>#REF!</v>
      </c>
      <c r="AU168" t="e">
        <f>AND(#REF!,"AAAAAH3/nS4=")</f>
        <v>#REF!</v>
      </c>
      <c r="AV168" t="e">
        <f>AND(#REF!,"AAAAAH3/nS8=")</f>
        <v>#REF!</v>
      </c>
      <c r="AW168" t="e">
        <f>AND(#REF!,"AAAAAH3/nTA=")</f>
        <v>#REF!</v>
      </c>
      <c r="AX168" t="e">
        <f>AND(#REF!,"AAAAAH3/nTE=")</f>
        <v>#REF!</v>
      </c>
      <c r="AY168" t="e">
        <f>AND(#REF!,"AAAAAH3/nTI=")</f>
        <v>#REF!</v>
      </c>
      <c r="AZ168" t="e">
        <f>AND(#REF!,"AAAAAH3/nTM=")</f>
        <v>#REF!</v>
      </c>
      <c r="BA168" t="e">
        <f>AND(#REF!,"AAAAAH3/nTQ=")</f>
        <v>#REF!</v>
      </c>
      <c r="BB168" t="e">
        <f>AND(#REF!,"AAAAAH3/nTU=")</f>
        <v>#REF!</v>
      </c>
      <c r="BC168" t="e">
        <f>AND(#REF!,"AAAAAH3/nTY=")</f>
        <v>#REF!</v>
      </c>
      <c r="BD168" t="e">
        <f>AND(#REF!,"AAAAAH3/nTc=")</f>
        <v>#REF!</v>
      </c>
      <c r="BE168" t="e">
        <f>AND(#REF!,"AAAAAH3/nTg=")</f>
        <v>#REF!</v>
      </c>
      <c r="BF168" t="e">
        <f>AND(#REF!,"AAAAAH3/nTk=")</f>
        <v>#REF!</v>
      </c>
      <c r="BG168" t="e">
        <f>AND(#REF!,"AAAAAH3/nTo=")</f>
        <v>#REF!</v>
      </c>
      <c r="BH168" t="e">
        <f>AND(#REF!,"AAAAAH3/nTs=")</f>
        <v>#REF!</v>
      </c>
      <c r="BI168" t="e">
        <f>IF(#REF!,"AAAAAH3/nTw=",0)</f>
        <v>#REF!</v>
      </c>
      <c r="BJ168" t="e">
        <f>AND(#REF!,"AAAAAH3/nT0=")</f>
        <v>#REF!</v>
      </c>
      <c r="BK168" t="e">
        <f>AND(#REF!,"AAAAAH3/nT4=")</f>
        <v>#REF!</v>
      </c>
      <c r="BL168" t="e">
        <f>AND(#REF!,"AAAAAH3/nT8=")</f>
        <v>#REF!</v>
      </c>
      <c r="BM168" t="e">
        <f>AND(#REF!,"AAAAAH3/nUA=")</f>
        <v>#REF!</v>
      </c>
      <c r="BN168" t="e">
        <f>AND(#REF!,"AAAAAH3/nUE=")</f>
        <v>#REF!</v>
      </c>
      <c r="BO168" t="e">
        <f>AND(#REF!,"AAAAAH3/nUI=")</f>
        <v>#REF!</v>
      </c>
      <c r="BP168" t="e">
        <f>AND(#REF!,"AAAAAH3/nUM=")</f>
        <v>#REF!</v>
      </c>
      <c r="BQ168" t="e">
        <f>AND(#REF!,"AAAAAH3/nUQ=")</f>
        <v>#REF!</v>
      </c>
      <c r="BR168" t="e">
        <f>AND(#REF!,"AAAAAH3/nUU=")</f>
        <v>#REF!</v>
      </c>
      <c r="BS168" t="e">
        <f>AND(#REF!,"AAAAAH3/nUY=")</f>
        <v>#REF!</v>
      </c>
      <c r="BT168" t="e">
        <f>AND(#REF!,"AAAAAH3/nUc=")</f>
        <v>#REF!</v>
      </c>
      <c r="BU168" t="e">
        <f>AND(#REF!,"AAAAAH3/nUg=")</f>
        <v>#REF!</v>
      </c>
      <c r="BV168" t="e">
        <f>AND(#REF!,"AAAAAH3/nUk=")</f>
        <v>#REF!</v>
      </c>
      <c r="BW168" t="e">
        <f>AND(#REF!,"AAAAAH3/nUo=")</f>
        <v>#REF!</v>
      </c>
      <c r="BX168" t="e">
        <f>AND(#REF!,"AAAAAH3/nUs=")</f>
        <v>#REF!</v>
      </c>
      <c r="BY168" t="e">
        <f>AND(#REF!,"AAAAAH3/nUw=")</f>
        <v>#REF!</v>
      </c>
      <c r="BZ168" t="e">
        <f>AND(#REF!,"AAAAAH3/nU0=")</f>
        <v>#REF!</v>
      </c>
      <c r="CA168" t="e">
        <f>AND(#REF!,"AAAAAH3/nU4=")</f>
        <v>#REF!</v>
      </c>
      <c r="CB168" t="e">
        <f>AND(#REF!,"AAAAAH3/nU8=")</f>
        <v>#REF!</v>
      </c>
      <c r="CC168" t="e">
        <f>AND(#REF!,"AAAAAH3/nVA=")</f>
        <v>#REF!</v>
      </c>
      <c r="CD168" t="e">
        <f>AND(#REF!,"AAAAAH3/nVE=")</f>
        <v>#REF!</v>
      </c>
      <c r="CE168" t="e">
        <f>IF(#REF!,"AAAAAH3/nVI=",0)</f>
        <v>#REF!</v>
      </c>
      <c r="CF168" t="e">
        <f>AND(#REF!,"AAAAAH3/nVM=")</f>
        <v>#REF!</v>
      </c>
      <c r="CG168" t="e">
        <f>AND(#REF!,"AAAAAH3/nVQ=")</f>
        <v>#REF!</v>
      </c>
      <c r="CH168" t="e">
        <f>AND(#REF!,"AAAAAH3/nVU=")</f>
        <v>#REF!</v>
      </c>
      <c r="CI168" t="e">
        <f>AND(#REF!,"AAAAAH3/nVY=")</f>
        <v>#REF!</v>
      </c>
      <c r="CJ168" t="e">
        <f>AND(#REF!,"AAAAAH3/nVc=")</f>
        <v>#REF!</v>
      </c>
      <c r="CK168" t="e">
        <f>AND(#REF!,"AAAAAH3/nVg=")</f>
        <v>#REF!</v>
      </c>
      <c r="CL168" t="e">
        <f>AND(#REF!,"AAAAAH3/nVk=")</f>
        <v>#REF!</v>
      </c>
      <c r="CM168" t="e">
        <f>AND(#REF!,"AAAAAH3/nVo=")</f>
        <v>#REF!</v>
      </c>
      <c r="CN168" t="e">
        <f>AND(#REF!,"AAAAAH3/nVs=")</f>
        <v>#REF!</v>
      </c>
      <c r="CO168" t="e">
        <f>AND(#REF!,"AAAAAH3/nVw=")</f>
        <v>#REF!</v>
      </c>
      <c r="CP168" t="e">
        <f>AND(#REF!,"AAAAAH3/nV0=")</f>
        <v>#REF!</v>
      </c>
      <c r="CQ168" t="e">
        <f>AND(#REF!,"AAAAAH3/nV4=")</f>
        <v>#REF!</v>
      </c>
      <c r="CR168" t="e">
        <f>AND(#REF!,"AAAAAH3/nV8=")</f>
        <v>#REF!</v>
      </c>
      <c r="CS168" t="e">
        <f>AND(#REF!,"AAAAAH3/nWA=")</f>
        <v>#REF!</v>
      </c>
      <c r="CT168" t="e">
        <f>AND(#REF!,"AAAAAH3/nWE=")</f>
        <v>#REF!</v>
      </c>
      <c r="CU168" t="e">
        <f>AND(#REF!,"AAAAAH3/nWI=")</f>
        <v>#REF!</v>
      </c>
      <c r="CV168" t="e">
        <f>AND(#REF!,"AAAAAH3/nWM=")</f>
        <v>#REF!</v>
      </c>
      <c r="CW168" t="e">
        <f>AND(#REF!,"AAAAAH3/nWQ=")</f>
        <v>#REF!</v>
      </c>
      <c r="CX168" t="e">
        <f>AND(#REF!,"AAAAAH3/nWU=")</f>
        <v>#REF!</v>
      </c>
      <c r="CY168" t="e">
        <f>AND(#REF!,"AAAAAH3/nWY=")</f>
        <v>#REF!</v>
      </c>
      <c r="CZ168" t="e">
        <f>AND(#REF!,"AAAAAH3/nWc=")</f>
        <v>#REF!</v>
      </c>
      <c r="DA168" t="e">
        <f>IF(#REF!,"AAAAAH3/nWg=",0)</f>
        <v>#REF!</v>
      </c>
      <c r="DB168" t="e">
        <f>AND(#REF!,"AAAAAH3/nWk=")</f>
        <v>#REF!</v>
      </c>
      <c r="DC168" t="e">
        <f>AND(#REF!,"AAAAAH3/nWo=")</f>
        <v>#REF!</v>
      </c>
      <c r="DD168" t="e">
        <f>AND(#REF!,"AAAAAH3/nWs=")</f>
        <v>#REF!</v>
      </c>
      <c r="DE168" t="e">
        <f>AND(#REF!,"AAAAAH3/nWw=")</f>
        <v>#REF!</v>
      </c>
      <c r="DF168" t="e">
        <f>AND(#REF!,"AAAAAH3/nW0=")</f>
        <v>#REF!</v>
      </c>
      <c r="DG168" t="e">
        <f>AND(#REF!,"AAAAAH3/nW4=")</f>
        <v>#REF!</v>
      </c>
      <c r="DH168" t="e">
        <f>AND(#REF!,"AAAAAH3/nW8=")</f>
        <v>#REF!</v>
      </c>
      <c r="DI168" t="e">
        <f>AND(#REF!,"AAAAAH3/nXA=")</f>
        <v>#REF!</v>
      </c>
      <c r="DJ168" t="e">
        <f>AND(#REF!,"AAAAAH3/nXE=")</f>
        <v>#REF!</v>
      </c>
      <c r="DK168" t="e">
        <f>AND(#REF!,"AAAAAH3/nXI=")</f>
        <v>#REF!</v>
      </c>
      <c r="DL168" t="e">
        <f>AND(#REF!,"AAAAAH3/nXM=")</f>
        <v>#REF!</v>
      </c>
      <c r="DM168" t="e">
        <f>AND(#REF!,"AAAAAH3/nXQ=")</f>
        <v>#REF!</v>
      </c>
      <c r="DN168" t="e">
        <f>AND(#REF!,"AAAAAH3/nXU=")</f>
        <v>#REF!</v>
      </c>
      <c r="DO168" t="e">
        <f>AND(#REF!,"AAAAAH3/nXY=")</f>
        <v>#REF!</v>
      </c>
      <c r="DP168" t="e">
        <f>AND(#REF!,"AAAAAH3/nXc=")</f>
        <v>#REF!</v>
      </c>
      <c r="DQ168" t="e">
        <f>AND(#REF!,"AAAAAH3/nXg=")</f>
        <v>#REF!</v>
      </c>
      <c r="DR168" t="e">
        <f>AND(#REF!,"AAAAAH3/nXk=")</f>
        <v>#REF!</v>
      </c>
      <c r="DS168" t="e">
        <f>AND(#REF!,"AAAAAH3/nXo=")</f>
        <v>#REF!</v>
      </c>
      <c r="DT168" t="e">
        <f>AND(#REF!,"AAAAAH3/nXs=")</f>
        <v>#REF!</v>
      </c>
      <c r="DU168" t="e">
        <f>AND(#REF!,"AAAAAH3/nXw=")</f>
        <v>#REF!</v>
      </c>
      <c r="DV168" t="e">
        <f>AND(#REF!,"AAAAAH3/nX0=")</f>
        <v>#REF!</v>
      </c>
      <c r="DW168" t="e">
        <f>IF(#REF!,"AAAAAH3/nX4=",0)</f>
        <v>#REF!</v>
      </c>
      <c r="DX168" t="e">
        <f>AND(#REF!,"AAAAAH3/nX8=")</f>
        <v>#REF!</v>
      </c>
      <c r="DY168" t="e">
        <f>AND(#REF!,"AAAAAH3/nYA=")</f>
        <v>#REF!</v>
      </c>
      <c r="DZ168" t="e">
        <f>AND(#REF!,"AAAAAH3/nYE=")</f>
        <v>#REF!</v>
      </c>
      <c r="EA168" t="e">
        <f>AND(#REF!,"AAAAAH3/nYI=")</f>
        <v>#REF!</v>
      </c>
      <c r="EB168" t="e">
        <f>AND(#REF!,"AAAAAH3/nYM=")</f>
        <v>#REF!</v>
      </c>
      <c r="EC168" t="e">
        <f>AND(#REF!,"AAAAAH3/nYQ=")</f>
        <v>#REF!</v>
      </c>
      <c r="ED168" t="e">
        <f>AND(#REF!,"AAAAAH3/nYU=")</f>
        <v>#REF!</v>
      </c>
      <c r="EE168" t="e">
        <f>AND(#REF!,"AAAAAH3/nYY=")</f>
        <v>#REF!</v>
      </c>
      <c r="EF168" t="e">
        <f>AND(#REF!,"AAAAAH3/nYc=")</f>
        <v>#REF!</v>
      </c>
      <c r="EG168" t="e">
        <f>AND(#REF!,"AAAAAH3/nYg=")</f>
        <v>#REF!</v>
      </c>
      <c r="EH168" t="e">
        <f>AND(#REF!,"AAAAAH3/nYk=")</f>
        <v>#REF!</v>
      </c>
      <c r="EI168" t="e">
        <f>AND(#REF!,"AAAAAH3/nYo=")</f>
        <v>#REF!</v>
      </c>
      <c r="EJ168" t="e">
        <f>AND(#REF!,"AAAAAH3/nYs=")</f>
        <v>#REF!</v>
      </c>
      <c r="EK168" t="e">
        <f>AND(#REF!,"AAAAAH3/nYw=")</f>
        <v>#REF!</v>
      </c>
      <c r="EL168" t="e">
        <f>AND(#REF!,"AAAAAH3/nY0=")</f>
        <v>#REF!</v>
      </c>
      <c r="EM168" t="e">
        <f>AND(#REF!,"AAAAAH3/nY4=")</f>
        <v>#REF!</v>
      </c>
      <c r="EN168" t="e">
        <f>AND(#REF!,"AAAAAH3/nY8=")</f>
        <v>#REF!</v>
      </c>
      <c r="EO168" t="e">
        <f>AND(#REF!,"AAAAAH3/nZA=")</f>
        <v>#REF!</v>
      </c>
      <c r="EP168" t="e">
        <f>AND(#REF!,"AAAAAH3/nZE=")</f>
        <v>#REF!</v>
      </c>
      <c r="EQ168" t="e">
        <f>AND(#REF!,"AAAAAH3/nZI=")</f>
        <v>#REF!</v>
      </c>
      <c r="ER168" t="e">
        <f>AND(#REF!,"AAAAAH3/nZM=")</f>
        <v>#REF!</v>
      </c>
      <c r="ES168" t="e">
        <f>IF(#REF!,"AAAAAH3/nZQ=",0)</f>
        <v>#REF!</v>
      </c>
      <c r="ET168" t="e">
        <f>AND(#REF!,"AAAAAH3/nZU=")</f>
        <v>#REF!</v>
      </c>
      <c r="EU168" t="e">
        <f>AND(#REF!,"AAAAAH3/nZY=")</f>
        <v>#REF!</v>
      </c>
      <c r="EV168" t="e">
        <f>AND(#REF!,"AAAAAH3/nZc=")</f>
        <v>#REF!</v>
      </c>
      <c r="EW168" t="e">
        <f>AND(#REF!,"AAAAAH3/nZg=")</f>
        <v>#REF!</v>
      </c>
      <c r="EX168" t="e">
        <f>AND(#REF!,"AAAAAH3/nZk=")</f>
        <v>#REF!</v>
      </c>
      <c r="EY168" t="e">
        <f>AND(#REF!,"AAAAAH3/nZo=")</f>
        <v>#REF!</v>
      </c>
      <c r="EZ168" t="e">
        <f>AND(#REF!,"AAAAAH3/nZs=")</f>
        <v>#REF!</v>
      </c>
      <c r="FA168" t="e">
        <f>AND(#REF!,"AAAAAH3/nZw=")</f>
        <v>#REF!</v>
      </c>
      <c r="FB168" t="e">
        <f>AND(#REF!,"AAAAAH3/nZ0=")</f>
        <v>#REF!</v>
      </c>
      <c r="FC168" t="e">
        <f>AND(#REF!,"AAAAAH3/nZ4=")</f>
        <v>#REF!</v>
      </c>
      <c r="FD168" t="e">
        <f>AND(#REF!,"AAAAAH3/nZ8=")</f>
        <v>#REF!</v>
      </c>
      <c r="FE168" t="e">
        <f>AND(#REF!,"AAAAAH3/naA=")</f>
        <v>#REF!</v>
      </c>
      <c r="FF168" t="e">
        <f>AND(#REF!,"AAAAAH3/naE=")</f>
        <v>#REF!</v>
      </c>
      <c r="FG168" t="e">
        <f>AND(#REF!,"AAAAAH3/naI=")</f>
        <v>#REF!</v>
      </c>
      <c r="FH168" t="e">
        <f>AND(#REF!,"AAAAAH3/naM=")</f>
        <v>#REF!</v>
      </c>
      <c r="FI168" t="e">
        <f>AND(#REF!,"AAAAAH3/naQ=")</f>
        <v>#REF!</v>
      </c>
      <c r="FJ168" t="e">
        <f>AND(#REF!,"AAAAAH3/naU=")</f>
        <v>#REF!</v>
      </c>
      <c r="FK168" t="e">
        <f>AND(#REF!,"AAAAAH3/naY=")</f>
        <v>#REF!</v>
      </c>
      <c r="FL168" t="e">
        <f>AND(#REF!,"AAAAAH3/nac=")</f>
        <v>#REF!</v>
      </c>
      <c r="FM168" t="e">
        <f>AND(#REF!,"AAAAAH3/nag=")</f>
        <v>#REF!</v>
      </c>
      <c r="FN168" t="e">
        <f>AND(#REF!,"AAAAAH3/nak=")</f>
        <v>#REF!</v>
      </c>
      <c r="FO168" t="e">
        <f>IF(#REF!,"AAAAAH3/nao=",0)</f>
        <v>#REF!</v>
      </c>
      <c r="FP168" t="e">
        <f>AND(#REF!,"AAAAAH3/nas=")</f>
        <v>#REF!</v>
      </c>
      <c r="FQ168" t="e">
        <f>AND(#REF!,"AAAAAH3/naw=")</f>
        <v>#REF!</v>
      </c>
      <c r="FR168" t="e">
        <f>AND(#REF!,"AAAAAH3/na0=")</f>
        <v>#REF!</v>
      </c>
      <c r="FS168" t="e">
        <f>AND(#REF!,"AAAAAH3/na4=")</f>
        <v>#REF!</v>
      </c>
      <c r="FT168" t="e">
        <f>AND(#REF!,"AAAAAH3/na8=")</f>
        <v>#REF!</v>
      </c>
      <c r="FU168" t="e">
        <f>AND(#REF!,"AAAAAH3/nbA=")</f>
        <v>#REF!</v>
      </c>
      <c r="FV168" t="e">
        <f>AND(#REF!,"AAAAAH3/nbE=")</f>
        <v>#REF!</v>
      </c>
      <c r="FW168" t="e">
        <f>AND(#REF!,"AAAAAH3/nbI=")</f>
        <v>#REF!</v>
      </c>
      <c r="FX168" t="e">
        <f>AND(#REF!,"AAAAAH3/nbM=")</f>
        <v>#REF!</v>
      </c>
      <c r="FY168" t="e">
        <f>AND(#REF!,"AAAAAH3/nbQ=")</f>
        <v>#REF!</v>
      </c>
      <c r="FZ168" t="e">
        <f>AND(#REF!,"AAAAAH3/nbU=")</f>
        <v>#REF!</v>
      </c>
      <c r="GA168" t="e">
        <f>AND(#REF!,"AAAAAH3/nbY=")</f>
        <v>#REF!</v>
      </c>
      <c r="GB168" t="e">
        <f>AND(#REF!,"AAAAAH3/nbc=")</f>
        <v>#REF!</v>
      </c>
      <c r="GC168" t="e">
        <f>AND(#REF!,"AAAAAH3/nbg=")</f>
        <v>#REF!</v>
      </c>
      <c r="GD168" t="e">
        <f>AND(#REF!,"AAAAAH3/nbk=")</f>
        <v>#REF!</v>
      </c>
      <c r="GE168" t="e">
        <f>AND(#REF!,"AAAAAH3/nbo=")</f>
        <v>#REF!</v>
      </c>
      <c r="GF168" t="e">
        <f>AND(#REF!,"AAAAAH3/nbs=")</f>
        <v>#REF!</v>
      </c>
      <c r="GG168" t="e">
        <f>AND(#REF!,"AAAAAH3/nbw=")</f>
        <v>#REF!</v>
      </c>
      <c r="GH168" t="e">
        <f>AND(#REF!,"AAAAAH3/nb0=")</f>
        <v>#REF!</v>
      </c>
      <c r="GI168" t="e">
        <f>AND(#REF!,"AAAAAH3/nb4=")</f>
        <v>#REF!</v>
      </c>
      <c r="GJ168" t="e">
        <f>AND(#REF!,"AAAAAH3/nb8=")</f>
        <v>#REF!</v>
      </c>
      <c r="GK168" t="e">
        <f>IF(#REF!,"AAAAAH3/ncA=",0)</f>
        <v>#REF!</v>
      </c>
      <c r="GL168" t="e">
        <f>AND(#REF!,"AAAAAH3/ncE=")</f>
        <v>#REF!</v>
      </c>
      <c r="GM168" t="e">
        <f>AND(#REF!,"AAAAAH3/ncI=")</f>
        <v>#REF!</v>
      </c>
      <c r="GN168" t="e">
        <f>AND(#REF!,"AAAAAH3/ncM=")</f>
        <v>#REF!</v>
      </c>
      <c r="GO168" t="e">
        <f>AND(#REF!,"AAAAAH3/ncQ=")</f>
        <v>#REF!</v>
      </c>
      <c r="GP168" t="e">
        <f>AND(#REF!,"AAAAAH3/ncU=")</f>
        <v>#REF!</v>
      </c>
      <c r="GQ168" t="e">
        <f>AND(#REF!,"AAAAAH3/ncY=")</f>
        <v>#REF!</v>
      </c>
      <c r="GR168" t="e">
        <f>AND(#REF!,"AAAAAH3/ncc=")</f>
        <v>#REF!</v>
      </c>
      <c r="GS168" t="e">
        <f>AND(#REF!,"AAAAAH3/ncg=")</f>
        <v>#REF!</v>
      </c>
      <c r="GT168" t="e">
        <f>AND(#REF!,"AAAAAH3/nck=")</f>
        <v>#REF!</v>
      </c>
      <c r="GU168" t="e">
        <f>AND(#REF!,"AAAAAH3/nco=")</f>
        <v>#REF!</v>
      </c>
      <c r="GV168" t="e">
        <f>AND(#REF!,"AAAAAH3/ncs=")</f>
        <v>#REF!</v>
      </c>
      <c r="GW168" t="e">
        <f>AND(#REF!,"AAAAAH3/ncw=")</f>
        <v>#REF!</v>
      </c>
      <c r="GX168" t="e">
        <f>AND(#REF!,"AAAAAH3/nc0=")</f>
        <v>#REF!</v>
      </c>
      <c r="GY168" t="e">
        <f>AND(#REF!,"AAAAAH3/nc4=")</f>
        <v>#REF!</v>
      </c>
      <c r="GZ168" t="e">
        <f>AND(#REF!,"AAAAAH3/nc8=")</f>
        <v>#REF!</v>
      </c>
      <c r="HA168" t="e">
        <f>AND(#REF!,"AAAAAH3/ndA=")</f>
        <v>#REF!</v>
      </c>
      <c r="HB168" t="e">
        <f>AND(#REF!,"AAAAAH3/ndE=")</f>
        <v>#REF!</v>
      </c>
      <c r="HC168" t="e">
        <f>AND(#REF!,"AAAAAH3/ndI=")</f>
        <v>#REF!</v>
      </c>
      <c r="HD168" t="e">
        <f>AND(#REF!,"AAAAAH3/ndM=")</f>
        <v>#REF!</v>
      </c>
      <c r="HE168" t="e">
        <f>AND(#REF!,"AAAAAH3/ndQ=")</f>
        <v>#REF!</v>
      </c>
      <c r="HF168" t="e">
        <f>AND(#REF!,"AAAAAH3/ndU=")</f>
        <v>#REF!</v>
      </c>
      <c r="HG168" t="e">
        <f>IF(#REF!,"AAAAAH3/ndY=",0)</f>
        <v>#REF!</v>
      </c>
      <c r="HH168" t="e">
        <f>AND(#REF!,"AAAAAH3/ndc=")</f>
        <v>#REF!</v>
      </c>
      <c r="HI168" t="e">
        <f>AND(#REF!,"AAAAAH3/ndg=")</f>
        <v>#REF!</v>
      </c>
      <c r="HJ168" t="e">
        <f>AND(#REF!,"AAAAAH3/ndk=")</f>
        <v>#REF!</v>
      </c>
      <c r="HK168" t="e">
        <f>AND(#REF!,"AAAAAH3/ndo=")</f>
        <v>#REF!</v>
      </c>
      <c r="HL168" t="e">
        <f>AND(#REF!,"AAAAAH3/nds=")</f>
        <v>#REF!</v>
      </c>
      <c r="HM168" t="e">
        <f>AND(#REF!,"AAAAAH3/ndw=")</f>
        <v>#REF!</v>
      </c>
      <c r="HN168" t="e">
        <f>AND(#REF!,"AAAAAH3/nd0=")</f>
        <v>#REF!</v>
      </c>
      <c r="HO168" t="e">
        <f>AND(#REF!,"AAAAAH3/nd4=")</f>
        <v>#REF!</v>
      </c>
      <c r="HP168" t="e">
        <f>AND(#REF!,"AAAAAH3/nd8=")</f>
        <v>#REF!</v>
      </c>
      <c r="HQ168" t="e">
        <f>AND(#REF!,"AAAAAH3/neA=")</f>
        <v>#REF!</v>
      </c>
      <c r="HR168" t="e">
        <f>AND(#REF!,"AAAAAH3/neE=")</f>
        <v>#REF!</v>
      </c>
      <c r="HS168" t="e">
        <f>AND(#REF!,"AAAAAH3/neI=")</f>
        <v>#REF!</v>
      </c>
      <c r="HT168" t="e">
        <f>AND(#REF!,"AAAAAH3/neM=")</f>
        <v>#REF!</v>
      </c>
      <c r="HU168" t="e">
        <f>AND(#REF!,"AAAAAH3/neQ=")</f>
        <v>#REF!</v>
      </c>
      <c r="HV168" t="e">
        <f>AND(#REF!,"AAAAAH3/neU=")</f>
        <v>#REF!</v>
      </c>
      <c r="HW168" t="e">
        <f>AND(#REF!,"AAAAAH3/neY=")</f>
        <v>#REF!</v>
      </c>
      <c r="HX168" t="e">
        <f>AND(#REF!,"AAAAAH3/nec=")</f>
        <v>#REF!</v>
      </c>
      <c r="HY168" t="e">
        <f>AND(#REF!,"AAAAAH3/neg=")</f>
        <v>#REF!</v>
      </c>
      <c r="HZ168" t="e">
        <f>AND(#REF!,"AAAAAH3/nek=")</f>
        <v>#REF!</v>
      </c>
      <c r="IA168" t="e">
        <f>AND(#REF!,"AAAAAH3/neo=")</f>
        <v>#REF!</v>
      </c>
      <c r="IB168" t="e">
        <f>AND(#REF!,"AAAAAH3/nes=")</f>
        <v>#REF!</v>
      </c>
      <c r="IC168" t="e">
        <f>IF(#REF!,"AAAAAH3/new=",0)</f>
        <v>#REF!</v>
      </c>
      <c r="ID168" t="e">
        <f>AND(#REF!,"AAAAAH3/ne0=")</f>
        <v>#REF!</v>
      </c>
      <c r="IE168" t="e">
        <f>AND(#REF!,"AAAAAH3/ne4=")</f>
        <v>#REF!</v>
      </c>
      <c r="IF168" t="e">
        <f>AND(#REF!,"AAAAAH3/ne8=")</f>
        <v>#REF!</v>
      </c>
      <c r="IG168" t="e">
        <f>AND(#REF!,"AAAAAH3/nfA=")</f>
        <v>#REF!</v>
      </c>
      <c r="IH168" t="e">
        <f>AND(#REF!,"AAAAAH3/nfE=")</f>
        <v>#REF!</v>
      </c>
      <c r="II168" t="e">
        <f>AND(#REF!,"AAAAAH3/nfI=")</f>
        <v>#REF!</v>
      </c>
      <c r="IJ168" t="e">
        <f>AND(#REF!,"AAAAAH3/nfM=")</f>
        <v>#REF!</v>
      </c>
      <c r="IK168" t="e">
        <f>AND(#REF!,"AAAAAH3/nfQ=")</f>
        <v>#REF!</v>
      </c>
      <c r="IL168" t="e">
        <f>AND(#REF!,"AAAAAH3/nfU=")</f>
        <v>#REF!</v>
      </c>
      <c r="IM168" t="e">
        <f>AND(#REF!,"AAAAAH3/nfY=")</f>
        <v>#REF!</v>
      </c>
      <c r="IN168" t="e">
        <f>AND(#REF!,"AAAAAH3/nfc=")</f>
        <v>#REF!</v>
      </c>
      <c r="IO168" t="e">
        <f>AND(#REF!,"AAAAAH3/nfg=")</f>
        <v>#REF!</v>
      </c>
      <c r="IP168" t="e">
        <f>AND(#REF!,"AAAAAH3/nfk=")</f>
        <v>#REF!</v>
      </c>
      <c r="IQ168" t="e">
        <f>AND(#REF!,"AAAAAH3/nfo=")</f>
        <v>#REF!</v>
      </c>
      <c r="IR168" t="e">
        <f>AND(#REF!,"AAAAAH3/nfs=")</f>
        <v>#REF!</v>
      </c>
      <c r="IS168" t="e">
        <f>AND(#REF!,"AAAAAH3/nfw=")</f>
        <v>#REF!</v>
      </c>
      <c r="IT168" t="e">
        <f>AND(#REF!,"AAAAAH3/nf0=")</f>
        <v>#REF!</v>
      </c>
      <c r="IU168" t="e">
        <f>AND(#REF!,"AAAAAH3/nf4=")</f>
        <v>#REF!</v>
      </c>
      <c r="IV168" t="e">
        <f>AND(#REF!,"AAAAAH3/nf8=")</f>
        <v>#REF!</v>
      </c>
    </row>
    <row r="169" spans="1:256" x14ac:dyDescent="0.25">
      <c r="A169" t="e">
        <f>AND(#REF!,"AAAAAFn/twA=")</f>
        <v>#REF!</v>
      </c>
      <c r="B169" t="e">
        <f>AND(#REF!,"AAAAAFn/twE=")</f>
        <v>#REF!</v>
      </c>
      <c r="C169" t="e">
        <f>IF(#REF!,"AAAAAFn/twI=",0)</f>
        <v>#REF!</v>
      </c>
      <c r="D169" t="e">
        <f>AND(#REF!,"AAAAAFn/twM=")</f>
        <v>#REF!</v>
      </c>
      <c r="E169" t="e">
        <f>AND(#REF!,"AAAAAFn/twQ=")</f>
        <v>#REF!</v>
      </c>
      <c r="F169" t="e">
        <f>AND(#REF!,"AAAAAFn/twU=")</f>
        <v>#REF!</v>
      </c>
      <c r="G169" t="e">
        <f>AND(#REF!,"AAAAAFn/twY=")</f>
        <v>#REF!</v>
      </c>
      <c r="H169" t="e">
        <f>AND(#REF!,"AAAAAFn/twc=")</f>
        <v>#REF!</v>
      </c>
      <c r="I169" t="e">
        <f>AND(#REF!,"AAAAAFn/twg=")</f>
        <v>#REF!</v>
      </c>
      <c r="J169" t="e">
        <f>AND(#REF!,"AAAAAFn/twk=")</f>
        <v>#REF!</v>
      </c>
      <c r="K169" t="e">
        <f>AND(#REF!,"AAAAAFn/two=")</f>
        <v>#REF!</v>
      </c>
      <c r="L169" t="e">
        <f>AND(#REF!,"AAAAAFn/tws=")</f>
        <v>#REF!</v>
      </c>
      <c r="M169" t="e">
        <f>AND(#REF!,"AAAAAFn/tww=")</f>
        <v>#REF!</v>
      </c>
      <c r="N169" t="e">
        <f>AND(#REF!,"AAAAAFn/tw0=")</f>
        <v>#REF!</v>
      </c>
      <c r="O169" t="e">
        <f>AND(#REF!,"AAAAAFn/tw4=")</f>
        <v>#REF!</v>
      </c>
      <c r="P169" t="e">
        <f>AND(#REF!,"AAAAAFn/tw8=")</f>
        <v>#REF!</v>
      </c>
      <c r="Q169" t="e">
        <f>AND(#REF!,"AAAAAFn/txA=")</f>
        <v>#REF!</v>
      </c>
      <c r="R169" t="e">
        <f>AND(#REF!,"AAAAAFn/txE=")</f>
        <v>#REF!</v>
      </c>
      <c r="S169" t="e">
        <f>AND(#REF!,"AAAAAFn/txI=")</f>
        <v>#REF!</v>
      </c>
      <c r="T169" t="e">
        <f>AND(#REF!,"AAAAAFn/txM=")</f>
        <v>#REF!</v>
      </c>
      <c r="U169" t="e">
        <f>AND(#REF!,"AAAAAFn/txQ=")</f>
        <v>#REF!</v>
      </c>
      <c r="V169" t="e">
        <f>AND(#REF!,"AAAAAFn/txU=")</f>
        <v>#REF!</v>
      </c>
      <c r="W169" t="e">
        <f>AND(#REF!,"AAAAAFn/txY=")</f>
        <v>#REF!</v>
      </c>
      <c r="X169" t="e">
        <f>AND(#REF!,"AAAAAFn/txc=")</f>
        <v>#REF!</v>
      </c>
      <c r="Y169" t="e">
        <f>IF(#REF!,"AAAAAFn/txg=",0)</f>
        <v>#REF!</v>
      </c>
      <c r="Z169" t="e">
        <f>AND(#REF!,"AAAAAFn/txk=")</f>
        <v>#REF!</v>
      </c>
      <c r="AA169" t="e">
        <f>AND(#REF!,"AAAAAFn/txo=")</f>
        <v>#REF!</v>
      </c>
      <c r="AB169" t="e">
        <f>AND(#REF!,"AAAAAFn/txs=")</f>
        <v>#REF!</v>
      </c>
      <c r="AC169" t="e">
        <f>AND(#REF!,"AAAAAFn/txw=")</f>
        <v>#REF!</v>
      </c>
      <c r="AD169" t="e">
        <f>AND(#REF!,"AAAAAFn/tx0=")</f>
        <v>#REF!</v>
      </c>
      <c r="AE169" t="e">
        <f>AND(#REF!,"AAAAAFn/tx4=")</f>
        <v>#REF!</v>
      </c>
      <c r="AF169" t="e">
        <f>AND(#REF!,"AAAAAFn/tx8=")</f>
        <v>#REF!</v>
      </c>
      <c r="AG169" t="e">
        <f>AND(#REF!,"AAAAAFn/tyA=")</f>
        <v>#REF!</v>
      </c>
      <c r="AH169" t="e">
        <f>AND(#REF!,"AAAAAFn/tyE=")</f>
        <v>#REF!</v>
      </c>
      <c r="AI169" t="e">
        <f>AND(#REF!,"AAAAAFn/tyI=")</f>
        <v>#REF!</v>
      </c>
      <c r="AJ169" t="e">
        <f>AND(#REF!,"AAAAAFn/tyM=")</f>
        <v>#REF!</v>
      </c>
      <c r="AK169" t="e">
        <f>AND(#REF!,"AAAAAFn/tyQ=")</f>
        <v>#REF!</v>
      </c>
      <c r="AL169" t="e">
        <f>AND(#REF!,"AAAAAFn/tyU=")</f>
        <v>#REF!</v>
      </c>
      <c r="AM169" t="e">
        <f>AND(#REF!,"AAAAAFn/tyY=")</f>
        <v>#REF!</v>
      </c>
      <c r="AN169" t="e">
        <f>AND(#REF!,"AAAAAFn/tyc=")</f>
        <v>#REF!</v>
      </c>
      <c r="AO169" t="e">
        <f>AND(#REF!,"AAAAAFn/tyg=")</f>
        <v>#REF!</v>
      </c>
      <c r="AP169" t="e">
        <f>AND(#REF!,"AAAAAFn/tyk=")</f>
        <v>#REF!</v>
      </c>
      <c r="AQ169" t="e">
        <f>AND(#REF!,"AAAAAFn/tyo=")</f>
        <v>#REF!</v>
      </c>
      <c r="AR169" t="e">
        <f>AND(#REF!,"AAAAAFn/tys=")</f>
        <v>#REF!</v>
      </c>
      <c r="AS169" t="e">
        <f>AND(#REF!,"AAAAAFn/tyw=")</f>
        <v>#REF!</v>
      </c>
      <c r="AT169" t="e">
        <f>AND(#REF!,"AAAAAFn/ty0=")</f>
        <v>#REF!</v>
      </c>
      <c r="AU169" t="e">
        <f>IF(#REF!,"AAAAAFn/ty4=",0)</f>
        <v>#REF!</v>
      </c>
      <c r="AV169" t="e">
        <f>AND(#REF!,"AAAAAFn/ty8=")</f>
        <v>#REF!</v>
      </c>
      <c r="AW169" t="e">
        <f>AND(#REF!,"AAAAAFn/tzA=")</f>
        <v>#REF!</v>
      </c>
      <c r="AX169" t="e">
        <f>AND(#REF!,"AAAAAFn/tzE=")</f>
        <v>#REF!</v>
      </c>
      <c r="AY169" t="e">
        <f>AND(#REF!,"AAAAAFn/tzI=")</f>
        <v>#REF!</v>
      </c>
      <c r="AZ169" t="e">
        <f>AND(#REF!,"AAAAAFn/tzM=")</f>
        <v>#REF!</v>
      </c>
      <c r="BA169" t="e">
        <f>AND(#REF!,"AAAAAFn/tzQ=")</f>
        <v>#REF!</v>
      </c>
      <c r="BB169" t="e">
        <f>AND(#REF!,"AAAAAFn/tzU=")</f>
        <v>#REF!</v>
      </c>
      <c r="BC169" t="e">
        <f>AND(#REF!,"AAAAAFn/tzY=")</f>
        <v>#REF!</v>
      </c>
      <c r="BD169" t="e">
        <f>AND(#REF!,"AAAAAFn/tzc=")</f>
        <v>#REF!</v>
      </c>
      <c r="BE169" t="e">
        <f>AND(#REF!,"AAAAAFn/tzg=")</f>
        <v>#REF!</v>
      </c>
      <c r="BF169" t="e">
        <f>AND(#REF!,"AAAAAFn/tzk=")</f>
        <v>#REF!</v>
      </c>
      <c r="BG169" t="e">
        <f>AND(#REF!,"AAAAAFn/tzo=")</f>
        <v>#REF!</v>
      </c>
      <c r="BH169" t="e">
        <f>AND(#REF!,"AAAAAFn/tzs=")</f>
        <v>#REF!</v>
      </c>
      <c r="BI169" t="e">
        <f>AND(#REF!,"AAAAAFn/tzw=")</f>
        <v>#REF!</v>
      </c>
      <c r="BJ169" t="e">
        <f>AND(#REF!,"AAAAAFn/tz0=")</f>
        <v>#REF!</v>
      </c>
      <c r="BK169" t="e">
        <f>AND(#REF!,"AAAAAFn/tz4=")</f>
        <v>#REF!</v>
      </c>
      <c r="BL169" t="e">
        <f>AND(#REF!,"AAAAAFn/tz8=")</f>
        <v>#REF!</v>
      </c>
      <c r="BM169" t="e">
        <f>AND(#REF!,"AAAAAFn/t0A=")</f>
        <v>#REF!</v>
      </c>
      <c r="BN169" t="e">
        <f>AND(#REF!,"AAAAAFn/t0E=")</f>
        <v>#REF!</v>
      </c>
      <c r="BO169" t="e">
        <f>AND(#REF!,"AAAAAFn/t0I=")</f>
        <v>#REF!</v>
      </c>
      <c r="BP169" t="e">
        <f>AND(#REF!,"AAAAAFn/t0M=")</f>
        <v>#REF!</v>
      </c>
      <c r="BQ169" t="e">
        <f>IF(#REF!,"AAAAAFn/t0Q=",0)</f>
        <v>#REF!</v>
      </c>
      <c r="BR169" t="e">
        <f>AND(#REF!,"AAAAAFn/t0U=")</f>
        <v>#REF!</v>
      </c>
      <c r="BS169" t="e">
        <f>AND(#REF!,"AAAAAFn/t0Y=")</f>
        <v>#REF!</v>
      </c>
      <c r="BT169" t="e">
        <f>AND(#REF!,"AAAAAFn/t0c=")</f>
        <v>#REF!</v>
      </c>
      <c r="BU169" t="e">
        <f>AND(#REF!,"AAAAAFn/t0g=")</f>
        <v>#REF!</v>
      </c>
      <c r="BV169" t="e">
        <f>AND(#REF!,"AAAAAFn/t0k=")</f>
        <v>#REF!</v>
      </c>
      <c r="BW169" t="e">
        <f>AND(#REF!,"AAAAAFn/t0o=")</f>
        <v>#REF!</v>
      </c>
      <c r="BX169" t="e">
        <f>AND(#REF!,"AAAAAFn/t0s=")</f>
        <v>#REF!</v>
      </c>
      <c r="BY169" t="e">
        <f>AND(#REF!,"AAAAAFn/t0w=")</f>
        <v>#REF!</v>
      </c>
      <c r="BZ169" t="e">
        <f>AND(#REF!,"AAAAAFn/t00=")</f>
        <v>#REF!</v>
      </c>
      <c r="CA169" t="e">
        <f>AND(#REF!,"AAAAAFn/t04=")</f>
        <v>#REF!</v>
      </c>
      <c r="CB169" t="e">
        <f>AND(#REF!,"AAAAAFn/t08=")</f>
        <v>#REF!</v>
      </c>
      <c r="CC169" t="e">
        <f>AND(#REF!,"AAAAAFn/t1A=")</f>
        <v>#REF!</v>
      </c>
      <c r="CD169" t="e">
        <f>AND(#REF!,"AAAAAFn/t1E=")</f>
        <v>#REF!</v>
      </c>
      <c r="CE169" t="e">
        <f>AND(#REF!,"AAAAAFn/t1I=")</f>
        <v>#REF!</v>
      </c>
      <c r="CF169" t="e">
        <f>AND(#REF!,"AAAAAFn/t1M=")</f>
        <v>#REF!</v>
      </c>
      <c r="CG169" t="e">
        <f>AND(#REF!,"AAAAAFn/t1Q=")</f>
        <v>#REF!</v>
      </c>
      <c r="CH169" t="e">
        <f>AND(#REF!,"AAAAAFn/t1U=")</f>
        <v>#REF!</v>
      </c>
      <c r="CI169" t="e">
        <f>AND(#REF!,"AAAAAFn/t1Y=")</f>
        <v>#REF!</v>
      </c>
      <c r="CJ169" t="e">
        <f>AND(#REF!,"AAAAAFn/t1c=")</f>
        <v>#REF!</v>
      </c>
      <c r="CK169" t="e">
        <f>AND(#REF!,"AAAAAFn/t1g=")</f>
        <v>#REF!</v>
      </c>
      <c r="CL169" t="e">
        <f>AND(#REF!,"AAAAAFn/t1k=")</f>
        <v>#REF!</v>
      </c>
      <c r="CM169" t="e">
        <f>IF(#REF!,"AAAAAFn/t1o=",0)</f>
        <v>#REF!</v>
      </c>
      <c r="CN169" t="e">
        <f>AND(#REF!,"AAAAAFn/t1s=")</f>
        <v>#REF!</v>
      </c>
      <c r="CO169" t="e">
        <f>AND(#REF!,"AAAAAFn/t1w=")</f>
        <v>#REF!</v>
      </c>
      <c r="CP169" t="e">
        <f>AND(#REF!,"AAAAAFn/t10=")</f>
        <v>#REF!</v>
      </c>
      <c r="CQ169" t="e">
        <f>AND(#REF!,"AAAAAFn/t14=")</f>
        <v>#REF!</v>
      </c>
      <c r="CR169" t="e">
        <f>AND(#REF!,"AAAAAFn/t18=")</f>
        <v>#REF!</v>
      </c>
      <c r="CS169" t="e">
        <f>AND(#REF!,"AAAAAFn/t2A=")</f>
        <v>#REF!</v>
      </c>
      <c r="CT169" t="e">
        <f>AND(#REF!,"AAAAAFn/t2E=")</f>
        <v>#REF!</v>
      </c>
      <c r="CU169" t="e">
        <f>AND(#REF!,"AAAAAFn/t2I=")</f>
        <v>#REF!</v>
      </c>
      <c r="CV169" t="e">
        <f>AND(#REF!,"AAAAAFn/t2M=")</f>
        <v>#REF!</v>
      </c>
      <c r="CW169" t="e">
        <f>AND(#REF!,"AAAAAFn/t2Q=")</f>
        <v>#REF!</v>
      </c>
      <c r="CX169" t="e">
        <f>AND(#REF!,"AAAAAFn/t2U=")</f>
        <v>#REF!</v>
      </c>
      <c r="CY169" t="e">
        <f>AND(#REF!,"AAAAAFn/t2Y=")</f>
        <v>#REF!</v>
      </c>
      <c r="CZ169" t="e">
        <f>AND(#REF!,"AAAAAFn/t2c=")</f>
        <v>#REF!</v>
      </c>
      <c r="DA169" t="e">
        <f>AND(#REF!,"AAAAAFn/t2g=")</f>
        <v>#REF!</v>
      </c>
      <c r="DB169" t="e">
        <f>AND(#REF!,"AAAAAFn/t2k=")</f>
        <v>#REF!</v>
      </c>
      <c r="DC169" t="e">
        <f>AND(#REF!,"AAAAAFn/t2o=")</f>
        <v>#REF!</v>
      </c>
      <c r="DD169" t="e">
        <f>AND(#REF!,"AAAAAFn/t2s=")</f>
        <v>#REF!</v>
      </c>
      <c r="DE169" t="e">
        <f>AND(#REF!,"AAAAAFn/t2w=")</f>
        <v>#REF!</v>
      </c>
      <c r="DF169" t="e">
        <f>AND(#REF!,"AAAAAFn/t20=")</f>
        <v>#REF!</v>
      </c>
      <c r="DG169" t="e">
        <f>AND(#REF!,"AAAAAFn/t24=")</f>
        <v>#REF!</v>
      </c>
      <c r="DH169" t="e">
        <f>AND(#REF!,"AAAAAFn/t28=")</f>
        <v>#REF!</v>
      </c>
      <c r="DI169" t="e">
        <f>IF(#REF!,"AAAAAFn/t3A=",0)</f>
        <v>#REF!</v>
      </c>
      <c r="DJ169" t="e">
        <f>AND(#REF!,"AAAAAFn/t3E=")</f>
        <v>#REF!</v>
      </c>
      <c r="DK169" t="e">
        <f>AND(#REF!,"AAAAAFn/t3I=")</f>
        <v>#REF!</v>
      </c>
      <c r="DL169" t="e">
        <f>AND(#REF!,"AAAAAFn/t3M=")</f>
        <v>#REF!</v>
      </c>
      <c r="DM169" t="e">
        <f>AND(#REF!,"AAAAAFn/t3Q=")</f>
        <v>#REF!</v>
      </c>
      <c r="DN169" t="e">
        <f>AND(#REF!,"AAAAAFn/t3U=")</f>
        <v>#REF!</v>
      </c>
      <c r="DO169" t="e">
        <f>AND(#REF!,"AAAAAFn/t3Y=")</f>
        <v>#REF!</v>
      </c>
      <c r="DP169" t="e">
        <f>AND(#REF!,"AAAAAFn/t3c=")</f>
        <v>#REF!</v>
      </c>
      <c r="DQ169" t="e">
        <f>AND(#REF!,"AAAAAFn/t3g=")</f>
        <v>#REF!</v>
      </c>
      <c r="DR169" t="e">
        <f>AND(#REF!,"AAAAAFn/t3k=")</f>
        <v>#REF!</v>
      </c>
      <c r="DS169" t="e">
        <f>AND(#REF!,"AAAAAFn/t3o=")</f>
        <v>#REF!</v>
      </c>
      <c r="DT169" t="e">
        <f>AND(#REF!,"AAAAAFn/t3s=")</f>
        <v>#REF!</v>
      </c>
      <c r="DU169" t="e">
        <f>AND(#REF!,"AAAAAFn/t3w=")</f>
        <v>#REF!</v>
      </c>
      <c r="DV169" t="e">
        <f>AND(#REF!,"AAAAAFn/t30=")</f>
        <v>#REF!</v>
      </c>
      <c r="DW169" t="e">
        <f>AND(#REF!,"AAAAAFn/t34=")</f>
        <v>#REF!</v>
      </c>
      <c r="DX169" t="e">
        <f>AND(#REF!,"AAAAAFn/t38=")</f>
        <v>#REF!</v>
      </c>
      <c r="DY169" t="e">
        <f>AND(#REF!,"AAAAAFn/t4A=")</f>
        <v>#REF!</v>
      </c>
      <c r="DZ169" t="e">
        <f>AND(#REF!,"AAAAAFn/t4E=")</f>
        <v>#REF!</v>
      </c>
      <c r="EA169" t="e">
        <f>AND(#REF!,"AAAAAFn/t4I=")</f>
        <v>#REF!</v>
      </c>
      <c r="EB169" t="e">
        <f>AND(#REF!,"AAAAAFn/t4M=")</f>
        <v>#REF!</v>
      </c>
      <c r="EC169" t="e">
        <f>AND(#REF!,"AAAAAFn/t4Q=")</f>
        <v>#REF!</v>
      </c>
      <c r="ED169" t="e">
        <f>AND(#REF!,"AAAAAFn/t4U=")</f>
        <v>#REF!</v>
      </c>
      <c r="EE169" t="e">
        <f>IF(#REF!,"AAAAAFn/t4Y=",0)</f>
        <v>#REF!</v>
      </c>
      <c r="EF169" t="e">
        <f>AND(#REF!,"AAAAAFn/t4c=")</f>
        <v>#REF!</v>
      </c>
      <c r="EG169" t="e">
        <f>AND(#REF!,"AAAAAFn/t4g=")</f>
        <v>#REF!</v>
      </c>
      <c r="EH169" t="e">
        <f>AND(#REF!,"AAAAAFn/t4k=")</f>
        <v>#REF!</v>
      </c>
      <c r="EI169" t="e">
        <f>AND(#REF!,"AAAAAFn/t4o=")</f>
        <v>#REF!</v>
      </c>
      <c r="EJ169" t="e">
        <f>AND(#REF!,"AAAAAFn/t4s=")</f>
        <v>#REF!</v>
      </c>
      <c r="EK169" t="e">
        <f>AND(#REF!,"AAAAAFn/t4w=")</f>
        <v>#REF!</v>
      </c>
      <c r="EL169" t="e">
        <f>AND(#REF!,"AAAAAFn/t40=")</f>
        <v>#REF!</v>
      </c>
      <c r="EM169" t="e">
        <f>AND(#REF!,"AAAAAFn/t44=")</f>
        <v>#REF!</v>
      </c>
      <c r="EN169" t="e">
        <f>AND(#REF!,"AAAAAFn/t48=")</f>
        <v>#REF!</v>
      </c>
      <c r="EO169" t="e">
        <f>AND(#REF!,"AAAAAFn/t5A=")</f>
        <v>#REF!</v>
      </c>
      <c r="EP169" t="e">
        <f>AND(#REF!,"AAAAAFn/t5E=")</f>
        <v>#REF!</v>
      </c>
      <c r="EQ169" t="e">
        <f>AND(#REF!,"AAAAAFn/t5I=")</f>
        <v>#REF!</v>
      </c>
      <c r="ER169" t="e">
        <f>AND(#REF!,"AAAAAFn/t5M=")</f>
        <v>#REF!</v>
      </c>
      <c r="ES169" t="e">
        <f>AND(#REF!,"AAAAAFn/t5Q=")</f>
        <v>#REF!</v>
      </c>
      <c r="ET169" t="e">
        <f>AND(#REF!,"AAAAAFn/t5U=")</f>
        <v>#REF!</v>
      </c>
      <c r="EU169" t="e">
        <f>AND(#REF!,"AAAAAFn/t5Y=")</f>
        <v>#REF!</v>
      </c>
      <c r="EV169" t="e">
        <f>AND(#REF!,"AAAAAFn/t5c=")</f>
        <v>#REF!</v>
      </c>
      <c r="EW169" t="e">
        <f>AND(#REF!,"AAAAAFn/t5g=")</f>
        <v>#REF!</v>
      </c>
      <c r="EX169" t="e">
        <f>AND(#REF!,"AAAAAFn/t5k=")</f>
        <v>#REF!</v>
      </c>
      <c r="EY169" t="e">
        <f>AND(#REF!,"AAAAAFn/t5o=")</f>
        <v>#REF!</v>
      </c>
      <c r="EZ169" t="e">
        <f>AND(#REF!,"AAAAAFn/t5s=")</f>
        <v>#REF!</v>
      </c>
      <c r="FA169" t="e">
        <f>IF(#REF!,"AAAAAFn/t5w=",0)</f>
        <v>#REF!</v>
      </c>
      <c r="FB169" t="e">
        <f>AND(#REF!,"AAAAAFn/t50=")</f>
        <v>#REF!</v>
      </c>
      <c r="FC169" t="e">
        <f>AND(#REF!,"AAAAAFn/t54=")</f>
        <v>#REF!</v>
      </c>
      <c r="FD169" t="e">
        <f>AND(#REF!,"AAAAAFn/t58=")</f>
        <v>#REF!</v>
      </c>
      <c r="FE169" t="e">
        <f>AND(#REF!,"AAAAAFn/t6A=")</f>
        <v>#REF!</v>
      </c>
      <c r="FF169" t="e">
        <f>AND(#REF!,"AAAAAFn/t6E=")</f>
        <v>#REF!</v>
      </c>
      <c r="FG169" t="e">
        <f>AND(#REF!,"AAAAAFn/t6I=")</f>
        <v>#REF!</v>
      </c>
      <c r="FH169" t="e">
        <f>AND(#REF!,"AAAAAFn/t6M=")</f>
        <v>#REF!</v>
      </c>
      <c r="FI169" t="e">
        <f>AND(#REF!,"AAAAAFn/t6Q=")</f>
        <v>#REF!</v>
      </c>
      <c r="FJ169" t="e">
        <f>AND(#REF!,"AAAAAFn/t6U=")</f>
        <v>#REF!</v>
      </c>
      <c r="FK169" t="e">
        <f>AND(#REF!,"AAAAAFn/t6Y=")</f>
        <v>#REF!</v>
      </c>
      <c r="FL169" t="e">
        <f>AND(#REF!,"AAAAAFn/t6c=")</f>
        <v>#REF!</v>
      </c>
      <c r="FM169" t="e">
        <f>AND(#REF!,"AAAAAFn/t6g=")</f>
        <v>#REF!</v>
      </c>
      <c r="FN169" t="e">
        <f>AND(#REF!,"AAAAAFn/t6k=")</f>
        <v>#REF!</v>
      </c>
      <c r="FO169" t="e">
        <f>AND(#REF!,"AAAAAFn/t6o=")</f>
        <v>#REF!</v>
      </c>
      <c r="FP169" t="e">
        <f>AND(#REF!,"AAAAAFn/t6s=")</f>
        <v>#REF!</v>
      </c>
      <c r="FQ169" t="e">
        <f>AND(#REF!,"AAAAAFn/t6w=")</f>
        <v>#REF!</v>
      </c>
      <c r="FR169" t="e">
        <f>AND(#REF!,"AAAAAFn/t60=")</f>
        <v>#REF!</v>
      </c>
      <c r="FS169" t="e">
        <f>AND(#REF!,"AAAAAFn/t64=")</f>
        <v>#REF!</v>
      </c>
      <c r="FT169" t="e">
        <f>AND(#REF!,"AAAAAFn/t68=")</f>
        <v>#REF!</v>
      </c>
      <c r="FU169" t="e">
        <f>AND(#REF!,"AAAAAFn/t7A=")</f>
        <v>#REF!</v>
      </c>
      <c r="FV169" t="e">
        <f>AND(#REF!,"AAAAAFn/t7E=")</f>
        <v>#REF!</v>
      </c>
      <c r="FW169" t="e">
        <f>IF(#REF!,"AAAAAFn/t7I=",0)</f>
        <v>#REF!</v>
      </c>
      <c r="FX169" t="e">
        <f>AND(#REF!,"AAAAAFn/t7M=")</f>
        <v>#REF!</v>
      </c>
      <c r="FY169" t="e">
        <f>AND(#REF!,"AAAAAFn/t7Q=")</f>
        <v>#REF!</v>
      </c>
      <c r="FZ169" t="e">
        <f>AND(#REF!,"AAAAAFn/t7U=")</f>
        <v>#REF!</v>
      </c>
      <c r="GA169" t="e">
        <f>AND(#REF!,"AAAAAFn/t7Y=")</f>
        <v>#REF!</v>
      </c>
      <c r="GB169" t="e">
        <f>AND(#REF!,"AAAAAFn/t7c=")</f>
        <v>#REF!</v>
      </c>
      <c r="GC169" t="e">
        <f>AND(#REF!,"AAAAAFn/t7g=")</f>
        <v>#REF!</v>
      </c>
      <c r="GD169" t="e">
        <f>AND(#REF!,"AAAAAFn/t7k=")</f>
        <v>#REF!</v>
      </c>
      <c r="GE169" t="e">
        <f>AND(#REF!,"AAAAAFn/t7o=")</f>
        <v>#REF!</v>
      </c>
      <c r="GF169" t="e">
        <f>AND(#REF!,"AAAAAFn/t7s=")</f>
        <v>#REF!</v>
      </c>
      <c r="GG169" t="e">
        <f>AND(#REF!,"AAAAAFn/t7w=")</f>
        <v>#REF!</v>
      </c>
      <c r="GH169" t="e">
        <f>AND(#REF!,"AAAAAFn/t70=")</f>
        <v>#REF!</v>
      </c>
      <c r="GI169" t="e">
        <f>AND(#REF!,"AAAAAFn/t74=")</f>
        <v>#REF!</v>
      </c>
      <c r="GJ169" t="e">
        <f>AND(#REF!,"AAAAAFn/t78=")</f>
        <v>#REF!</v>
      </c>
      <c r="GK169" t="e">
        <f>AND(#REF!,"AAAAAFn/t8A=")</f>
        <v>#REF!</v>
      </c>
      <c r="GL169" t="e">
        <f>AND(#REF!,"AAAAAFn/t8E=")</f>
        <v>#REF!</v>
      </c>
      <c r="GM169" t="e">
        <f>AND(#REF!,"AAAAAFn/t8I=")</f>
        <v>#REF!</v>
      </c>
      <c r="GN169" t="e">
        <f>AND(#REF!,"AAAAAFn/t8M=")</f>
        <v>#REF!</v>
      </c>
      <c r="GO169" t="e">
        <f>AND(#REF!,"AAAAAFn/t8Q=")</f>
        <v>#REF!</v>
      </c>
      <c r="GP169" t="e">
        <f>AND(#REF!,"AAAAAFn/t8U=")</f>
        <v>#REF!</v>
      </c>
      <c r="GQ169" t="e">
        <f>AND(#REF!,"AAAAAFn/t8Y=")</f>
        <v>#REF!</v>
      </c>
      <c r="GR169" t="e">
        <f>AND(#REF!,"AAAAAFn/t8c=")</f>
        <v>#REF!</v>
      </c>
      <c r="GS169" t="e">
        <f>IF(#REF!,"AAAAAFn/t8g=",0)</f>
        <v>#REF!</v>
      </c>
      <c r="GT169" t="e">
        <f>AND(#REF!,"AAAAAFn/t8k=")</f>
        <v>#REF!</v>
      </c>
      <c r="GU169" t="e">
        <f>AND(#REF!,"AAAAAFn/t8o=")</f>
        <v>#REF!</v>
      </c>
      <c r="GV169" t="e">
        <f>AND(#REF!,"AAAAAFn/t8s=")</f>
        <v>#REF!</v>
      </c>
      <c r="GW169" t="e">
        <f>AND(#REF!,"AAAAAFn/t8w=")</f>
        <v>#REF!</v>
      </c>
      <c r="GX169" t="e">
        <f>AND(#REF!,"AAAAAFn/t80=")</f>
        <v>#REF!</v>
      </c>
      <c r="GY169" t="e">
        <f>AND(#REF!,"AAAAAFn/t84=")</f>
        <v>#REF!</v>
      </c>
      <c r="GZ169" t="e">
        <f>AND(#REF!,"AAAAAFn/t88=")</f>
        <v>#REF!</v>
      </c>
      <c r="HA169" t="e">
        <f>AND(#REF!,"AAAAAFn/t9A=")</f>
        <v>#REF!</v>
      </c>
      <c r="HB169" t="e">
        <f>AND(#REF!,"AAAAAFn/t9E=")</f>
        <v>#REF!</v>
      </c>
      <c r="HC169" t="e">
        <f>AND(#REF!,"AAAAAFn/t9I=")</f>
        <v>#REF!</v>
      </c>
      <c r="HD169" t="e">
        <f>AND(#REF!,"AAAAAFn/t9M=")</f>
        <v>#REF!</v>
      </c>
      <c r="HE169" t="e">
        <f>AND(#REF!,"AAAAAFn/t9Q=")</f>
        <v>#REF!</v>
      </c>
      <c r="HF169" t="e">
        <f>AND(#REF!,"AAAAAFn/t9U=")</f>
        <v>#REF!</v>
      </c>
      <c r="HG169" t="e">
        <f>AND(#REF!,"AAAAAFn/t9Y=")</f>
        <v>#REF!</v>
      </c>
      <c r="HH169" t="e">
        <f>AND(#REF!,"AAAAAFn/t9c=")</f>
        <v>#REF!</v>
      </c>
      <c r="HI169" t="e">
        <f>AND(#REF!,"AAAAAFn/t9g=")</f>
        <v>#REF!</v>
      </c>
      <c r="HJ169" t="e">
        <f>AND(#REF!,"AAAAAFn/t9k=")</f>
        <v>#REF!</v>
      </c>
      <c r="HK169" t="e">
        <f>AND(#REF!,"AAAAAFn/t9o=")</f>
        <v>#REF!</v>
      </c>
      <c r="HL169" t="e">
        <f>AND(#REF!,"AAAAAFn/t9s=")</f>
        <v>#REF!</v>
      </c>
      <c r="HM169" t="e">
        <f>AND(#REF!,"AAAAAFn/t9w=")</f>
        <v>#REF!</v>
      </c>
      <c r="HN169" t="e">
        <f>AND(#REF!,"AAAAAFn/t90=")</f>
        <v>#REF!</v>
      </c>
      <c r="HO169" t="e">
        <f>IF(#REF!,"AAAAAFn/t94=",0)</f>
        <v>#REF!</v>
      </c>
      <c r="HP169" t="e">
        <f>AND(#REF!,"AAAAAFn/t98=")</f>
        <v>#REF!</v>
      </c>
      <c r="HQ169" t="e">
        <f>AND(#REF!,"AAAAAFn/t+A=")</f>
        <v>#REF!</v>
      </c>
      <c r="HR169" t="e">
        <f>AND(#REF!,"AAAAAFn/t+E=")</f>
        <v>#REF!</v>
      </c>
      <c r="HS169" t="e">
        <f>AND(#REF!,"AAAAAFn/t+I=")</f>
        <v>#REF!</v>
      </c>
      <c r="HT169" t="e">
        <f>AND(#REF!,"AAAAAFn/t+M=")</f>
        <v>#REF!</v>
      </c>
      <c r="HU169" t="e">
        <f>AND(#REF!,"AAAAAFn/t+Q=")</f>
        <v>#REF!</v>
      </c>
      <c r="HV169" t="e">
        <f>AND(#REF!,"AAAAAFn/t+U=")</f>
        <v>#REF!</v>
      </c>
      <c r="HW169" t="e">
        <f>AND(#REF!,"AAAAAFn/t+Y=")</f>
        <v>#REF!</v>
      </c>
      <c r="HX169" t="e">
        <f>AND(#REF!,"AAAAAFn/t+c=")</f>
        <v>#REF!</v>
      </c>
      <c r="HY169" t="e">
        <f>AND(#REF!,"AAAAAFn/t+g=")</f>
        <v>#REF!</v>
      </c>
      <c r="HZ169" t="e">
        <f>AND(#REF!,"AAAAAFn/t+k=")</f>
        <v>#REF!</v>
      </c>
      <c r="IA169" t="e">
        <f>AND(#REF!,"AAAAAFn/t+o=")</f>
        <v>#REF!</v>
      </c>
      <c r="IB169" t="e">
        <f>AND(#REF!,"AAAAAFn/t+s=")</f>
        <v>#REF!</v>
      </c>
      <c r="IC169" t="e">
        <f>AND(#REF!,"AAAAAFn/t+w=")</f>
        <v>#REF!</v>
      </c>
      <c r="ID169" t="e">
        <f>AND(#REF!,"AAAAAFn/t+0=")</f>
        <v>#REF!</v>
      </c>
      <c r="IE169" t="e">
        <f>AND(#REF!,"AAAAAFn/t+4=")</f>
        <v>#REF!</v>
      </c>
      <c r="IF169" t="e">
        <f>AND(#REF!,"AAAAAFn/t+8=")</f>
        <v>#REF!</v>
      </c>
      <c r="IG169" t="e">
        <f>AND(#REF!,"AAAAAFn/t/A=")</f>
        <v>#REF!</v>
      </c>
      <c r="IH169" t="e">
        <f>AND(#REF!,"AAAAAFn/t/E=")</f>
        <v>#REF!</v>
      </c>
      <c r="II169" t="e">
        <f>AND(#REF!,"AAAAAFn/t/I=")</f>
        <v>#REF!</v>
      </c>
      <c r="IJ169" t="e">
        <f>AND(#REF!,"AAAAAFn/t/M=")</f>
        <v>#REF!</v>
      </c>
      <c r="IK169" t="e">
        <f>IF(#REF!,"AAAAAFn/t/Q=",0)</f>
        <v>#REF!</v>
      </c>
      <c r="IL169" t="e">
        <f>AND(#REF!,"AAAAAFn/t/U=")</f>
        <v>#REF!</v>
      </c>
      <c r="IM169" t="e">
        <f>AND(#REF!,"AAAAAFn/t/Y=")</f>
        <v>#REF!</v>
      </c>
      <c r="IN169" t="e">
        <f>AND(#REF!,"AAAAAFn/t/c=")</f>
        <v>#REF!</v>
      </c>
      <c r="IO169" t="e">
        <f>AND(#REF!,"AAAAAFn/t/g=")</f>
        <v>#REF!</v>
      </c>
      <c r="IP169" t="e">
        <f>AND(#REF!,"AAAAAFn/t/k=")</f>
        <v>#REF!</v>
      </c>
      <c r="IQ169" t="e">
        <f>AND(#REF!,"AAAAAFn/t/o=")</f>
        <v>#REF!</v>
      </c>
      <c r="IR169" t="e">
        <f>AND(#REF!,"AAAAAFn/t/s=")</f>
        <v>#REF!</v>
      </c>
      <c r="IS169" t="e">
        <f>AND(#REF!,"AAAAAFn/t/w=")</f>
        <v>#REF!</v>
      </c>
      <c r="IT169" t="e">
        <f>AND(#REF!,"AAAAAFn/t/0=")</f>
        <v>#REF!</v>
      </c>
      <c r="IU169" t="e">
        <f>AND(#REF!,"AAAAAFn/t/4=")</f>
        <v>#REF!</v>
      </c>
      <c r="IV169" t="e">
        <f>AND(#REF!,"AAAAAFn/t/8=")</f>
        <v>#REF!</v>
      </c>
    </row>
    <row r="170" spans="1:256" x14ac:dyDescent="0.25">
      <c r="A170" t="e">
        <f>AND(#REF!,"AAAAAG/++wA=")</f>
        <v>#REF!</v>
      </c>
      <c r="B170" t="e">
        <f>AND(#REF!,"AAAAAG/++wE=")</f>
        <v>#REF!</v>
      </c>
      <c r="C170" t="e">
        <f>AND(#REF!,"AAAAAG/++wI=")</f>
        <v>#REF!</v>
      </c>
      <c r="D170" t="e">
        <f>AND(#REF!,"AAAAAG/++wM=")</f>
        <v>#REF!</v>
      </c>
      <c r="E170" t="e">
        <f>AND(#REF!,"AAAAAG/++wQ=")</f>
        <v>#REF!</v>
      </c>
      <c r="F170" t="e">
        <f>AND(#REF!,"AAAAAG/++wU=")</f>
        <v>#REF!</v>
      </c>
      <c r="G170" t="e">
        <f>AND(#REF!,"AAAAAG/++wY=")</f>
        <v>#REF!</v>
      </c>
      <c r="H170" t="e">
        <f>AND(#REF!,"AAAAAG/++wc=")</f>
        <v>#REF!</v>
      </c>
      <c r="I170" t="e">
        <f>AND(#REF!,"AAAAAG/++wg=")</f>
        <v>#REF!</v>
      </c>
      <c r="J170" t="e">
        <f>AND(#REF!,"AAAAAG/++wk=")</f>
        <v>#REF!</v>
      </c>
      <c r="K170" t="e">
        <f>IF(#REF!,"AAAAAG/++wo=",0)</f>
        <v>#REF!</v>
      </c>
      <c r="L170" t="e">
        <f>AND(#REF!,"AAAAAG/++ws=")</f>
        <v>#REF!</v>
      </c>
      <c r="M170" t="e">
        <f>AND(#REF!,"AAAAAG/++ww=")</f>
        <v>#REF!</v>
      </c>
      <c r="N170" t="e">
        <f>AND(#REF!,"AAAAAG/++w0=")</f>
        <v>#REF!</v>
      </c>
      <c r="O170" t="e">
        <f>AND(#REF!,"AAAAAG/++w4=")</f>
        <v>#REF!</v>
      </c>
      <c r="P170" t="e">
        <f>AND(#REF!,"AAAAAG/++w8=")</f>
        <v>#REF!</v>
      </c>
      <c r="Q170" t="e">
        <f>AND(#REF!,"AAAAAG/++xA=")</f>
        <v>#REF!</v>
      </c>
      <c r="R170" t="e">
        <f>AND(#REF!,"AAAAAG/++xE=")</f>
        <v>#REF!</v>
      </c>
      <c r="S170" t="e">
        <f>AND(#REF!,"AAAAAG/++xI=")</f>
        <v>#REF!</v>
      </c>
      <c r="T170" t="e">
        <f>AND(#REF!,"AAAAAG/++xM=")</f>
        <v>#REF!</v>
      </c>
      <c r="U170" t="e">
        <f>AND(#REF!,"AAAAAG/++xQ=")</f>
        <v>#REF!</v>
      </c>
      <c r="V170" t="e">
        <f>AND(#REF!,"AAAAAG/++xU=")</f>
        <v>#REF!</v>
      </c>
      <c r="W170" t="e">
        <f>AND(#REF!,"AAAAAG/++xY=")</f>
        <v>#REF!</v>
      </c>
      <c r="X170" t="e">
        <f>AND(#REF!,"AAAAAG/++xc=")</f>
        <v>#REF!</v>
      </c>
      <c r="Y170" t="e">
        <f>AND(#REF!,"AAAAAG/++xg=")</f>
        <v>#REF!</v>
      </c>
      <c r="Z170" t="e">
        <f>AND(#REF!,"AAAAAG/++xk=")</f>
        <v>#REF!</v>
      </c>
      <c r="AA170" t="e">
        <f>AND(#REF!,"AAAAAG/++xo=")</f>
        <v>#REF!</v>
      </c>
      <c r="AB170" t="e">
        <f>AND(#REF!,"AAAAAG/++xs=")</f>
        <v>#REF!</v>
      </c>
      <c r="AC170" t="e">
        <f>AND(#REF!,"AAAAAG/++xw=")</f>
        <v>#REF!</v>
      </c>
      <c r="AD170" t="e">
        <f>AND(#REF!,"AAAAAG/++x0=")</f>
        <v>#REF!</v>
      </c>
      <c r="AE170" t="e">
        <f>AND(#REF!,"AAAAAG/++x4=")</f>
        <v>#REF!</v>
      </c>
      <c r="AF170" t="e">
        <f>AND(#REF!,"AAAAAG/++x8=")</f>
        <v>#REF!</v>
      </c>
      <c r="AG170" t="e">
        <f>IF(#REF!,"AAAAAG/++yA=",0)</f>
        <v>#REF!</v>
      </c>
      <c r="AH170" t="e">
        <f>AND(#REF!,"AAAAAG/++yE=")</f>
        <v>#REF!</v>
      </c>
      <c r="AI170" t="e">
        <f>AND(#REF!,"AAAAAG/++yI=")</f>
        <v>#REF!</v>
      </c>
      <c r="AJ170" t="e">
        <f>AND(#REF!,"AAAAAG/++yM=")</f>
        <v>#REF!</v>
      </c>
      <c r="AK170" t="e">
        <f>AND(#REF!,"AAAAAG/++yQ=")</f>
        <v>#REF!</v>
      </c>
      <c r="AL170" t="e">
        <f>AND(#REF!,"AAAAAG/++yU=")</f>
        <v>#REF!</v>
      </c>
      <c r="AM170" t="e">
        <f>AND(#REF!,"AAAAAG/++yY=")</f>
        <v>#REF!</v>
      </c>
      <c r="AN170" t="e">
        <f>AND(#REF!,"AAAAAG/++yc=")</f>
        <v>#REF!</v>
      </c>
      <c r="AO170" t="e">
        <f>AND(#REF!,"AAAAAG/++yg=")</f>
        <v>#REF!</v>
      </c>
      <c r="AP170" t="e">
        <f>AND(#REF!,"AAAAAG/++yk=")</f>
        <v>#REF!</v>
      </c>
      <c r="AQ170" t="e">
        <f>AND(#REF!,"AAAAAG/++yo=")</f>
        <v>#REF!</v>
      </c>
      <c r="AR170" t="e">
        <f>AND(#REF!,"AAAAAG/++ys=")</f>
        <v>#REF!</v>
      </c>
      <c r="AS170" t="e">
        <f>AND(#REF!,"AAAAAG/++yw=")</f>
        <v>#REF!</v>
      </c>
      <c r="AT170" t="e">
        <f>AND(#REF!,"AAAAAG/++y0=")</f>
        <v>#REF!</v>
      </c>
      <c r="AU170" t="e">
        <f>AND(#REF!,"AAAAAG/++y4=")</f>
        <v>#REF!</v>
      </c>
      <c r="AV170" t="e">
        <f>AND(#REF!,"AAAAAG/++y8=")</f>
        <v>#REF!</v>
      </c>
      <c r="AW170" t="e">
        <f>AND(#REF!,"AAAAAG/++zA=")</f>
        <v>#REF!</v>
      </c>
      <c r="AX170" t="e">
        <f>AND(#REF!,"AAAAAG/++zE=")</f>
        <v>#REF!</v>
      </c>
      <c r="AY170" t="e">
        <f>AND(#REF!,"AAAAAG/++zI=")</f>
        <v>#REF!</v>
      </c>
      <c r="AZ170" t="e">
        <f>AND(#REF!,"AAAAAG/++zM=")</f>
        <v>#REF!</v>
      </c>
      <c r="BA170" t="e">
        <f>AND(#REF!,"AAAAAG/++zQ=")</f>
        <v>#REF!</v>
      </c>
      <c r="BB170" t="e">
        <f>AND(#REF!,"AAAAAG/++zU=")</f>
        <v>#REF!</v>
      </c>
      <c r="BC170" t="e">
        <f>IF(#REF!,"AAAAAG/++zY=",0)</f>
        <v>#REF!</v>
      </c>
      <c r="BD170" t="e">
        <f>AND(#REF!,"AAAAAG/++zc=")</f>
        <v>#REF!</v>
      </c>
      <c r="BE170" t="e">
        <f>AND(#REF!,"AAAAAG/++zg=")</f>
        <v>#REF!</v>
      </c>
      <c r="BF170" t="e">
        <f>AND(#REF!,"AAAAAG/++zk=")</f>
        <v>#REF!</v>
      </c>
      <c r="BG170" t="e">
        <f>AND(#REF!,"AAAAAG/++zo=")</f>
        <v>#REF!</v>
      </c>
      <c r="BH170" t="e">
        <f>AND(#REF!,"AAAAAG/++zs=")</f>
        <v>#REF!</v>
      </c>
      <c r="BI170" t="e">
        <f>AND(#REF!,"AAAAAG/++zw=")</f>
        <v>#REF!</v>
      </c>
      <c r="BJ170" t="e">
        <f>AND(#REF!,"AAAAAG/++z0=")</f>
        <v>#REF!</v>
      </c>
      <c r="BK170" t="e">
        <f>AND(#REF!,"AAAAAG/++z4=")</f>
        <v>#REF!</v>
      </c>
      <c r="BL170" t="e">
        <f>AND(#REF!,"AAAAAG/++z8=")</f>
        <v>#REF!</v>
      </c>
      <c r="BM170" t="e">
        <f>AND(#REF!,"AAAAAG/++0A=")</f>
        <v>#REF!</v>
      </c>
      <c r="BN170" t="e">
        <f>AND(#REF!,"AAAAAG/++0E=")</f>
        <v>#REF!</v>
      </c>
      <c r="BO170" t="e">
        <f>AND(#REF!,"AAAAAG/++0I=")</f>
        <v>#REF!</v>
      </c>
      <c r="BP170" t="e">
        <f>AND(#REF!,"AAAAAG/++0M=")</f>
        <v>#REF!</v>
      </c>
      <c r="BQ170" t="e">
        <f>AND(#REF!,"AAAAAG/++0Q=")</f>
        <v>#REF!</v>
      </c>
      <c r="BR170" t="e">
        <f>AND(#REF!,"AAAAAG/++0U=")</f>
        <v>#REF!</v>
      </c>
      <c r="BS170" t="e">
        <f>AND(#REF!,"AAAAAG/++0Y=")</f>
        <v>#REF!</v>
      </c>
      <c r="BT170" t="e">
        <f>AND(#REF!,"AAAAAG/++0c=")</f>
        <v>#REF!</v>
      </c>
      <c r="BU170" t="e">
        <f>AND(#REF!,"AAAAAG/++0g=")</f>
        <v>#REF!</v>
      </c>
      <c r="BV170" t="e">
        <f>AND(#REF!,"AAAAAG/++0k=")</f>
        <v>#REF!</v>
      </c>
      <c r="BW170" t="e">
        <f>AND(#REF!,"AAAAAG/++0o=")</f>
        <v>#REF!</v>
      </c>
      <c r="BX170" t="e">
        <f>AND(#REF!,"AAAAAG/++0s=")</f>
        <v>#REF!</v>
      </c>
      <c r="BY170" t="e">
        <f>IF(#REF!,"AAAAAG/++0w=",0)</f>
        <v>#REF!</v>
      </c>
      <c r="BZ170" t="e">
        <f>AND(#REF!,"AAAAAG/++00=")</f>
        <v>#REF!</v>
      </c>
      <c r="CA170" t="e">
        <f>AND(#REF!,"AAAAAG/++04=")</f>
        <v>#REF!</v>
      </c>
      <c r="CB170" t="e">
        <f>AND(#REF!,"AAAAAG/++08=")</f>
        <v>#REF!</v>
      </c>
      <c r="CC170" t="e">
        <f>AND(#REF!,"AAAAAG/++1A=")</f>
        <v>#REF!</v>
      </c>
      <c r="CD170" t="e">
        <f>AND(#REF!,"AAAAAG/++1E=")</f>
        <v>#REF!</v>
      </c>
      <c r="CE170" t="e">
        <f>AND(#REF!,"AAAAAG/++1I=")</f>
        <v>#REF!</v>
      </c>
      <c r="CF170" t="e">
        <f>AND(#REF!,"AAAAAG/++1M=")</f>
        <v>#REF!</v>
      </c>
      <c r="CG170" t="e">
        <f>AND(#REF!,"AAAAAG/++1Q=")</f>
        <v>#REF!</v>
      </c>
      <c r="CH170" t="e">
        <f>AND(#REF!,"AAAAAG/++1U=")</f>
        <v>#REF!</v>
      </c>
      <c r="CI170" t="e">
        <f>AND(#REF!,"AAAAAG/++1Y=")</f>
        <v>#REF!</v>
      </c>
      <c r="CJ170" t="e">
        <f>AND(#REF!,"AAAAAG/++1c=")</f>
        <v>#REF!</v>
      </c>
      <c r="CK170" t="e">
        <f>AND(#REF!,"AAAAAG/++1g=")</f>
        <v>#REF!</v>
      </c>
      <c r="CL170" t="e">
        <f>AND(#REF!,"AAAAAG/++1k=")</f>
        <v>#REF!</v>
      </c>
      <c r="CM170" t="e">
        <f>AND(#REF!,"AAAAAG/++1o=")</f>
        <v>#REF!</v>
      </c>
      <c r="CN170" t="e">
        <f>AND(#REF!,"AAAAAG/++1s=")</f>
        <v>#REF!</v>
      </c>
      <c r="CO170" t="e">
        <f>AND(#REF!,"AAAAAG/++1w=")</f>
        <v>#REF!</v>
      </c>
      <c r="CP170" t="e">
        <f>AND(#REF!,"AAAAAG/++10=")</f>
        <v>#REF!</v>
      </c>
      <c r="CQ170" t="e">
        <f>AND(#REF!,"AAAAAG/++14=")</f>
        <v>#REF!</v>
      </c>
      <c r="CR170" t="e">
        <f>AND(#REF!,"AAAAAG/++18=")</f>
        <v>#REF!</v>
      </c>
      <c r="CS170" t="e">
        <f>AND(#REF!,"AAAAAG/++2A=")</f>
        <v>#REF!</v>
      </c>
      <c r="CT170" t="e">
        <f>AND(#REF!,"AAAAAG/++2E=")</f>
        <v>#REF!</v>
      </c>
      <c r="CU170" t="e">
        <f>IF(#REF!,"AAAAAG/++2I=",0)</f>
        <v>#REF!</v>
      </c>
      <c r="CV170" t="e">
        <f>IF(#REF!,"AAAAAG/++2M=",0)</f>
        <v>#REF!</v>
      </c>
      <c r="CW170" t="e">
        <f>IF(#REF!,"AAAAAG/++2Q=",0)</f>
        <v>#REF!</v>
      </c>
      <c r="CX170" t="e">
        <f>IF(#REF!,"AAAAAG/++2U=",0)</f>
        <v>#REF!</v>
      </c>
      <c r="CY170" t="e">
        <f>IF(#REF!,"AAAAAG/++2Y=",0)</f>
        <v>#REF!</v>
      </c>
      <c r="CZ170" t="e">
        <f>IF(#REF!,"AAAAAG/++2c=",0)</f>
        <v>#REF!</v>
      </c>
      <c r="DA170" t="e">
        <f>IF(#REF!,"AAAAAG/++2g=",0)</f>
        <v>#REF!</v>
      </c>
      <c r="DB170" t="e">
        <f>IF(#REF!,"AAAAAG/++2k=",0)</f>
        <v>#REF!</v>
      </c>
      <c r="DC170" t="e">
        <f>IF(#REF!,"AAAAAG/++2o=",0)</f>
        <v>#REF!</v>
      </c>
      <c r="DD170" t="e">
        <f>IF(#REF!,"AAAAAG/++2s=",0)</f>
        <v>#REF!</v>
      </c>
      <c r="DE170" t="e">
        <f>IF(#REF!,"AAAAAG/++2w=",0)</f>
        <v>#REF!</v>
      </c>
      <c r="DF170" t="e">
        <f>IF(#REF!,"AAAAAG/++20=",0)</f>
        <v>#REF!</v>
      </c>
      <c r="DG170" t="e">
        <f>IF(#REF!,"AAAAAG/++24=",0)</f>
        <v>#REF!</v>
      </c>
      <c r="DH170" t="e">
        <f>IF(#REF!,"AAAAAG/++28=",0)</f>
        <v>#REF!</v>
      </c>
      <c r="DI170" t="e">
        <f>IF(#REF!,"AAAAAG/++3A=",0)</f>
        <v>#REF!</v>
      </c>
      <c r="DJ170" t="e">
        <f>IF(#REF!,"AAAAAG/++3E=",0)</f>
        <v>#REF!</v>
      </c>
      <c r="DK170" t="e">
        <f>IF(#REF!,"AAAAAG/++3I=",0)</f>
        <v>#REF!</v>
      </c>
      <c r="DL170" t="e">
        <f>IF(#REF!,"AAAAAG/++3M=",0)</f>
        <v>#REF!</v>
      </c>
      <c r="DM170" t="e">
        <f>IF(#REF!,"AAAAAG/++3Q=",0)</f>
        <v>#REF!</v>
      </c>
      <c r="DN170" t="e">
        <f>IF(#REF!,"AAAAAG/++3U=",0)</f>
        <v>#REF!</v>
      </c>
      <c r="DO170" t="e">
        <f>IF(#REF!,"AAAAAG/++3Y=",0)</f>
        <v>#REF!</v>
      </c>
      <c r="DP170" t="e">
        <f>IF(#REF!,"AAAAAG/++3c=",0)</f>
        <v>#REF!</v>
      </c>
      <c r="DQ170" t="e">
        <f>AND(#REF!,"AAAAAG/++3g=")</f>
        <v>#REF!</v>
      </c>
      <c r="DR170" t="e">
        <f>AND(#REF!,"AAAAAG/++3k=")</f>
        <v>#REF!</v>
      </c>
      <c r="DS170" t="e">
        <f>AND(#REF!,"AAAAAG/++3o=")</f>
        <v>#REF!</v>
      </c>
      <c r="DT170" t="e">
        <f>AND(#REF!,"AAAAAG/++3s=")</f>
        <v>#REF!</v>
      </c>
      <c r="DU170" t="e">
        <f>AND(#REF!,"AAAAAG/++3w=")</f>
        <v>#REF!</v>
      </c>
      <c r="DV170" t="e">
        <f>AND(#REF!,"AAAAAG/++30=")</f>
        <v>#REF!</v>
      </c>
      <c r="DW170" t="e">
        <f>AND(#REF!,"AAAAAG/++34=")</f>
        <v>#REF!</v>
      </c>
      <c r="DX170" t="e">
        <f>AND(#REF!,"AAAAAG/++38=")</f>
        <v>#REF!</v>
      </c>
      <c r="DY170" t="e">
        <f>AND(#REF!,"AAAAAG/++4A=")</f>
        <v>#REF!</v>
      </c>
      <c r="DZ170" t="e">
        <f>AND(#REF!,"AAAAAG/++4E=")</f>
        <v>#REF!</v>
      </c>
      <c r="EA170" t="e">
        <f>AND(#REF!,"AAAAAG/++4I=")</f>
        <v>#REF!</v>
      </c>
      <c r="EB170" t="e">
        <f>AND(#REF!,"AAAAAG/++4M=")</f>
        <v>#REF!</v>
      </c>
      <c r="EC170" t="e">
        <f>AND(#REF!,"AAAAAG/++4Q=")</f>
        <v>#REF!</v>
      </c>
      <c r="ED170" t="e">
        <f>AND(#REF!,"AAAAAG/++4U=")</f>
        <v>#REF!</v>
      </c>
      <c r="EE170" t="e">
        <f>AND(#REF!,"AAAAAG/++4Y=")</f>
        <v>#REF!</v>
      </c>
      <c r="EF170" t="e">
        <f>AND(#REF!,"AAAAAG/++4c=")</f>
        <v>#REF!</v>
      </c>
      <c r="EG170" t="e">
        <f>AND(#REF!,"AAAAAG/++4g=")</f>
        <v>#REF!</v>
      </c>
      <c r="EH170" t="e">
        <f>AND(#REF!,"AAAAAG/++4k=")</f>
        <v>#REF!</v>
      </c>
      <c r="EI170" t="e">
        <f>AND(#REF!,"AAAAAG/++4o=")</f>
        <v>#REF!</v>
      </c>
      <c r="EJ170" t="e">
        <f>AND(#REF!,"AAAAAG/++4s=")</f>
        <v>#REF!</v>
      </c>
      <c r="EK170" t="e">
        <f>AND(#REF!,"AAAAAG/++4w=")</f>
        <v>#REF!</v>
      </c>
      <c r="EL170" t="e">
        <f>AND(#REF!,"AAAAAG/++40=")</f>
        <v>#REF!</v>
      </c>
      <c r="EM170" t="e">
        <f>AND(#REF!,"AAAAAG/++44=")</f>
        <v>#REF!</v>
      </c>
      <c r="EN170" t="e">
        <f>AND(#REF!,"AAAAAG/++48=")</f>
        <v>#REF!</v>
      </c>
      <c r="EO170" t="e">
        <f>AND(#REF!,"AAAAAG/++5A=")</f>
        <v>#REF!</v>
      </c>
      <c r="EP170" t="e">
        <f>AND(#REF!,"AAAAAG/++5E=")</f>
        <v>#REF!</v>
      </c>
      <c r="EQ170" t="e">
        <f>AND(#REF!,"AAAAAG/++5I=")</f>
        <v>#REF!</v>
      </c>
      <c r="ER170" t="e">
        <f>AND(#REF!,"AAAAAG/++5M=")</f>
        <v>#REF!</v>
      </c>
      <c r="ES170" t="e">
        <f>AND(#REF!,"AAAAAG/++5Q=")</f>
        <v>#REF!</v>
      </c>
      <c r="ET170" t="e">
        <f>AND(#REF!,"AAAAAG/++5U=")</f>
        <v>#REF!</v>
      </c>
      <c r="EU170" t="e">
        <f>AND(#REF!,"AAAAAG/++5Y=")</f>
        <v>#REF!</v>
      </c>
      <c r="EV170" t="e">
        <f>AND(#REF!,"AAAAAG/++5c=")</f>
        <v>#REF!</v>
      </c>
      <c r="EW170" t="e">
        <f>AND(#REF!,"AAAAAG/++5g=")</f>
        <v>#REF!</v>
      </c>
      <c r="EX170" t="e">
        <f>AND(#REF!,"AAAAAG/++5k=")</f>
        <v>#REF!</v>
      </c>
      <c r="EY170" t="e">
        <f>AND(#REF!,"AAAAAG/++5o=")</f>
        <v>#REF!</v>
      </c>
      <c r="EZ170" t="e">
        <f>AND(#REF!,"AAAAAG/++5s=")</f>
        <v>#REF!</v>
      </c>
      <c r="FA170" t="e">
        <f>AND(#REF!,"AAAAAG/++5w=")</f>
        <v>#REF!</v>
      </c>
      <c r="FB170" t="e">
        <f>AND(#REF!,"AAAAAG/++50=")</f>
        <v>#REF!</v>
      </c>
      <c r="FC170" t="e">
        <f>AND(#REF!,"AAAAAG/++54=")</f>
        <v>#REF!</v>
      </c>
      <c r="FD170" t="e">
        <f>AND(#REF!,"AAAAAG/++58=")</f>
        <v>#REF!</v>
      </c>
      <c r="FE170" t="e">
        <f>AND(#REF!,"AAAAAG/++6A=")</f>
        <v>#REF!</v>
      </c>
      <c r="FF170" t="e">
        <f>AND(#REF!,"AAAAAG/++6E=")</f>
        <v>#REF!</v>
      </c>
      <c r="FG170" t="e">
        <f>AND(#REF!,"AAAAAG/++6I=")</f>
        <v>#REF!</v>
      </c>
      <c r="FH170" t="e">
        <f>AND(#REF!,"AAAAAG/++6M=")</f>
        <v>#REF!</v>
      </c>
      <c r="FI170" t="e">
        <f>AND(#REF!,"AAAAAG/++6Q=")</f>
        <v>#REF!</v>
      </c>
      <c r="FJ170" t="e">
        <f>AND(#REF!,"AAAAAG/++6U=")</f>
        <v>#REF!</v>
      </c>
      <c r="FK170" t="e">
        <f>AND(#REF!,"AAAAAG/++6Y=")</f>
        <v>#REF!</v>
      </c>
      <c r="FL170" t="e">
        <f>AND(#REF!,"AAAAAG/++6c=")</f>
        <v>#REF!</v>
      </c>
      <c r="FM170" t="e">
        <f>AND(#REF!,"AAAAAG/++6g=")</f>
        <v>#REF!</v>
      </c>
      <c r="FN170" t="e">
        <f>AND(#REF!,"AAAAAG/++6k=")</f>
        <v>#REF!</v>
      </c>
      <c r="FO170" t="e">
        <f>AND(#REF!,"AAAAAG/++6o=")</f>
        <v>#REF!</v>
      </c>
      <c r="FP170" t="e">
        <f>AND(#REF!,"AAAAAG/++6s=")</f>
        <v>#REF!</v>
      </c>
      <c r="FQ170" t="e">
        <f>AND(#REF!,"AAAAAG/++6w=")</f>
        <v>#REF!</v>
      </c>
      <c r="FR170" t="e">
        <f>AND(#REF!,"AAAAAG/++60=")</f>
        <v>#REF!</v>
      </c>
      <c r="FS170" t="e">
        <f>AND(#REF!,"AAAAAG/++64=")</f>
        <v>#REF!</v>
      </c>
      <c r="FT170" t="e">
        <f>AND(#REF!,"AAAAAG/++68=")</f>
        <v>#REF!</v>
      </c>
      <c r="FU170" t="e">
        <f>AND(#REF!,"AAAAAG/++7A=")</f>
        <v>#REF!</v>
      </c>
      <c r="FV170" t="e">
        <f>AND(#REF!,"AAAAAG/++7E=")</f>
        <v>#REF!</v>
      </c>
      <c r="FW170" t="e">
        <f>AND(#REF!,"AAAAAG/++7I=")</f>
        <v>#REF!</v>
      </c>
      <c r="FX170" t="e">
        <f>AND(#REF!,"AAAAAG/++7M=")</f>
        <v>#REF!</v>
      </c>
      <c r="FY170" t="e">
        <f>AND(#REF!,"AAAAAG/++7Q=")</f>
        <v>#REF!</v>
      </c>
      <c r="FZ170" t="e">
        <f>AND(#REF!,"AAAAAG/++7U=")</f>
        <v>#REF!</v>
      </c>
      <c r="GA170" t="e">
        <f>AND(#REF!,"AAAAAG/++7Y=")</f>
        <v>#REF!</v>
      </c>
      <c r="GB170" t="e">
        <f>AND(#REF!,"AAAAAG/++7c=")</f>
        <v>#REF!</v>
      </c>
      <c r="GC170" t="e">
        <f>AND(#REF!,"AAAAAG/++7g=")</f>
        <v>#REF!</v>
      </c>
      <c r="GD170" t="e">
        <f>AND(#REF!,"AAAAAG/++7k=")</f>
        <v>#REF!</v>
      </c>
      <c r="GE170" t="e">
        <f>AND(#REF!,"AAAAAG/++7o=")</f>
        <v>#REF!</v>
      </c>
      <c r="GF170" t="e">
        <f>AND(#REF!,"AAAAAG/++7s=")</f>
        <v>#REF!</v>
      </c>
      <c r="GG170" t="e">
        <f>IF(#REF!,"AAAAAG/++7w=",0)</f>
        <v>#REF!</v>
      </c>
      <c r="GH170" t="e">
        <f>AND(#REF!,"AAAAAG/++70=")</f>
        <v>#REF!</v>
      </c>
      <c r="GI170" t="e">
        <f>AND(#REF!,"AAAAAG/++74=")</f>
        <v>#REF!</v>
      </c>
      <c r="GJ170" t="e">
        <f>AND(#REF!,"AAAAAG/++78=")</f>
        <v>#REF!</v>
      </c>
      <c r="GK170" t="e">
        <f>AND(#REF!,"AAAAAG/++8A=")</f>
        <v>#REF!</v>
      </c>
      <c r="GL170" t="e">
        <f>AND(#REF!,"AAAAAG/++8E=")</f>
        <v>#REF!</v>
      </c>
      <c r="GM170" t="e">
        <f>AND(#REF!,"AAAAAG/++8I=")</f>
        <v>#REF!</v>
      </c>
      <c r="GN170" t="e">
        <f>AND(#REF!,"AAAAAG/++8M=")</f>
        <v>#REF!</v>
      </c>
      <c r="GO170" t="e">
        <f>AND(#REF!,"AAAAAG/++8Q=")</f>
        <v>#REF!</v>
      </c>
      <c r="GP170" t="e">
        <f>AND(#REF!,"AAAAAG/++8U=")</f>
        <v>#REF!</v>
      </c>
      <c r="GQ170" t="e">
        <f>AND(#REF!,"AAAAAG/++8Y=")</f>
        <v>#REF!</v>
      </c>
      <c r="GR170" t="e">
        <f>AND(#REF!,"AAAAAG/++8c=")</f>
        <v>#REF!</v>
      </c>
      <c r="GS170" t="e">
        <f>AND(#REF!,"AAAAAG/++8g=")</f>
        <v>#REF!</v>
      </c>
      <c r="GT170" t="e">
        <f>AND(#REF!,"AAAAAG/++8k=")</f>
        <v>#REF!</v>
      </c>
      <c r="GU170" t="e">
        <f>AND(#REF!,"AAAAAG/++8o=")</f>
        <v>#REF!</v>
      </c>
      <c r="GV170" t="e">
        <f>AND(#REF!,"AAAAAG/++8s=")</f>
        <v>#REF!</v>
      </c>
      <c r="GW170" t="e">
        <f>AND(#REF!,"AAAAAG/++8w=")</f>
        <v>#REF!</v>
      </c>
      <c r="GX170" t="e">
        <f>AND(#REF!,"AAAAAG/++80=")</f>
        <v>#REF!</v>
      </c>
      <c r="GY170" t="e">
        <f>AND(#REF!,"AAAAAG/++84=")</f>
        <v>#REF!</v>
      </c>
      <c r="GZ170" t="e">
        <f>AND(#REF!,"AAAAAG/++88=")</f>
        <v>#REF!</v>
      </c>
      <c r="HA170" t="e">
        <f>AND(#REF!,"AAAAAG/++9A=")</f>
        <v>#REF!</v>
      </c>
      <c r="HB170" t="e">
        <f>AND(#REF!,"AAAAAG/++9E=")</f>
        <v>#REF!</v>
      </c>
      <c r="HC170" t="e">
        <f>AND(#REF!,"AAAAAG/++9I=")</f>
        <v>#REF!</v>
      </c>
      <c r="HD170" t="e">
        <f>AND(#REF!,"AAAAAG/++9M=")</f>
        <v>#REF!</v>
      </c>
      <c r="HE170" t="e">
        <f>AND(#REF!,"AAAAAG/++9Q=")</f>
        <v>#REF!</v>
      </c>
      <c r="HF170" t="e">
        <f>AND(#REF!,"AAAAAG/++9U=")</f>
        <v>#REF!</v>
      </c>
      <c r="HG170" t="e">
        <f>AND(#REF!,"AAAAAG/++9Y=")</f>
        <v>#REF!</v>
      </c>
      <c r="HH170" t="e">
        <f>AND(#REF!,"AAAAAG/++9c=")</f>
        <v>#REF!</v>
      </c>
      <c r="HI170" t="e">
        <f>AND(#REF!,"AAAAAG/++9g=")</f>
        <v>#REF!</v>
      </c>
      <c r="HJ170" t="e">
        <f>AND(#REF!,"AAAAAG/++9k=")</f>
        <v>#REF!</v>
      </c>
      <c r="HK170" t="e">
        <f>AND(#REF!,"AAAAAG/++9o=")</f>
        <v>#REF!</v>
      </c>
      <c r="HL170" t="e">
        <f>AND(#REF!,"AAAAAG/++9s=")</f>
        <v>#REF!</v>
      </c>
      <c r="HM170" t="e">
        <f>AND(#REF!,"AAAAAG/++9w=")</f>
        <v>#REF!</v>
      </c>
      <c r="HN170" t="e">
        <f>AND(#REF!,"AAAAAG/++90=")</f>
        <v>#REF!</v>
      </c>
      <c r="HO170" t="e">
        <f>AND(#REF!,"AAAAAG/++94=")</f>
        <v>#REF!</v>
      </c>
      <c r="HP170" t="e">
        <f>AND(#REF!,"AAAAAG/++98=")</f>
        <v>#REF!</v>
      </c>
      <c r="HQ170" t="e">
        <f>AND(#REF!,"AAAAAG/+++A=")</f>
        <v>#REF!</v>
      </c>
      <c r="HR170" t="e">
        <f>AND(#REF!,"AAAAAG/+++E=")</f>
        <v>#REF!</v>
      </c>
      <c r="HS170" t="e">
        <f>AND(#REF!,"AAAAAG/+++I=")</f>
        <v>#REF!</v>
      </c>
      <c r="HT170" t="e">
        <f>AND(#REF!,"AAAAAG/+++M=")</f>
        <v>#REF!</v>
      </c>
      <c r="HU170" t="e">
        <f>AND(#REF!,"AAAAAG/+++Q=")</f>
        <v>#REF!</v>
      </c>
      <c r="HV170" t="e">
        <f>AND(#REF!,"AAAAAG/+++U=")</f>
        <v>#REF!</v>
      </c>
      <c r="HW170" t="e">
        <f>AND(#REF!,"AAAAAG/+++Y=")</f>
        <v>#REF!</v>
      </c>
      <c r="HX170" t="e">
        <f>AND(#REF!,"AAAAAG/+++c=")</f>
        <v>#REF!</v>
      </c>
      <c r="HY170" t="e">
        <f>AND(#REF!,"AAAAAG/+++g=")</f>
        <v>#REF!</v>
      </c>
      <c r="HZ170" t="e">
        <f>AND(#REF!,"AAAAAG/+++k=")</f>
        <v>#REF!</v>
      </c>
      <c r="IA170" t="e">
        <f>AND(#REF!,"AAAAAG/+++o=")</f>
        <v>#REF!</v>
      </c>
      <c r="IB170" t="e">
        <f>AND(#REF!,"AAAAAG/+++s=")</f>
        <v>#REF!</v>
      </c>
      <c r="IC170" t="e">
        <f>AND(#REF!,"AAAAAG/+++w=")</f>
        <v>#REF!</v>
      </c>
      <c r="ID170" t="e">
        <f>AND(#REF!,"AAAAAG/+++0=")</f>
        <v>#REF!</v>
      </c>
      <c r="IE170" t="e">
        <f>AND(#REF!,"AAAAAG/+++4=")</f>
        <v>#REF!</v>
      </c>
      <c r="IF170" t="e">
        <f>AND(#REF!,"AAAAAG/+++8=")</f>
        <v>#REF!</v>
      </c>
      <c r="IG170" t="e">
        <f>AND(#REF!,"AAAAAG/++/A=")</f>
        <v>#REF!</v>
      </c>
      <c r="IH170" t="e">
        <f>AND(#REF!,"AAAAAG/++/E=")</f>
        <v>#REF!</v>
      </c>
      <c r="II170" t="e">
        <f>AND(#REF!,"AAAAAG/++/I=")</f>
        <v>#REF!</v>
      </c>
      <c r="IJ170" t="e">
        <f>AND(#REF!,"AAAAAG/++/M=")</f>
        <v>#REF!</v>
      </c>
      <c r="IK170" t="e">
        <f>AND(#REF!,"AAAAAG/++/Q=")</f>
        <v>#REF!</v>
      </c>
      <c r="IL170" t="e">
        <f>AND(#REF!,"AAAAAG/++/U=")</f>
        <v>#REF!</v>
      </c>
      <c r="IM170" t="e">
        <f>AND(#REF!,"AAAAAG/++/Y=")</f>
        <v>#REF!</v>
      </c>
      <c r="IN170" t="e">
        <f>AND(#REF!,"AAAAAG/++/c=")</f>
        <v>#REF!</v>
      </c>
      <c r="IO170" t="e">
        <f>AND(#REF!,"AAAAAG/++/g=")</f>
        <v>#REF!</v>
      </c>
      <c r="IP170" t="e">
        <f>AND(#REF!,"AAAAAG/++/k=")</f>
        <v>#REF!</v>
      </c>
      <c r="IQ170" t="e">
        <f>AND(#REF!,"AAAAAG/++/o=")</f>
        <v>#REF!</v>
      </c>
      <c r="IR170" t="e">
        <f>AND(#REF!,"AAAAAG/++/s=")</f>
        <v>#REF!</v>
      </c>
      <c r="IS170" t="e">
        <f>AND(#REF!,"AAAAAG/++/w=")</f>
        <v>#REF!</v>
      </c>
      <c r="IT170" t="e">
        <f>AND(#REF!,"AAAAAG/++/0=")</f>
        <v>#REF!</v>
      </c>
      <c r="IU170" t="e">
        <f>AND(#REF!,"AAAAAG/++/4=")</f>
        <v>#REF!</v>
      </c>
      <c r="IV170" t="e">
        <f>AND(#REF!,"AAAAAG/++/8=")</f>
        <v>#REF!</v>
      </c>
    </row>
    <row r="171" spans="1:256" x14ac:dyDescent="0.25">
      <c r="A171" t="e">
        <f>AND(#REF!,"AAAAAGVn/wA=")</f>
        <v>#REF!</v>
      </c>
      <c r="B171" t="e">
        <f>IF(#REF!,"AAAAAGVn/wE=",0)</f>
        <v>#REF!</v>
      </c>
      <c r="C171" t="e">
        <f>AND(#REF!,"AAAAAGVn/wI=")</f>
        <v>#REF!</v>
      </c>
      <c r="D171" t="e">
        <f>AND(#REF!,"AAAAAGVn/wM=")</f>
        <v>#REF!</v>
      </c>
      <c r="E171" t="e">
        <f>AND(#REF!,"AAAAAGVn/wQ=")</f>
        <v>#REF!</v>
      </c>
      <c r="F171" t="e">
        <f>AND(#REF!,"AAAAAGVn/wU=")</f>
        <v>#REF!</v>
      </c>
      <c r="G171" t="e">
        <f>AND(#REF!,"AAAAAGVn/wY=")</f>
        <v>#REF!</v>
      </c>
      <c r="H171" t="e">
        <f>AND(#REF!,"AAAAAGVn/wc=")</f>
        <v>#REF!</v>
      </c>
      <c r="I171" t="e">
        <f>AND(#REF!,"AAAAAGVn/wg=")</f>
        <v>#REF!</v>
      </c>
      <c r="J171" t="e">
        <f>AND(#REF!,"AAAAAGVn/wk=")</f>
        <v>#REF!</v>
      </c>
      <c r="K171" t="e">
        <f>AND(#REF!,"AAAAAGVn/wo=")</f>
        <v>#REF!</v>
      </c>
      <c r="L171" t="e">
        <f>AND(#REF!,"AAAAAGVn/ws=")</f>
        <v>#REF!</v>
      </c>
      <c r="M171" t="e">
        <f>AND(#REF!,"AAAAAGVn/ww=")</f>
        <v>#REF!</v>
      </c>
      <c r="N171" t="e">
        <f>AND(#REF!,"AAAAAGVn/w0=")</f>
        <v>#REF!</v>
      </c>
      <c r="O171" t="e">
        <f>AND(#REF!,"AAAAAGVn/w4=")</f>
        <v>#REF!</v>
      </c>
      <c r="P171" t="e">
        <f>AND(#REF!,"AAAAAGVn/w8=")</f>
        <v>#REF!</v>
      </c>
      <c r="Q171" t="e">
        <f>AND(#REF!,"AAAAAGVn/xA=")</f>
        <v>#REF!</v>
      </c>
      <c r="R171" t="e">
        <f>AND(#REF!,"AAAAAGVn/xE=")</f>
        <v>#REF!</v>
      </c>
      <c r="S171" t="e">
        <f>AND(#REF!,"AAAAAGVn/xI=")</f>
        <v>#REF!</v>
      </c>
      <c r="T171" t="e">
        <f>AND(#REF!,"AAAAAGVn/xM=")</f>
        <v>#REF!</v>
      </c>
      <c r="U171" t="e">
        <f>AND(#REF!,"AAAAAGVn/xQ=")</f>
        <v>#REF!</v>
      </c>
      <c r="V171" t="e">
        <f>AND(#REF!,"AAAAAGVn/xU=")</f>
        <v>#REF!</v>
      </c>
      <c r="W171" t="e">
        <f>AND(#REF!,"AAAAAGVn/xY=")</f>
        <v>#REF!</v>
      </c>
      <c r="X171" t="e">
        <f>AND(#REF!,"AAAAAGVn/xc=")</f>
        <v>#REF!</v>
      </c>
      <c r="Y171" t="e">
        <f>AND(#REF!,"AAAAAGVn/xg=")</f>
        <v>#REF!</v>
      </c>
      <c r="Z171" t="e">
        <f>AND(#REF!,"AAAAAGVn/xk=")</f>
        <v>#REF!</v>
      </c>
      <c r="AA171" t="e">
        <f>AND(#REF!,"AAAAAGVn/xo=")</f>
        <v>#REF!</v>
      </c>
      <c r="AB171" t="e">
        <f>AND(#REF!,"AAAAAGVn/xs=")</f>
        <v>#REF!</v>
      </c>
      <c r="AC171" t="e">
        <f>AND(#REF!,"AAAAAGVn/xw=")</f>
        <v>#REF!</v>
      </c>
      <c r="AD171" t="e">
        <f>AND(#REF!,"AAAAAGVn/x0=")</f>
        <v>#REF!</v>
      </c>
      <c r="AE171" t="e">
        <f>AND(#REF!,"AAAAAGVn/x4=")</f>
        <v>#REF!</v>
      </c>
      <c r="AF171" t="e">
        <f>AND(#REF!,"AAAAAGVn/x8=")</f>
        <v>#REF!</v>
      </c>
      <c r="AG171" t="e">
        <f>AND(#REF!,"AAAAAGVn/yA=")</f>
        <v>#REF!</v>
      </c>
      <c r="AH171" t="e">
        <f>AND(#REF!,"AAAAAGVn/yE=")</f>
        <v>#REF!</v>
      </c>
      <c r="AI171" t="e">
        <f>AND(#REF!,"AAAAAGVn/yI=")</f>
        <v>#REF!</v>
      </c>
      <c r="AJ171" t="e">
        <f>AND(#REF!,"AAAAAGVn/yM=")</f>
        <v>#REF!</v>
      </c>
      <c r="AK171" t="e">
        <f>AND(#REF!,"AAAAAGVn/yQ=")</f>
        <v>#REF!</v>
      </c>
      <c r="AL171" t="e">
        <f>AND(#REF!,"AAAAAGVn/yU=")</f>
        <v>#REF!</v>
      </c>
      <c r="AM171" t="e">
        <f>AND(#REF!,"AAAAAGVn/yY=")</f>
        <v>#REF!</v>
      </c>
      <c r="AN171" t="e">
        <f>AND(#REF!,"AAAAAGVn/yc=")</f>
        <v>#REF!</v>
      </c>
      <c r="AO171" t="e">
        <f>AND(#REF!,"AAAAAGVn/yg=")</f>
        <v>#REF!</v>
      </c>
      <c r="AP171" t="e">
        <f>AND(#REF!,"AAAAAGVn/yk=")</f>
        <v>#REF!</v>
      </c>
      <c r="AQ171" t="e">
        <f>AND(#REF!,"AAAAAGVn/yo=")</f>
        <v>#REF!</v>
      </c>
      <c r="AR171" t="e">
        <f>AND(#REF!,"AAAAAGVn/ys=")</f>
        <v>#REF!</v>
      </c>
      <c r="AS171" t="e">
        <f>AND(#REF!,"AAAAAGVn/yw=")</f>
        <v>#REF!</v>
      </c>
      <c r="AT171" t="e">
        <f>AND(#REF!,"AAAAAGVn/y0=")</f>
        <v>#REF!</v>
      </c>
      <c r="AU171" t="e">
        <f>AND(#REF!,"AAAAAGVn/y4=")</f>
        <v>#REF!</v>
      </c>
      <c r="AV171" t="e">
        <f>AND(#REF!,"AAAAAGVn/y8=")</f>
        <v>#REF!</v>
      </c>
      <c r="AW171" t="e">
        <f>AND(#REF!,"AAAAAGVn/zA=")</f>
        <v>#REF!</v>
      </c>
      <c r="AX171" t="e">
        <f>AND(#REF!,"AAAAAGVn/zE=")</f>
        <v>#REF!</v>
      </c>
      <c r="AY171" t="e">
        <f>AND(#REF!,"AAAAAGVn/zI=")</f>
        <v>#REF!</v>
      </c>
      <c r="AZ171" t="e">
        <f>AND(#REF!,"AAAAAGVn/zM=")</f>
        <v>#REF!</v>
      </c>
      <c r="BA171" t="e">
        <f>AND(#REF!,"AAAAAGVn/zQ=")</f>
        <v>#REF!</v>
      </c>
      <c r="BB171" t="e">
        <f>AND(#REF!,"AAAAAGVn/zU=")</f>
        <v>#REF!</v>
      </c>
      <c r="BC171" t="e">
        <f>AND(#REF!,"AAAAAGVn/zY=")</f>
        <v>#REF!</v>
      </c>
      <c r="BD171" t="e">
        <f>AND(#REF!,"AAAAAGVn/zc=")</f>
        <v>#REF!</v>
      </c>
      <c r="BE171" t="e">
        <f>AND(#REF!,"AAAAAGVn/zg=")</f>
        <v>#REF!</v>
      </c>
      <c r="BF171" t="e">
        <f>AND(#REF!,"AAAAAGVn/zk=")</f>
        <v>#REF!</v>
      </c>
      <c r="BG171" t="e">
        <f>AND(#REF!,"AAAAAGVn/zo=")</f>
        <v>#REF!</v>
      </c>
      <c r="BH171" t="e">
        <f>AND(#REF!,"AAAAAGVn/zs=")</f>
        <v>#REF!</v>
      </c>
      <c r="BI171" t="e">
        <f>AND(#REF!,"AAAAAGVn/zw=")</f>
        <v>#REF!</v>
      </c>
      <c r="BJ171" t="e">
        <f>AND(#REF!,"AAAAAGVn/z0=")</f>
        <v>#REF!</v>
      </c>
      <c r="BK171" t="e">
        <f>AND(#REF!,"AAAAAGVn/z4=")</f>
        <v>#REF!</v>
      </c>
      <c r="BL171" t="e">
        <f>AND(#REF!,"AAAAAGVn/z8=")</f>
        <v>#REF!</v>
      </c>
      <c r="BM171" t="e">
        <f>AND(#REF!,"AAAAAGVn/0A=")</f>
        <v>#REF!</v>
      </c>
      <c r="BN171" t="e">
        <f>AND(#REF!,"AAAAAGVn/0E=")</f>
        <v>#REF!</v>
      </c>
      <c r="BO171" t="e">
        <f>AND(#REF!,"AAAAAGVn/0I=")</f>
        <v>#REF!</v>
      </c>
      <c r="BP171" t="e">
        <f>AND(#REF!,"AAAAAGVn/0M=")</f>
        <v>#REF!</v>
      </c>
      <c r="BQ171" t="e">
        <f>AND(#REF!,"AAAAAGVn/0Q=")</f>
        <v>#REF!</v>
      </c>
      <c r="BR171" t="e">
        <f>AND(#REF!,"AAAAAGVn/0U=")</f>
        <v>#REF!</v>
      </c>
      <c r="BS171" t="e">
        <f>IF(#REF!,"AAAAAGVn/0Y=",0)</f>
        <v>#REF!</v>
      </c>
      <c r="BT171" t="e">
        <f>AND(#REF!,"AAAAAGVn/0c=")</f>
        <v>#REF!</v>
      </c>
      <c r="BU171" t="e">
        <f>AND(#REF!,"AAAAAGVn/0g=")</f>
        <v>#REF!</v>
      </c>
      <c r="BV171" t="e">
        <f>AND(#REF!,"AAAAAGVn/0k=")</f>
        <v>#REF!</v>
      </c>
      <c r="BW171" t="e">
        <f>AND(#REF!,"AAAAAGVn/0o=")</f>
        <v>#REF!</v>
      </c>
      <c r="BX171" t="e">
        <f>AND(#REF!,"AAAAAGVn/0s=")</f>
        <v>#REF!</v>
      </c>
      <c r="BY171" t="e">
        <f>AND(#REF!,"AAAAAGVn/0w=")</f>
        <v>#REF!</v>
      </c>
      <c r="BZ171" t="e">
        <f>AND(#REF!,"AAAAAGVn/00=")</f>
        <v>#REF!</v>
      </c>
      <c r="CA171" t="e">
        <f>AND(#REF!,"AAAAAGVn/04=")</f>
        <v>#REF!</v>
      </c>
      <c r="CB171" t="e">
        <f>AND(#REF!,"AAAAAGVn/08=")</f>
        <v>#REF!</v>
      </c>
      <c r="CC171" t="e">
        <f>AND(#REF!,"AAAAAGVn/1A=")</f>
        <v>#REF!</v>
      </c>
      <c r="CD171" t="e">
        <f>AND(#REF!,"AAAAAGVn/1E=")</f>
        <v>#REF!</v>
      </c>
      <c r="CE171" t="e">
        <f>AND(#REF!,"AAAAAGVn/1I=")</f>
        <v>#REF!</v>
      </c>
      <c r="CF171" t="e">
        <f>AND(#REF!,"AAAAAGVn/1M=")</f>
        <v>#REF!</v>
      </c>
      <c r="CG171" t="e">
        <f>AND(#REF!,"AAAAAGVn/1Q=")</f>
        <v>#REF!</v>
      </c>
      <c r="CH171" t="e">
        <f>AND(#REF!,"AAAAAGVn/1U=")</f>
        <v>#REF!</v>
      </c>
      <c r="CI171" t="e">
        <f>AND(#REF!,"AAAAAGVn/1Y=")</f>
        <v>#REF!</v>
      </c>
      <c r="CJ171" t="e">
        <f>AND(#REF!,"AAAAAGVn/1c=")</f>
        <v>#REF!</v>
      </c>
      <c r="CK171" t="e">
        <f>AND(#REF!,"AAAAAGVn/1g=")</f>
        <v>#REF!</v>
      </c>
      <c r="CL171" t="e">
        <f>AND(#REF!,"AAAAAGVn/1k=")</f>
        <v>#REF!</v>
      </c>
      <c r="CM171" t="e">
        <f>AND(#REF!,"AAAAAGVn/1o=")</f>
        <v>#REF!</v>
      </c>
      <c r="CN171" t="e">
        <f>AND(#REF!,"AAAAAGVn/1s=")</f>
        <v>#REF!</v>
      </c>
      <c r="CO171" t="e">
        <f>AND(#REF!,"AAAAAGVn/1w=")</f>
        <v>#REF!</v>
      </c>
      <c r="CP171" t="e">
        <f>AND(#REF!,"AAAAAGVn/10=")</f>
        <v>#REF!</v>
      </c>
      <c r="CQ171" t="e">
        <f>AND(#REF!,"AAAAAGVn/14=")</f>
        <v>#REF!</v>
      </c>
      <c r="CR171" t="e">
        <f>AND(#REF!,"AAAAAGVn/18=")</f>
        <v>#REF!</v>
      </c>
      <c r="CS171" t="e">
        <f>AND(#REF!,"AAAAAGVn/2A=")</f>
        <v>#REF!</v>
      </c>
      <c r="CT171" t="e">
        <f>AND(#REF!,"AAAAAGVn/2E=")</f>
        <v>#REF!</v>
      </c>
      <c r="CU171" t="e">
        <f>AND(#REF!,"AAAAAGVn/2I=")</f>
        <v>#REF!</v>
      </c>
      <c r="CV171" t="e">
        <f>AND(#REF!,"AAAAAGVn/2M=")</f>
        <v>#REF!</v>
      </c>
      <c r="CW171" t="e">
        <f>AND(#REF!,"AAAAAGVn/2Q=")</f>
        <v>#REF!</v>
      </c>
      <c r="CX171" t="e">
        <f>AND(#REF!,"AAAAAGVn/2U=")</f>
        <v>#REF!</v>
      </c>
      <c r="CY171" t="e">
        <f>AND(#REF!,"AAAAAGVn/2Y=")</f>
        <v>#REF!</v>
      </c>
      <c r="CZ171" t="e">
        <f>AND(#REF!,"AAAAAGVn/2c=")</f>
        <v>#REF!</v>
      </c>
      <c r="DA171" t="e">
        <f>AND(#REF!,"AAAAAGVn/2g=")</f>
        <v>#REF!</v>
      </c>
      <c r="DB171" t="e">
        <f>AND(#REF!,"AAAAAGVn/2k=")</f>
        <v>#REF!</v>
      </c>
      <c r="DC171" t="e">
        <f>AND(#REF!,"AAAAAGVn/2o=")</f>
        <v>#REF!</v>
      </c>
      <c r="DD171" t="e">
        <f>AND(#REF!,"AAAAAGVn/2s=")</f>
        <v>#REF!</v>
      </c>
      <c r="DE171" t="e">
        <f>AND(#REF!,"AAAAAGVn/2w=")</f>
        <v>#REF!</v>
      </c>
      <c r="DF171" t="e">
        <f>AND(#REF!,"AAAAAGVn/20=")</f>
        <v>#REF!</v>
      </c>
      <c r="DG171" t="e">
        <f>AND(#REF!,"AAAAAGVn/24=")</f>
        <v>#REF!</v>
      </c>
      <c r="DH171" t="e">
        <f>AND(#REF!,"AAAAAGVn/28=")</f>
        <v>#REF!</v>
      </c>
      <c r="DI171" t="e">
        <f>AND(#REF!,"AAAAAGVn/3A=")</f>
        <v>#REF!</v>
      </c>
      <c r="DJ171" t="e">
        <f>AND(#REF!,"AAAAAGVn/3E=")</f>
        <v>#REF!</v>
      </c>
      <c r="DK171" t="e">
        <f>AND(#REF!,"AAAAAGVn/3I=")</f>
        <v>#REF!</v>
      </c>
      <c r="DL171" t="e">
        <f>AND(#REF!,"AAAAAGVn/3M=")</f>
        <v>#REF!</v>
      </c>
      <c r="DM171" t="e">
        <f>AND(#REF!,"AAAAAGVn/3Q=")</f>
        <v>#REF!</v>
      </c>
      <c r="DN171" t="e">
        <f>AND(#REF!,"AAAAAGVn/3U=")</f>
        <v>#REF!</v>
      </c>
      <c r="DO171" t="e">
        <f>AND(#REF!,"AAAAAGVn/3Y=")</f>
        <v>#REF!</v>
      </c>
      <c r="DP171" t="e">
        <f>AND(#REF!,"AAAAAGVn/3c=")</f>
        <v>#REF!</v>
      </c>
      <c r="DQ171" t="e">
        <f>AND(#REF!,"AAAAAGVn/3g=")</f>
        <v>#REF!</v>
      </c>
      <c r="DR171" t="e">
        <f>AND(#REF!,"AAAAAGVn/3k=")</f>
        <v>#REF!</v>
      </c>
      <c r="DS171" t="e">
        <f>AND(#REF!,"AAAAAGVn/3o=")</f>
        <v>#REF!</v>
      </c>
      <c r="DT171" t="e">
        <f>AND(#REF!,"AAAAAGVn/3s=")</f>
        <v>#REF!</v>
      </c>
      <c r="DU171" t="e">
        <f>AND(#REF!,"AAAAAGVn/3w=")</f>
        <v>#REF!</v>
      </c>
      <c r="DV171" t="e">
        <f>AND(#REF!,"AAAAAGVn/30=")</f>
        <v>#REF!</v>
      </c>
      <c r="DW171" t="e">
        <f>AND(#REF!,"AAAAAGVn/34=")</f>
        <v>#REF!</v>
      </c>
      <c r="DX171" t="e">
        <f>AND(#REF!,"AAAAAGVn/38=")</f>
        <v>#REF!</v>
      </c>
      <c r="DY171" t="e">
        <f>AND(#REF!,"AAAAAGVn/4A=")</f>
        <v>#REF!</v>
      </c>
      <c r="DZ171" t="e">
        <f>AND(#REF!,"AAAAAGVn/4E=")</f>
        <v>#REF!</v>
      </c>
      <c r="EA171" t="e">
        <f>AND(#REF!,"AAAAAGVn/4I=")</f>
        <v>#REF!</v>
      </c>
      <c r="EB171" t="e">
        <f>AND(#REF!,"AAAAAGVn/4M=")</f>
        <v>#REF!</v>
      </c>
      <c r="EC171" t="e">
        <f>AND(#REF!,"AAAAAGVn/4Q=")</f>
        <v>#REF!</v>
      </c>
      <c r="ED171" t="e">
        <f>AND(#REF!,"AAAAAGVn/4U=")</f>
        <v>#REF!</v>
      </c>
      <c r="EE171" t="e">
        <f>AND(#REF!,"AAAAAGVn/4Y=")</f>
        <v>#REF!</v>
      </c>
      <c r="EF171" t="e">
        <f>AND(#REF!,"AAAAAGVn/4c=")</f>
        <v>#REF!</v>
      </c>
      <c r="EG171" t="e">
        <f>AND(#REF!,"AAAAAGVn/4g=")</f>
        <v>#REF!</v>
      </c>
      <c r="EH171" t="e">
        <f>AND(#REF!,"AAAAAGVn/4k=")</f>
        <v>#REF!</v>
      </c>
      <c r="EI171" t="e">
        <f>AND(#REF!,"AAAAAGVn/4o=")</f>
        <v>#REF!</v>
      </c>
      <c r="EJ171" t="e">
        <f>IF(#REF!,"AAAAAGVn/4s=",0)</f>
        <v>#REF!</v>
      </c>
      <c r="EK171" t="e">
        <f>AND(#REF!,"AAAAAGVn/4w=")</f>
        <v>#REF!</v>
      </c>
      <c r="EL171" t="e">
        <f>AND(#REF!,"AAAAAGVn/40=")</f>
        <v>#REF!</v>
      </c>
      <c r="EM171" t="e">
        <f>AND(#REF!,"AAAAAGVn/44=")</f>
        <v>#REF!</v>
      </c>
      <c r="EN171" t="e">
        <f>AND(#REF!,"AAAAAGVn/48=")</f>
        <v>#REF!</v>
      </c>
      <c r="EO171" t="e">
        <f>AND(#REF!,"AAAAAGVn/5A=")</f>
        <v>#REF!</v>
      </c>
      <c r="EP171" t="e">
        <f>AND(#REF!,"AAAAAGVn/5E=")</f>
        <v>#REF!</v>
      </c>
      <c r="EQ171" t="e">
        <f>AND(#REF!,"AAAAAGVn/5I=")</f>
        <v>#REF!</v>
      </c>
      <c r="ER171" t="e">
        <f>AND(#REF!,"AAAAAGVn/5M=")</f>
        <v>#REF!</v>
      </c>
      <c r="ES171" t="e">
        <f>AND(#REF!,"AAAAAGVn/5Q=")</f>
        <v>#REF!</v>
      </c>
      <c r="ET171" t="e">
        <f>AND(#REF!,"AAAAAGVn/5U=")</f>
        <v>#REF!</v>
      </c>
      <c r="EU171" t="e">
        <f>AND(#REF!,"AAAAAGVn/5Y=")</f>
        <v>#REF!</v>
      </c>
      <c r="EV171" t="e">
        <f>AND(#REF!,"AAAAAGVn/5c=")</f>
        <v>#REF!</v>
      </c>
      <c r="EW171" t="e">
        <f>AND(#REF!,"AAAAAGVn/5g=")</f>
        <v>#REF!</v>
      </c>
      <c r="EX171" t="e">
        <f>AND(#REF!,"AAAAAGVn/5k=")</f>
        <v>#REF!</v>
      </c>
      <c r="EY171" t="e">
        <f>AND(#REF!,"AAAAAGVn/5o=")</f>
        <v>#REF!</v>
      </c>
      <c r="EZ171" t="e">
        <f>AND(#REF!,"AAAAAGVn/5s=")</f>
        <v>#REF!</v>
      </c>
      <c r="FA171" t="e">
        <f>AND(#REF!,"AAAAAGVn/5w=")</f>
        <v>#REF!</v>
      </c>
      <c r="FB171" t="e">
        <f>AND(#REF!,"AAAAAGVn/50=")</f>
        <v>#REF!</v>
      </c>
      <c r="FC171" t="e">
        <f>AND(#REF!,"AAAAAGVn/54=")</f>
        <v>#REF!</v>
      </c>
      <c r="FD171" t="e">
        <f>AND(#REF!,"AAAAAGVn/58=")</f>
        <v>#REF!</v>
      </c>
      <c r="FE171" t="e">
        <f>AND(#REF!,"AAAAAGVn/6A=")</f>
        <v>#REF!</v>
      </c>
      <c r="FF171" t="e">
        <f>AND(#REF!,"AAAAAGVn/6E=")</f>
        <v>#REF!</v>
      </c>
      <c r="FG171" t="e">
        <f>AND(#REF!,"AAAAAGVn/6I=")</f>
        <v>#REF!</v>
      </c>
      <c r="FH171" t="e">
        <f>AND(#REF!,"AAAAAGVn/6M=")</f>
        <v>#REF!</v>
      </c>
      <c r="FI171" t="e">
        <f>AND(#REF!,"AAAAAGVn/6Q=")</f>
        <v>#REF!</v>
      </c>
      <c r="FJ171" t="e">
        <f>AND(#REF!,"AAAAAGVn/6U=")</f>
        <v>#REF!</v>
      </c>
      <c r="FK171" t="e">
        <f>AND(#REF!,"AAAAAGVn/6Y=")</f>
        <v>#REF!</v>
      </c>
      <c r="FL171" t="e">
        <f>AND(#REF!,"AAAAAGVn/6c=")</f>
        <v>#REF!</v>
      </c>
      <c r="FM171" t="e">
        <f>AND(#REF!,"AAAAAGVn/6g=")</f>
        <v>#REF!</v>
      </c>
      <c r="FN171" t="e">
        <f>AND(#REF!,"AAAAAGVn/6k=")</f>
        <v>#REF!</v>
      </c>
      <c r="FO171" t="e">
        <f>AND(#REF!,"AAAAAGVn/6o=")</f>
        <v>#REF!</v>
      </c>
      <c r="FP171" t="e">
        <f>AND(#REF!,"AAAAAGVn/6s=")</f>
        <v>#REF!</v>
      </c>
      <c r="FQ171" t="e">
        <f>AND(#REF!,"AAAAAGVn/6w=")</f>
        <v>#REF!</v>
      </c>
      <c r="FR171" t="e">
        <f>AND(#REF!,"AAAAAGVn/60=")</f>
        <v>#REF!</v>
      </c>
      <c r="FS171" t="e">
        <f>AND(#REF!,"AAAAAGVn/64=")</f>
        <v>#REF!</v>
      </c>
      <c r="FT171" t="e">
        <f>AND(#REF!,"AAAAAGVn/68=")</f>
        <v>#REF!</v>
      </c>
      <c r="FU171" t="e">
        <f>AND(#REF!,"AAAAAGVn/7A=")</f>
        <v>#REF!</v>
      </c>
      <c r="FV171" t="e">
        <f>AND(#REF!,"AAAAAGVn/7E=")</f>
        <v>#REF!</v>
      </c>
      <c r="FW171" t="e">
        <f>AND(#REF!,"AAAAAGVn/7I=")</f>
        <v>#REF!</v>
      </c>
      <c r="FX171" t="e">
        <f>AND(#REF!,"AAAAAGVn/7M=")</f>
        <v>#REF!</v>
      </c>
      <c r="FY171" t="e">
        <f>AND(#REF!,"AAAAAGVn/7Q=")</f>
        <v>#REF!</v>
      </c>
      <c r="FZ171" t="e">
        <f>AND(#REF!,"AAAAAGVn/7U=")</f>
        <v>#REF!</v>
      </c>
      <c r="GA171" t="e">
        <f>AND(#REF!,"AAAAAGVn/7Y=")</f>
        <v>#REF!</v>
      </c>
      <c r="GB171" t="e">
        <f>AND(#REF!,"AAAAAGVn/7c=")</f>
        <v>#REF!</v>
      </c>
      <c r="GC171" t="e">
        <f>AND(#REF!,"AAAAAGVn/7g=")</f>
        <v>#REF!</v>
      </c>
      <c r="GD171" t="e">
        <f>AND(#REF!,"AAAAAGVn/7k=")</f>
        <v>#REF!</v>
      </c>
      <c r="GE171" t="e">
        <f>AND(#REF!,"AAAAAGVn/7o=")</f>
        <v>#REF!</v>
      </c>
      <c r="GF171" t="e">
        <f>AND(#REF!,"AAAAAGVn/7s=")</f>
        <v>#REF!</v>
      </c>
      <c r="GG171" t="e">
        <f>AND(#REF!,"AAAAAGVn/7w=")</f>
        <v>#REF!</v>
      </c>
      <c r="GH171" t="e">
        <f>AND(#REF!,"AAAAAGVn/70=")</f>
        <v>#REF!</v>
      </c>
      <c r="GI171" t="e">
        <f>AND(#REF!,"AAAAAGVn/74=")</f>
        <v>#REF!</v>
      </c>
      <c r="GJ171" t="e">
        <f>AND(#REF!,"AAAAAGVn/78=")</f>
        <v>#REF!</v>
      </c>
      <c r="GK171" t="e">
        <f>AND(#REF!,"AAAAAGVn/8A=")</f>
        <v>#REF!</v>
      </c>
      <c r="GL171" t="e">
        <f>AND(#REF!,"AAAAAGVn/8E=")</f>
        <v>#REF!</v>
      </c>
      <c r="GM171" t="e">
        <f>AND(#REF!,"AAAAAGVn/8I=")</f>
        <v>#REF!</v>
      </c>
      <c r="GN171" t="e">
        <f>AND(#REF!,"AAAAAGVn/8M=")</f>
        <v>#REF!</v>
      </c>
      <c r="GO171" t="e">
        <f>AND(#REF!,"AAAAAGVn/8Q=")</f>
        <v>#REF!</v>
      </c>
      <c r="GP171" t="e">
        <f>AND(#REF!,"AAAAAGVn/8U=")</f>
        <v>#REF!</v>
      </c>
      <c r="GQ171" t="e">
        <f>AND(#REF!,"AAAAAGVn/8Y=")</f>
        <v>#REF!</v>
      </c>
      <c r="GR171" t="e">
        <f>AND(#REF!,"AAAAAGVn/8c=")</f>
        <v>#REF!</v>
      </c>
      <c r="GS171" t="e">
        <f>AND(#REF!,"AAAAAGVn/8g=")</f>
        <v>#REF!</v>
      </c>
      <c r="GT171" t="e">
        <f>AND(#REF!,"AAAAAGVn/8k=")</f>
        <v>#REF!</v>
      </c>
      <c r="GU171" t="e">
        <f>AND(#REF!,"AAAAAGVn/8o=")</f>
        <v>#REF!</v>
      </c>
      <c r="GV171" t="e">
        <f>AND(#REF!,"AAAAAGVn/8s=")</f>
        <v>#REF!</v>
      </c>
      <c r="GW171" t="e">
        <f>AND(#REF!,"AAAAAGVn/8w=")</f>
        <v>#REF!</v>
      </c>
      <c r="GX171" t="e">
        <f>AND(#REF!,"AAAAAGVn/80=")</f>
        <v>#REF!</v>
      </c>
      <c r="GY171" t="e">
        <f>AND(#REF!,"AAAAAGVn/84=")</f>
        <v>#REF!</v>
      </c>
      <c r="GZ171" t="e">
        <f>AND(#REF!,"AAAAAGVn/88=")</f>
        <v>#REF!</v>
      </c>
      <c r="HA171" t="e">
        <f>IF(#REF!,"AAAAAGVn/9A=",0)</f>
        <v>#REF!</v>
      </c>
      <c r="HB171" t="e">
        <f>AND(#REF!,"AAAAAGVn/9E=")</f>
        <v>#REF!</v>
      </c>
      <c r="HC171" t="e">
        <f>AND(#REF!,"AAAAAGVn/9I=")</f>
        <v>#REF!</v>
      </c>
      <c r="HD171" t="e">
        <f>AND(#REF!,"AAAAAGVn/9M=")</f>
        <v>#REF!</v>
      </c>
      <c r="HE171" t="e">
        <f>AND(#REF!,"AAAAAGVn/9Q=")</f>
        <v>#REF!</v>
      </c>
      <c r="HF171" t="e">
        <f>AND(#REF!,"AAAAAGVn/9U=")</f>
        <v>#REF!</v>
      </c>
      <c r="HG171" t="e">
        <f>AND(#REF!,"AAAAAGVn/9Y=")</f>
        <v>#REF!</v>
      </c>
      <c r="HH171" t="e">
        <f>AND(#REF!,"AAAAAGVn/9c=")</f>
        <v>#REF!</v>
      </c>
      <c r="HI171" t="e">
        <f>AND(#REF!,"AAAAAGVn/9g=")</f>
        <v>#REF!</v>
      </c>
      <c r="HJ171" t="e">
        <f>AND(#REF!,"AAAAAGVn/9k=")</f>
        <v>#REF!</v>
      </c>
      <c r="HK171" t="e">
        <f>AND(#REF!,"AAAAAGVn/9o=")</f>
        <v>#REF!</v>
      </c>
      <c r="HL171" t="e">
        <f>AND(#REF!,"AAAAAGVn/9s=")</f>
        <v>#REF!</v>
      </c>
      <c r="HM171" t="e">
        <f>AND(#REF!,"AAAAAGVn/9w=")</f>
        <v>#REF!</v>
      </c>
      <c r="HN171" t="e">
        <f>AND(#REF!,"AAAAAGVn/90=")</f>
        <v>#REF!</v>
      </c>
      <c r="HO171" t="e">
        <f>AND(#REF!,"AAAAAGVn/94=")</f>
        <v>#REF!</v>
      </c>
      <c r="HP171" t="e">
        <f>AND(#REF!,"AAAAAGVn/98=")</f>
        <v>#REF!</v>
      </c>
      <c r="HQ171" t="e">
        <f>AND(#REF!,"AAAAAGVn/+A=")</f>
        <v>#REF!</v>
      </c>
      <c r="HR171" t="e">
        <f>AND(#REF!,"AAAAAGVn/+E=")</f>
        <v>#REF!</v>
      </c>
      <c r="HS171" t="e">
        <f>AND(#REF!,"AAAAAGVn/+I=")</f>
        <v>#REF!</v>
      </c>
      <c r="HT171" t="e">
        <f>AND(#REF!,"AAAAAGVn/+M=")</f>
        <v>#REF!</v>
      </c>
      <c r="HU171" t="e">
        <f>AND(#REF!,"AAAAAGVn/+Q=")</f>
        <v>#REF!</v>
      </c>
      <c r="HV171" t="e">
        <f>AND(#REF!,"AAAAAGVn/+U=")</f>
        <v>#REF!</v>
      </c>
      <c r="HW171" t="e">
        <f>AND(#REF!,"AAAAAGVn/+Y=")</f>
        <v>#REF!</v>
      </c>
      <c r="HX171" t="e">
        <f>AND(#REF!,"AAAAAGVn/+c=")</f>
        <v>#REF!</v>
      </c>
      <c r="HY171" t="e">
        <f>AND(#REF!,"AAAAAGVn/+g=")</f>
        <v>#REF!</v>
      </c>
      <c r="HZ171" t="e">
        <f>AND(#REF!,"AAAAAGVn/+k=")</f>
        <v>#REF!</v>
      </c>
      <c r="IA171" t="e">
        <f>AND(#REF!,"AAAAAGVn/+o=")</f>
        <v>#REF!</v>
      </c>
      <c r="IB171" t="e">
        <f>AND(#REF!,"AAAAAGVn/+s=")</f>
        <v>#REF!</v>
      </c>
      <c r="IC171" t="e">
        <f>AND(#REF!,"AAAAAGVn/+w=")</f>
        <v>#REF!</v>
      </c>
      <c r="ID171" t="e">
        <f>AND(#REF!,"AAAAAGVn/+0=")</f>
        <v>#REF!</v>
      </c>
      <c r="IE171" t="e">
        <f>AND(#REF!,"AAAAAGVn/+4=")</f>
        <v>#REF!</v>
      </c>
      <c r="IF171" t="e">
        <f>AND(#REF!,"AAAAAGVn/+8=")</f>
        <v>#REF!</v>
      </c>
      <c r="IG171" t="e">
        <f>AND(#REF!,"AAAAAGVn//A=")</f>
        <v>#REF!</v>
      </c>
      <c r="IH171" t="e">
        <f>AND(#REF!,"AAAAAGVn//E=")</f>
        <v>#REF!</v>
      </c>
      <c r="II171" t="e">
        <f>AND(#REF!,"AAAAAGVn//I=")</f>
        <v>#REF!</v>
      </c>
      <c r="IJ171" t="e">
        <f>AND(#REF!,"AAAAAGVn//M=")</f>
        <v>#REF!</v>
      </c>
      <c r="IK171" t="e">
        <f>AND(#REF!,"AAAAAGVn//Q=")</f>
        <v>#REF!</v>
      </c>
      <c r="IL171" t="e">
        <f>AND(#REF!,"AAAAAGVn//U=")</f>
        <v>#REF!</v>
      </c>
      <c r="IM171" t="e">
        <f>AND(#REF!,"AAAAAGVn//Y=")</f>
        <v>#REF!</v>
      </c>
      <c r="IN171" t="e">
        <f>AND(#REF!,"AAAAAGVn//c=")</f>
        <v>#REF!</v>
      </c>
      <c r="IO171" t="e">
        <f>AND(#REF!,"AAAAAGVn//g=")</f>
        <v>#REF!</v>
      </c>
      <c r="IP171" t="e">
        <f>AND(#REF!,"AAAAAGVn//k=")</f>
        <v>#REF!</v>
      </c>
      <c r="IQ171" t="e">
        <f>AND(#REF!,"AAAAAGVn//o=")</f>
        <v>#REF!</v>
      </c>
      <c r="IR171" t="e">
        <f>AND(#REF!,"AAAAAGVn//s=")</f>
        <v>#REF!</v>
      </c>
      <c r="IS171" t="e">
        <f>AND(#REF!,"AAAAAGVn//w=")</f>
        <v>#REF!</v>
      </c>
      <c r="IT171" t="e">
        <f>AND(#REF!,"AAAAAGVn//0=")</f>
        <v>#REF!</v>
      </c>
      <c r="IU171" t="e">
        <f>AND(#REF!,"AAAAAGVn//4=")</f>
        <v>#REF!</v>
      </c>
      <c r="IV171" t="e">
        <f>AND(#REF!,"AAAAAGVn//8=")</f>
        <v>#REF!</v>
      </c>
    </row>
    <row r="172" spans="1:256" x14ac:dyDescent="0.25">
      <c r="A172" t="e">
        <f>AND(#REF!,"AAAAAF689QA=")</f>
        <v>#REF!</v>
      </c>
      <c r="B172" t="e">
        <f>AND(#REF!,"AAAAAF689QE=")</f>
        <v>#REF!</v>
      </c>
      <c r="C172" t="e">
        <f>AND(#REF!,"AAAAAF689QI=")</f>
        <v>#REF!</v>
      </c>
      <c r="D172" t="e">
        <f>AND(#REF!,"AAAAAF689QM=")</f>
        <v>#REF!</v>
      </c>
      <c r="E172" t="e">
        <f>AND(#REF!,"AAAAAF689QQ=")</f>
        <v>#REF!</v>
      </c>
      <c r="F172" t="e">
        <f>AND(#REF!,"AAAAAF689QU=")</f>
        <v>#REF!</v>
      </c>
      <c r="G172" t="e">
        <f>AND(#REF!,"AAAAAF689QY=")</f>
        <v>#REF!</v>
      </c>
      <c r="H172" t="e">
        <f>AND(#REF!,"AAAAAF689Qc=")</f>
        <v>#REF!</v>
      </c>
      <c r="I172" t="e">
        <f>AND(#REF!,"AAAAAF689Qg=")</f>
        <v>#REF!</v>
      </c>
      <c r="J172" t="e">
        <f>AND(#REF!,"AAAAAF689Qk=")</f>
        <v>#REF!</v>
      </c>
      <c r="K172" t="e">
        <f>AND(#REF!,"AAAAAF689Qo=")</f>
        <v>#REF!</v>
      </c>
      <c r="L172" t="e">
        <f>AND(#REF!,"AAAAAF689Qs=")</f>
        <v>#REF!</v>
      </c>
      <c r="M172" t="e">
        <f>AND(#REF!,"AAAAAF689Qw=")</f>
        <v>#REF!</v>
      </c>
      <c r="N172" t="e">
        <f>AND(#REF!,"AAAAAF689Q0=")</f>
        <v>#REF!</v>
      </c>
      <c r="O172" t="e">
        <f>AND(#REF!,"AAAAAF689Q4=")</f>
        <v>#REF!</v>
      </c>
      <c r="P172" t="e">
        <f>AND(#REF!,"AAAAAF689Q8=")</f>
        <v>#REF!</v>
      </c>
      <c r="Q172" t="e">
        <f>AND(#REF!,"AAAAAF689RA=")</f>
        <v>#REF!</v>
      </c>
      <c r="R172" t="e">
        <f>AND(#REF!,"AAAAAF689RE=")</f>
        <v>#REF!</v>
      </c>
      <c r="S172" t="e">
        <f>AND(#REF!,"AAAAAF689RI=")</f>
        <v>#REF!</v>
      </c>
      <c r="T172" t="e">
        <f>AND(#REF!,"AAAAAF689RM=")</f>
        <v>#REF!</v>
      </c>
      <c r="U172" t="e">
        <f>AND(#REF!,"AAAAAF689RQ=")</f>
        <v>#REF!</v>
      </c>
      <c r="V172" t="e">
        <f>IF(#REF!,"AAAAAF689RU=",0)</f>
        <v>#REF!</v>
      </c>
      <c r="W172" t="e">
        <f>AND(#REF!,"AAAAAF689RY=")</f>
        <v>#REF!</v>
      </c>
      <c r="X172" t="e">
        <f>AND(#REF!,"AAAAAF689Rc=")</f>
        <v>#REF!</v>
      </c>
      <c r="Y172" t="e">
        <f>AND(#REF!,"AAAAAF689Rg=")</f>
        <v>#REF!</v>
      </c>
      <c r="Z172" t="e">
        <f>AND(#REF!,"AAAAAF689Rk=")</f>
        <v>#REF!</v>
      </c>
      <c r="AA172" t="e">
        <f>AND(#REF!,"AAAAAF689Ro=")</f>
        <v>#REF!</v>
      </c>
      <c r="AB172" t="e">
        <f>AND(#REF!,"AAAAAF689Rs=")</f>
        <v>#REF!</v>
      </c>
      <c r="AC172" t="e">
        <f>AND(#REF!,"AAAAAF689Rw=")</f>
        <v>#REF!</v>
      </c>
      <c r="AD172" t="e">
        <f>AND(#REF!,"AAAAAF689R0=")</f>
        <v>#REF!</v>
      </c>
      <c r="AE172" t="e">
        <f>AND(#REF!,"AAAAAF689R4=")</f>
        <v>#REF!</v>
      </c>
      <c r="AF172" t="e">
        <f>AND(#REF!,"AAAAAF689R8=")</f>
        <v>#REF!</v>
      </c>
      <c r="AG172" t="e">
        <f>AND(#REF!,"AAAAAF689SA=")</f>
        <v>#REF!</v>
      </c>
      <c r="AH172" t="e">
        <f>AND(#REF!,"AAAAAF689SE=")</f>
        <v>#REF!</v>
      </c>
      <c r="AI172" t="e">
        <f>AND(#REF!,"AAAAAF689SI=")</f>
        <v>#REF!</v>
      </c>
      <c r="AJ172" t="e">
        <f>AND(#REF!,"AAAAAF689SM=")</f>
        <v>#REF!</v>
      </c>
      <c r="AK172" t="e">
        <f>AND(#REF!,"AAAAAF689SQ=")</f>
        <v>#REF!</v>
      </c>
      <c r="AL172" t="e">
        <f>AND(#REF!,"AAAAAF689SU=")</f>
        <v>#REF!</v>
      </c>
      <c r="AM172" t="e">
        <f>AND(#REF!,"AAAAAF689SY=")</f>
        <v>#REF!</v>
      </c>
      <c r="AN172" t="e">
        <f>AND(#REF!,"AAAAAF689Sc=")</f>
        <v>#REF!</v>
      </c>
      <c r="AO172" t="e">
        <f>AND(#REF!,"AAAAAF689Sg=")</f>
        <v>#REF!</v>
      </c>
      <c r="AP172" t="e">
        <f>AND(#REF!,"AAAAAF689Sk=")</f>
        <v>#REF!</v>
      </c>
      <c r="AQ172" t="e">
        <f>AND(#REF!,"AAAAAF689So=")</f>
        <v>#REF!</v>
      </c>
      <c r="AR172" t="e">
        <f>AND(#REF!,"AAAAAF689Ss=")</f>
        <v>#REF!</v>
      </c>
      <c r="AS172" t="e">
        <f>AND(#REF!,"AAAAAF689Sw=")</f>
        <v>#REF!</v>
      </c>
      <c r="AT172" t="e">
        <f>AND(#REF!,"AAAAAF689S0=")</f>
        <v>#REF!</v>
      </c>
      <c r="AU172" t="e">
        <f>AND(#REF!,"AAAAAF689S4=")</f>
        <v>#REF!</v>
      </c>
      <c r="AV172" t="e">
        <f>AND(#REF!,"AAAAAF689S8=")</f>
        <v>#REF!</v>
      </c>
      <c r="AW172" t="e">
        <f>AND(#REF!,"AAAAAF689TA=")</f>
        <v>#REF!</v>
      </c>
      <c r="AX172" t="e">
        <f>AND(#REF!,"AAAAAF689TE=")</f>
        <v>#REF!</v>
      </c>
      <c r="AY172" t="e">
        <f>AND(#REF!,"AAAAAF689TI=")</f>
        <v>#REF!</v>
      </c>
      <c r="AZ172" t="e">
        <f>AND(#REF!,"AAAAAF689TM=")</f>
        <v>#REF!</v>
      </c>
      <c r="BA172" t="e">
        <f>AND(#REF!,"AAAAAF689TQ=")</f>
        <v>#REF!</v>
      </c>
      <c r="BB172" t="e">
        <f>AND(#REF!,"AAAAAF689TU=")</f>
        <v>#REF!</v>
      </c>
      <c r="BC172" t="e">
        <f>AND(#REF!,"AAAAAF689TY=")</f>
        <v>#REF!</v>
      </c>
      <c r="BD172" t="e">
        <f>AND(#REF!,"AAAAAF689Tc=")</f>
        <v>#REF!</v>
      </c>
      <c r="BE172" t="e">
        <f>AND(#REF!,"AAAAAF689Tg=")</f>
        <v>#REF!</v>
      </c>
      <c r="BF172" t="e">
        <f>AND(#REF!,"AAAAAF689Tk=")</f>
        <v>#REF!</v>
      </c>
      <c r="BG172" t="e">
        <f>AND(#REF!,"AAAAAF689To=")</f>
        <v>#REF!</v>
      </c>
      <c r="BH172" t="e">
        <f>AND(#REF!,"AAAAAF689Ts=")</f>
        <v>#REF!</v>
      </c>
      <c r="BI172" t="e">
        <f>AND(#REF!,"AAAAAF689Tw=")</f>
        <v>#REF!</v>
      </c>
      <c r="BJ172" t="e">
        <f>AND(#REF!,"AAAAAF689T0=")</f>
        <v>#REF!</v>
      </c>
      <c r="BK172" t="e">
        <f>AND(#REF!,"AAAAAF689T4=")</f>
        <v>#REF!</v>
      </c>
      <c r="BL172" t="e">
        <f>AND(#REF!,"AAAAAF689T8=")</f>
        <v>#REF!</v>
      </c>
      <c r="BM172" t="e">
        <f>AND(#REF!,"AAAAAF689UA=")</f>
        <v>#REF!</v>
      </c>
      <c r="BN172" t="e">
        <f>AND(#REF!,"AAAAAF689UE=")</f>
        <v>#REF!</v>
      </c>
      <c r="BO172" t="e">
        <f>AND(#REF!,"AAAAAF689UI=")</f>
        <v>#REF!</v>
      </c>
      <c r="BP172" t="e">
        <f>AND(#REF!,"AAAAAF689UM=")</f>
        <v>#REF!</v>
      </c>
      <c r="BQ172" t="e">
        <f>AND(#REF!,"AAAAAF689UQ=")</f>
        <v>#REF!</v>
      </c>
      <c r="BR172" t="e">
        <f>AND(#REF!,"AAAAAF689UU=")</f>
        <v>#REF!</v>
      </c>
      <c r="BS172" t="e">
        <f>AND(#REF!,"AAAAAF689UY=")</f>
        <v>#REF!</v>
      </c>
      <c r="BT172" t="e">
        <f>AND(#REF!,"AAAAAF689Uc=")</f>
        <v>#REF!</v>
      </c>
      <c r="BU172" t="e">
        <f>AND(#REF!,"AAAAAF689Ug=")</f>
        <v>#REF!</v>
      </c>
      <c r="BV172" t="e">
        <f>AND(#REF!,"AAAAAF689Uk=")</f>
        <v>#REF!</v>
      </c>
      <c r="BW172" t="e">
        <f>AND(#REF!,"AAAAAF689Uo=")</f>
        <v>#REF!</v>
      </c>
      <c r="BX172" t="e">
        <f>AND(#REF!,"AAAAAF689Us=")</f>
        <v>#REF!</v>
      </c>
      <c r="BY172" t="e">
        <f>AND(#REF!,"AAAAAF689Uw=")</f>
        <v>#REF!</v>
      </c>
      <c r="BZ172" t="e">
        <f>AND(#REF!,"AAAAAF689U0=")</f>
        <v>#REF!</v>
      </c>
      <c r="CA172" t="e">
        <f>AND(#REF!,"AAAAAF689U4=")</f>
        <v>#REF!</v>
      </c>
      <c r="CB172" t="e">
        <f>AND(#REF!,"AAAAAF689U8=")</f>
        <v>#REF!</v>
      </c>
      <c r="CC172" t="e">
        <f>AND(#REF!,"AAAAAF689VA=")</f>
        <v>#REF!</v>
      </c>
      <c r="CD172" t="e">
        <f>AND(#REF!,"AAAAAF689VE=")</f>
        <v>#REF!</v>
      </c>
      <c r="CE172" t="e">
        <f>AND(#REF!,"AAAAAF689VI=")</f>
        <v>#REF!</v>
      </c>
      <c r="CF172" t="e">
        <f>AND(#REF!,"AAAAAF689VM=")</f>
        <v>#REF!</v>
      </c>
      <c r="CG172" t="e">
        <f>AND(#REF!,"AAAAAF689VQ=")</f>
        <v>#REF!</v>
      </c>
      <c r="CH172" t="e">
        <f>AND(#REF!,"AAAAAF689VU=")</f>
        <v>#REF!</v>
      </c>
      <c r="CI172" t="e">
        <f>AND(#REF!,"AAAAAF689VY=")</f>
        <v>#REF!</v>
      </c>
      <c r="CJ172" t="e">
        <f>AND(#REF!,"AAAAAF689Vc=")</f>
        <v>#REF!</v>
      </c>
      <c r="CK172" t="e">
        <f>AND(#REF!,"AAAAAF689Vg=")</f>
        <v>#REF!</v>
      </c>
      <c r="CL172" t="e">
        <f>AND(#REF!,"AAAAAF689Vk=")</f>
        <v>#REF!</v>
      </c>
      <c r="CM172" t="e">
        <f>IF(#REF!,"AAAAAF689Vo=",0)</f>
        <v>#REF!</v>
      </c>
      <c r="CN172" t="e">
        <f>AND(#REF!,"AAAAAF689Vs=")</f>
        <v>#REF!</v>
      </c>
      <c r="CO172" t="e">
        <f>AND(#REF!,"AAAAAF689Vw=")</f>
        <v>#REF!</v>
      </c>
      <c r="CP172" t="e">
        <f>AND(#REF!,"AAAAAF689V0=")</f>
        <v>#REF!</v>
      </c>
      <c r="CQ172" t="e">
        <f>AND(#REF!,"AAAAAF689V4=")</f>
        <v>#REF!</v>
      </c>
      <c r="CR172" t="e">
        <f>AND(#REF!,"AAAAAF689V8=")</f>
        <v>#REF!</v>
      </c>
      <c r="CS172" t="e">
        <f>AND(#REF!,"AAAAAF689WA=")</f>
        <v>#REF!</v>
      </c>
      <c r="CT172" t="e">
        <f>AND(#REF!,"AAAAAF689WE=")</f>
        <v>#REF!</v>
      </c>
      <c r="CU172" t="e">
        <f>AND(#REF!,"AAAAAF689WI=")</f>
        <v>#REF!</v>
      </c>
      <c r="CV172" t="e">
        <f>AND(#REF!,"AAAAAF689WM=")</f>
        <v>#REF!</v>
      </c>
      <c r="CW172" t="e">
        <f>AND(#REF!,"AAAAAF689WQ=")</f>
        <v>#REF!</v>
      </c>
      <c r="CX172" t="e">
        <f>AND(#REF!,"AAAAAF689WU=")</f>
        <v>#REF!</v>
      </c>
      <c r="CY172" t="e">
        <f>AND(#REF!,"AAAAAF689WY=")</f>
        <v>#REF!</v>
      </c>
      <c r="CZ172" t="e">
        <f>AND(#REF!,"AAAAAF689Wc=")</f>
        <v>#REF!</v>
      </c>
      <c r="DA172" t="e">
        <f>AND(#REF!,"AAAAAF689Wg=")</f>
        <v>#REF!</v>
      </c>
      <c r="DB172" t="e">
        <f>AND(#REF!,"AAAAAF689Wk=")</f>
        <v>#REF!</v>
      </c>
      <c r="DC172" t="e">
        <f>AND(#REF!,"AAAAAF689Wo=")</f>
        <v>#REF!</v>
      </c>
      <c r="DD172" t="e">
        <f>AND(#REF!,"AAAAAF689Ws=")</f>
        <v>#REF!</v>
      </c>
      <c r="DE172" t="e">
        <f>AND(#REF!,"AAAAAF689Ww=")</f>
        <v>#REF!</v>
      </c>
      <c r="DF172" t="e">
        <f>AND(#REF!,"AAAAAF689W0=")</f>
        <v>#REF!</v>
      </c>
      <c r="DG172" t="e">
        <f>AND(#REF!,"AAAAAF689W4=")</f>
        <v>#REF!</v>
      </c>
      <c r="DH172" t="e">
        <f>AND(#REF!,"AAAAAF689W8=")</f>
        <v>#REF!</v>
      </c>
      <c r="DI172" t="e">
        <f>AND(#REF!,"AAAAAF689XA=")</f>
        <v>#REF!</v>
      </c>
      <c r="DJ172" t="e">
        <f>AND(#REF!,"AAAAAF689XE=")</f>
        <v>#REF!</v>
      </c>
      <c r="DK172" t="e">
        <f>AND(#REF!,"AAAAAF689XI=")</f>
        <v>#REF!</v>
      </c>
      <c r="DL172" t="e">
        <f>AND(#REF!,"AAAAAF689XM=")</f>
        <v>#REF!</v>
      </c>
      <c r="DM172" t="e">
        <f>AND(#REF!,"AAAAAF689XQ=")</f>
        <v>#REF!</v>
      </c>
      <c r="DN172" t="e">
        <f>AND(#REF!,"AAAAAF689XU=")</f>
        <v>#REF!</v>
      </c>
      <c r="DO172" t="e">
        <f>AND(#REF!,"AAAAAF689XY=")</f>
        <v>#REF!</v>
      </c>
      <c r="DP172" t="e">
        <f>AND(#REF!,"AAAAAF689Xc=")</f>
        <v>#REF!</v>
      </c>
      <c r="DQ172" t="e">
        <f>AND(#REF!,"AAAAAF689Xg=")</f>
        <v>#REF!</v>
      </c>
      <c r="DR172" t="e">
        <f>AND(#REF!,"AAAAAF689Xk=")</f>
        <v>#REF!</v>
      </c>
      <c r="DS172" t="e">
        <f>AND(#REF!,"AAAAAF689Xo=")</f>
        <v>#REF!</v>
      </c>
      <c r="DT172" t="e">
        <f>AND(#REF!,"AAAAAF689Xs=")</f>
        <v>#REF!</v>
      </c>
      <c r="DU172" t="e">
        <f>AND(#REF!,"AAAAAF689Xw=")</f>
        <v>#REF!</v>
      </c>
      <c r="DV172" t="e">
        <f>AND(#REF!,"AAAAAF689X0=")</f>
        <v>#REF!</v>
      </c>
      <c r="DW172" t="e">
        <f>AND(#REF!,"AAAAAF689X4=")</f>
        <v>#REF!</v>
      </c>
      <c r="DX172" t="e">
        <f>AND(#REF!,"AAAAAF689X8=")</f>
        <v>#REF!</v>
      </c>
      <c r="DY172" t="e">
        <f>AND(#REF!,"AAAAAF689YA=")</f>
        <v>#REF!</v>
      </c>
      <c r="DZ172" t="e">
        <f>AND(#REF!,"AAAAAF689YE=")</f>
        <v>#REF!</v>
      </c>
      <c r="EA172" t="e">
        <f>AND(#REF!,"AAAAAF689YI=")</f>
        <v>#REF!</v>
      </c>
      <c r="EB172" t="e">
        <f>AND(#REF!,"AAAAAF689YM=")</f>
        <v>#REF!</v>
      </c>
      <c r="EC172" t="e">
        <f>AND(#REF!,"AAAAAF689YQ=")</f>
        <v>#REF!</v>
      </c>
      <c r="ED172" t="e">
        <f>AND(#REF!,"AAAAAF689YU=")</f>
        <v>#REF!</v>
      </c>
      <c r="EE172" t="e">
        <f>AND(#REF!,"AAAAAF689YY=")</f>
        <v>#REF!</v>
      </c>
      <c r="EF172" t="e">
        <f>AND(#REF!,"AAAAAF689Yc=")</f>
        <v>#REF!</v>
      </c>
      <c r="EG172" t="e">
        <f>AND(#REF!,"AAAAAF689Yg=")</f>
        <v>#REF!</v>
      </c>
      <c r="EH172" t="e">
        <f>AND(#REF!,"AAAAAF689Yk=")</f>
        <v>#REF!</v>
      </c>
      <c r="EI172" t="e">
        <f>AND(#REF!,"AAAAAF689Yo=")</f>
        <v>#REF!</v>
      </c>
      <c r="EJ172" t="e">
        <f>AND(#REF!,"AAAAAF689Ys=")</f>
        <v>#REF!</v>
      </c>
      <c r="EK172" t="e">
        <f>AND(#REF!,"AAAAAF689Yw=")</f>
        <v>#REF!</v>
      </c>
      <c r="EL172" t="e">
        <f>AND(#REF!,"AAAAAF689Y0=")</f>
        <v>#REF!</v>
      </c>
      <c r="EM172" t="e">
        <f>AND(#REF!,"AAAAAF689Y4=")</f>
        <v>#REF!</v>
      </c>
      <c r="EN172" t="e">
        <f>AND(#REF!,"AAAAAF689Y8=")</f>
        <v>#REF!</v>
      </c>
      <c r="EO172" t="e">
        <f>AND(#REF!,"AAAAAF689ZA=")</f>
        <v>#REF!</v>
      </c>
      <c r="EP172" t="e">
        <f>AND(#REF!,"AAAAAF689ZE=")</f>
        <v>#REF!</v>
      </c>
      <c r="EQ172" t="e">
        <f>AND(#REF!,"AAAAAF689ZI=")</f>
        <v>#REF!</v>
      </c>
      <c r="ER172" t="e">
        <f>AND(#REF!,"AAAAAF689ZM=")</f>
        <v>#REF!</v>
      </c>
      <c r="ES172" t="e">
        <f>AND(#REF!,"AAAAAF689ZQ=")</f>
        <v>#REF!</v>
      </c>
      <c r="ET172" t="e">
        <f>AND(#REF!,"AAAAAF689ZU=")</f>
        <v>#REF!</v>
      </c>
      <c r="EU172" t="e">
        <f>AND(#REF!,"AAAAAF689ZY=")</f>
        <v>#REF!</v>
      </c>
      <c r="EV172" t="e">
        <f>AND(#REF!,"AAAAAF689Zc=")</f>
        <v>#REF!</v>
      </c>
      <c r="EW172" t="e">
        <f>AND(#REF!,"AAAAAF689Zg=")</f>
        <v>#REF!</v>
      </c>
      <c r="EX172" t="e">
        <f>AND(#REF!,"AAAAAF689Zk=")</f>
        <v>#REF!</v>
      </c>
      <c r="EY172" t="e">
        <f>AND(#REF!,"AAAAAF689Zo=")</f>
        <v>#REF!</v>
      </c>
      <c r="EZ172" t="e">
        <f>AND(#REF!,"AAAAAF689Zs=")</f>
        <v>#REF!</v>
      </c>
      <c r="FA172" t="e">
        <f>AND(#REF!,"AAAAAF689Zw=")</f>
        <v>#REF!</v>
      </c>
      <c r="FB172" t="e">
        <f>AND(#REF!,"AAAAAF689Z0=")</f>
        <v>#REF!</v>
      </c>
      <c r="FC172" t="e">
        <f>AND(#REF!,"AAAAAF689Z4=")</f>
        <v>#REF!</v>
      </c>
      <c r="FD172" t="e">
        <f>IF(#REF!,"AAAAAF689Z8=",0)</f>
        <v>#REF!</v>
      </c>
      <c r="FE172" t="e">
        <f>AND(#REF!,"AAAAAF689aA=")</f>
        <v>#REF!</v>
      </c>
      <c r="FF172" t="e">
        <f>AND(#REF!,"AAAAAF689aE=")</f>
        <v>#REF!</v>
      </c>
      <c r="FG172" t="e">
        <f>AND(#REF!,"AAAAAF689aI=")</f>
        <v>#REF!</v>
      </c>
      <c r="FH172" t="e">
        <f>AND(#REF!,"AAAAAF689aM=")</f>
        <v>#REF!</v>
      </c>
      <c r="FI172" t="e">
        <f>AND(#REF!,"AAAAAF689aQ=")</f>
        <v>#REF!</v>
      </c>
      <c r="FJ172" t="e">
        <f>AND(#REF!,"AAAAAF689aU=")</f>
        <v>#REF!</v>
      </c>
      <c r="FK172" t="e">
        <f>AND(#REF!,"AAAAAF689aY=")</f>
        <v>#REF!</v>
      </c>
      <c r="FL172" t="e">
        <f>AND(#REF!,"AAAAAF689ac=")</f>
        <v>#REF!</v>
      </c>
      <c r="FM172" t="e">
        <f>AND(#REF!,"AAAAAF689ag=")</f>
        <v>#REF!</v>
      </c>
      <c r="FN172" t="e">
        <f>AND(#REF!,"AAAAAF689ak=")</f>
        <v>#REF!</v>
      </c>
      <c r="FO172" t="e">
        <f>AND(#REF!,"AAAAAF689ao=")</f>
        <v>#REF!</v>
      </c>
      <c r="FP172" t="e">
        <f>AND(#REF!,"AAAAAF689as=")</f>
        <v>#REF!</v>
      </c>
      <c r="FQ172" t="e">
        <f>AND(#REF!,"AAAAAF689aw=")</f>
        <v>#REF!</v>
      </c>
      <c r="FR172" t="e">
        <f>AND(#REF!,"AAAAAF689a0=")</f>
        <v>#REF!</v>
      </c>
      <c r="FS172" t="e">
        <f>AND(#REF!,"AAAAAF689a4=")</f>
        <v>#REF!</v>
      </c>
      <c r="FT172" t="e">
        <f>AND(#REF!,"AAAAAF689a8=")</f>
        <v>#REF!</v>
      </c>
      <c r="FU172" t="e">
        <f>AND(#REF!,"AAAAAF689bA=")</f>
        <v>#REF!</v>
      </c>
      <c r="FV172" t="e">
        <f>AND(#REF!,"AAAAAF689bE=")</f>
        <v>#REF!</v>
      </c>
      <c r="FW172" t="e">
        <f>AND(#REF!,"AAAAAF689bI=")</f>
        <v>#REF!</v>
      </c>
      <c r="FX172" t="e">
        <f>AND(#REF!,"AAAAAF689bM=")</f>
        <v>#REF!</v>
      </c>
      <c r="FY172" t="e">
        <f>AND(#REF!,"AAAAAF689bQ=")</f>
        <v>#REF!</v>
      </c>
      <c r="FZ172" t="e">
        <f>AND(#REF!,"AAAAAF689bU=")</f>
        <v>#REF!</v>
      </c>
      <c r="GA172" t="e">
        <f>AND(#REF!,"AAAAAF689bY=")</f>
        <v>#REF!</v>
      </c>
      <c r="GB172" t="e">
        <f>AND(#REF!,"AAAAAF689bc=")</f>
        <v>#REF!</v>
      </c>
      <c r="GC172" t="e">
        <f>AND(#REF!,"AAAAAF689bg=")</f>
        <v>#REF!</v>
      </c>
      <c r="GD172" t="e">
        <f>AND(#REF!,"AAAAAF689bk=")</f>
        <v>#REF!</v>
      </c>
      <c r="GE172" t="e">
        <f>AND(#REF!,"AAAAAF689bo=")</f>
        <v>#REF!</v>
      </c>
      <c r="GF172" t="e">
        <f>AND(#REF!,"AAAAAF689bs=")</f>
        <v>#REF!</v>
      </c>
      <c r="GG172" t="e">
        <f>AND(#REF!,"AAAAAF689bw=")</f>
        <v>#REF!</v>
      </c>
      <c r="GH172" t="e">
        <f>AND(#REF!,"AAAAAF689b0=")</f>
        <v>#REF!</v>
      </c>
      <c r="GI172" t="e">
        <f>AND(#REF!,"AAAAAF689b4=")</f>
        <v>#REF!</v>
      </c>
      <c r="GJ172" t="e">
        <f>AND(#REF!,"AAAAAF689b8=")</f>
        <v>#REF!</v>
      </c>
      <c r="GK172" t="e">
        <f>AND(#REF!,"AAAAAF689cA=")</f>
        <v>#REF!</v>
      </c>
      <c r="GL172" t="e">
        <f>AND(#REF!,"AAAAAF689cE=")</f>
        <v>#REF!</v>
      </c>
      <c r="GM172" t="e">
        <f>AND(#REF!,"AAAAAF689cI=")</f>
        <v>#REF!</v>
      </c>
      <c r="GN172" t="e">
        <f>AND(#REF!,"AAAAAF689cM=")</f>
        <v>#REF!</v>
      </c>
      <c r="GO172" t="e">
        <f>AND(#REF!,"AAAAAF689cQ=")</f>
        <v>#REF!</v>
      </c>
      <c r="GP172" t="e">
        <f>AND(#REF!,"AAAAAF689cU=")</f>
        <v>#REF!</v>
      </c>
      <c r="GQ172" t="e">
        <f>AND(#REF!,"AAAAAF689cY=")</f>
        <v>#REF!</v>
      </c>
      <c r="GR172" t="e">
        <f>AND(#REF!,"AAAAAF689cc=")</f>
        <v>#REF!</v>
      </c>
      <c r="GS172" t="e">
        <f>AND(#REF!,"AAAAAF689cg=")</f>
        <v>#REF!</v>
      </c>
      <c r="GT172" t="e">
        <f>AND(#REF!,"AAAAAF689ck=")</f>
        <v>#REF!</v>
      </c>
      <c r="GU172" t="e">
        <f>AND(#REF!,"AAAAAF689co=")</f>
        <v>#REF!</v>
      </c>
      <c r="GV172" t="e">
        <f>AND(#REF!,"AAAAAF689cs=")</f>
        <v>#REF!</v>
      </c>
      <c r="GW172" t="e">
        <f>AND(#REF!,"AAAAAF689cw=")</f>
        <v>#REF!</v>
      </c>
      <c r="GX172" t="e">
        <f>AND(#REF!,"AAAAAF689c0=")</f>
        <v>#REF!</v>
      </c>
      <c r="GY172" t="e">
        <f>AND(#REF!,"AAAAAF689c4=")</f>
        <v>#REF!</v>
      </c>
      <c r="GZ172" t="e">
        <f>AND(#REF!,"AAAAAF689c8=")</f>
        <v>#REF!</v>
      </c>
      <c r="HA172" t="e">
        <f>AND(#REF!,"AAAAAF689dA=")</f>
        <v>#REF!</v>
      </c>
      <c r="HB172" t="e">
        <f>AND(#REF!,"AAAAAF689dE=")</f>
        <v>#REF!</v>
      </c>
      <c r="HC172" t="e">
        <f>AND(#REF!,"AAAAAF689dI=")</f>
        <v>#REF!</v>
      </c>
      <c r="HD172" t="e">
        <f>AND(#REF!,"AAAAAF689dM=")</f>
        <v>#REF!</v>
      </c>
      <c r="HE172" t="e">
        <f>AND(#REF!,"AAAAAF689dQ=")</f>
        <v>#REF!</v>
      </c>
      <c r="HF172" t="e">
        <f>AND(#REF!,"AAAAAF689dU=")</f>
        <v>#REF!</v>
      </c>
      <c r="HG172" t="e">
        <f>AND(#REF!,"AAAAAF689dY=")</f>
        <v>#REF!</v>
      </c>
      <c r="HH172" t="e">
        <f>AND(#REF!,"AAAAAF689dc=")</f>
        <v>#REF!</v>
      </c>
      <c r="HI172" t="e">
        <f>AND(#REF!,"AAAAAF689dg=")</f>
        <v>#REF!</v>
      </c>
      <c r="HJ172" t="e">
        <f>AND(#REF!,"AAAAAF689dk=")</f>
        <v>#REF!</v>
      </c>
      <c r="HK172" t="e">
        <f>AND(#REF!,"AAAAAF689do=")</f>
        <v>#REF!</v>
      </c>
      <c r="HL172" t="e">
        <f>AND(#REF!,"AAAAAF689ds=")</f>
        <v>#REF!</v>
      </c>
      <c r="HM172" t="e">
        <f>AND(#REF!,"AAAAAF689dw=")</f>
        <v>#REF!</v>
      </c>
      <c r="HN172" t="e">
        <f>AND(#REF!,"AAAAAF689d0=")</f>
        <v>#REF!</v>
      </c>
      <c r="HO172" t="e">
        <f>AND(#REF!,"AAAAAF689d4=")</f>
        <v>#REF!</v>
      </c>
      <c r="HP172" t="e">
        <f>AND(#REF!,"AAAAAF689d8=")</f>
        <v>#REF!</v>
      </c>
      <c r="HQ172" t="e">
        <f>AND(#REF!,"AAAAAF689eA=")</f>
        <v>#REF!</v>
      </c>
      <c r="HR172" t="e">
        <f>AND(#REF!,"AAAAAF689eE=")</f>
        <v>#REF!</v>
      </c>
      <c r="HS172" t="e">
        <f>AND(#REF!,"AAAAAF689eI=")</f>
        <v>#REF!</v>
      </c>
      <c r="HT172" t="e">
        <f>AND(#REF!,"AAAAAF689eM=")</f>
        <v>#REF!</v>
      </c>
      <c r="HU172" t="e">
        <f>IF(#REF!,"AAAAAF689eQ=",0)</f>
        <v>#REF!</v>
      </c>
      <c r="HV172" t="e">
        <f>AND(#REF!,"AAAAAF689eU=")</f>
        <v>#REF!</v>
      </c>
      <c r="HW172" t="e">
        <f>AND(#REF!,"AAAAAF689eY=")</f>
        <v>#REF!</v>
      </c>
      <c r="HX172" t="e">
        <f>AND(#REF!,"AAAAAF689ec=")</f>
        <v>#REF!</v>
      </c>
      <c r="HY172" t="e">
        <f>AND(#REF!,"AAAAAF689eg=")</f>
        <v>#REF!</v>
      </c>
      <c r="HZ172" t="e">
        <f>AND(#REF!,"AAAAAF689ek=")</f>
        <v>#REF!</v>
      </c>
      <c r="IA172" t="e">
        <f>AND(#REF!,"AAAAAF689eo=")</f>
        <v>#REF!</v>
      </c>
      <c r="IB172" t="e">
        <f>AND(#REF!,"AAAAAF689es=")</f>
        <v>#REF!</v>
      </c>
      <c r="IC172" t="e">
        <f>AND(#REF!,"AAAAAF689ew=")</f>
        <v>#REF!</v>
      </c>
      <c r="ID172" t="e">
        <f>AND(#REF!,"AAAAAF689e0=")</f>
        <v>#REF!</v>
      </c>
      <c r="IE172" t="e">
        <f>AND(#REF!,"AAAAAF689e4=")</f>
        <v>#REF!</v>
      </c>
      <c r="IF172" t="e">
        <f>AND(#REF!,"AAAAAF689e8=")</f>
        <v>#REF!</v>
      </c>
      <c r="IG172" t="e">
        <f>AND(#REF!,"AAAAAF689fA=")</f>
        <v>#REF!</v>
      </c>
      <c r="IH172" t="e">
        <f>AND(#REF!,"AAAAAF689fE=")</f>
        <v>#REF!</v>
      </c>
      <c r="II172" t="e">
        <f>AND(#REF!,"AAAAAF689fI=")</f>
        <v>#REF!</v>
      </c>
      <c r="IJ172" t="e">
        <f>AND(#REF!,"AAAAAF689fM=")</f>
        <v>#REF!</v>
      </c>
      <c r="IK172" t="e">
        <f>AND(#REF!,"AAAAAF689fQ=")</f>
        <v>#REF!</v>
      </c>
      <c r="IL172" t="e">
        <f>AND(#REF!,"AAAAAF689fU=")</f>
        <v>#REF!</v>
      </c>
      <c r="IM172" t="e">
        <f>AND(#REF!,"AAAAAF689fY=")</f>
        <v>#REF!</v>
      </c>
      <c r="IN172" t="e">
        <f>AND(#REF!,"AAAAAF689fc=")</f>
        <v>#REF!</v>
      </c>
      <c r="IO172" t="e">
        <f>AND(#REF!,"AAAAAF689fg=")</f>
        <v>#REF!</v>
      </c>
      <c r="IP172" t="e">
        <f>AND(#REF!,"AAAAAF689fk=")</f>
        <v>#REF!</v>
      </c>
      <c r="IQ172" t="e">
        <f>AND(#REF!,"AAAAAF689fo=")</f>
        <v>#REF!</v>
      </c>
      <c r="IR172" t="e">
        <f>AND(#REF!,"AAAAAF689fs=")</f>
        <v>#REF!</v>
      </c>
      <c r="IS172" t="e">
        <f>AND(#REF!,"AAAAAF689fw=")</f>
        <v>#REF!</v>
      </c>
      <c r="IT172" t="e">
        <f>AND(#REF!,"AAAAAF689f0=")</f>
        <v>#REF!</v>
      </c>
      <c r="IU172" t="e">
        <f>AND(#REF!,"AAAAAF689f4=")</f>
        <v>#REF!</v>
      </c>
      <c r="IV172" t="e">
        <f>AND(#REF!,"AAAAAF689f8=")</f>
        <v>#REF!</v>
      </c>
    </row>
    <row r="173" spans="1:256" x14ac:dyDescent="0.25">
      <c r="A173" t="e">
        <f>AND(#REF!,"AAAAAHVtnwA=")</f>
        <v>#REF!</v>
      </c>
      <c r="B173" t="e">
        <f>AND(#REF!,"AAAAAHVtnwE=")</f>
        <v>#REF!</v>
      </c>
      <c r="C173" t="e">
        <f>AND(#REF!,"AAAAAHVtnwI=")</f>
        <v>#REF!</v>
      </c>
      <c r="D173" t="e">
        <f>AND(#REF!,"AAAAAHVtnwM=")</f>
        <v>#REF!</v>
      </c>
      <c r="E173" t="e">
        <f>AND(#REF!,"AAAAAHVtnwQ=")</f>
        <v>#REF!</v>
      </c>
      <c r="F173" t="e">
        <f>AND(#REF!,"AAAAAHVtnwU=")</f>
        <v>#REF!</v>
      </c>
      <c r="G173" t="e">
        <f>AND(#REF!,"AAAAAHVtnwY=")</f>
        <v>#REF!</v>
      </c>
      <c r="H173" t="e">
        <f>AND(#REF!,"AAAAAHVtnwc=")</f>
        <v>#REF!</v>
      </c>
      <c r="I173" t="e">
        <f>AND(#REF!,"AAAAAHVtnwg=")</f>
        <v>#REF!</v>
      </c>
      <c r="J173" t="e">
        <f>AND(#REF!,"AAAAAHVtnwk=")</f>
        <v>#REF!</v>
      </c>
      <c r="K173" t="e">
        <f>AND(#REF!,"AAAAAHVtnwo=")</f>
        <v>#REF!</v>
      </c>
      <c r="L173" t="e">
        <f>AND(#REF!,"AAAAAHVtnws=")</f>
        <v>#REF!</v>
      </c>
      <c r="M173" t="e">
        <f>AND(#REF!,"AAAAAHVtnww=")</f>
        <v>#REF!</v>
      </c>
      <c r="N173" t="e">
        <f>AND(#REF!,"AAAAAHVtnw0=")</f>
        <v>#REF!</v>
      </c>
      <c r="O173" t="e">
        <f>AND(#REF!,"AAAAAHVtnw4=")</f>
        <v>#REF!</v>
      </c>
      <c r="P173" t="e">
        <f>AND(#REF!,"AAAAAHVtnw8=")</f>
        <v>#REF!</v>
      </c>
      <c r="Q173" t="e">
        <f>AND(#REF!,"AAAAAHVtnxA=")</f>
        <v>#REF!</v>
      </c>
      <c r="R173" t="e">
        <f>AND(#REF!,"AAAAAHVtnxE=")</f>
        <v>#REF!</v>
      </c>
      <c r="S173" t="e">
        <f>AND(#REF!,"AAAAAHVtnxI=")</f>
        <v>#REF!</v>
      </c>
      <c r="T173" t="e">
        <f>AND(#REF!,"AAAAAHVtnxM=")</f>
        <v>#REF!</v>
      </c>
      <c r="U173" t="e">
        <f>AND(#REF!,"AAAAAHVtnxQ=")</f>
        <v>#REF!</v>
      </c>
      <c r="V173" t="e">
        <f>AND(#REF!,"AAAAAHVtnxU=")</f>
        <v>#REF!</v>
      </c>
      <c r="W173" t="e">
        <f>AND(#REF!,"AAAAAHVtnxY=")</f>
        <v>#REF!</v>
      </c>
      <c r="X173" t="e">
        <f>AND(#REF!,"AAAAAHVtnxc=")</f>
        <v>#REF!</v>
      </c>
      <c r="Y173" t="e">
        <f>AND(#REF!,"AAAAAHVtnxg=")</f>
        <v>#REF!</v>
      </c>
      <c r="Z173" t="e">
        <f>AND(#REF!,"AAAAAHVtnxk=")</f>
        <v>#REF!</v>
      </c>
      <c r="AA173" t="e">
        <f>AND(#REF!,"AAAAAHVtnxo=")</f>
        <v>#REF!</v>
      </c>
      <c r="AB173" t="e">
        <f>AND(#REF!,"AAAAAHVtnxs=")</f>
        <v>#REF!</v>
      </c>
      <c r="AC173" t="e">
        <f>AND(#REF!,"AAAAAHVtnxw=")</f>
        <v>#REF!</v>
      </c>
      <c r="AD173" t="e">
        <f>AND(#REF!,"AAAAAHVtnx0=")</f>
        <v>#REF!</v>
      </c>
      <c r="AE173" t="e">
        <f>AND(#REF!,"AAAAAHVtnx4=")</f>
        <v>#REF!</v>
      </c>
      <c r="AF173" t="e">
        <f>AND(#REF!,"AAAAAHVtnx8=")</f>
        <v>#REF!</v>
      </c>
      <c r="AG173" t="e">
        <f>AND(#REF!,"AAAAAHVtnyA=")</f>
        <v>#REF!</v>
      </c>
      <c r="AH173" t="e">
        <f>AND(#REF!,"AAAAAHVtnyE=")</f>
        <v>#REF!</v>
      </c>
      <c r="AI173" t="e">
        <f>AND(#REF!,"AAAAAHVtnyI=")</f>
        <v>#REF!</v>
      </c>
      <c r="AJ173" t="e">
        <f>AND(#REF!,"AAAAAHVtnyM=")</f>
        <v>#REF!</v>
      </c>
      <c r="AK173" t="e">
        <f>AND(#REF!,"AAAAAHVtnyQ=")</f>
        <v>#REF!</v>
      </c>
      <c r="AL173" t="e">
        <f>AND(#REF!,"AAAAAHVtnyU=")</f>
        <v>#REF!</v>
      </c>
      <c r="AM173" t="e">
        <f>AND(#REF!,"AAAAAHVtnyY=")</f>
        <v>#REF!</v>
      </c>
      <c r="AN173" t="e">
        <f>AND(#REF!,"AAAAAHVtnyc=")</f>
        <v>#REF!</v>
      </c>
      <c r="AO173" t="e">
        <f>AND(#REF!,"AAAAAHVtnyg=")</f>
        <v>#REF!</v>
      </c>
      <c r="AP173" t="e">
        <f>IF(#REF!,"AAAAAHVtnyk=",0)</f>
        <v>#REF!</v>
      </c>
      <c r="AQ173" t="e">
        <f>AND(#REF!,"AAAAAHVtnyo=")</f>
        <v>#REF!</v>
      </c>
      <c r="AR173" t="e">
        <f>AND(#REF!,"AAAAAHVtnys=")</f>
        <v>#REF!</v>
      </c>
      <c r="AS173" t="e">
        <f>AND(#REF!,"AAAAAHVtnyw=")</f>
        <v>#REF!</v>
      </c>
      <c r="AT173" t="e">
        <f>AND(#REF!,"AAAAAHVtny0=")</f>
        <v>#REF!</v>
      </c>
      <c r="AU173" t="e">
        <f>AND(#REF!,"AAAAAHVtny4=")</f>
        <v>#REF!</v>
      </c>
      <c r="AV173" t="e">
        <f>AND(#REF!,"AAAAAHVtny8=")</f>
        <v>#REF!</v>
      </c>
      <c r="AW173" t="e">
        <f>AND(#REF!,"AAAAAHVtnzA=")</f>
        <v>#REF!</v>
      </c>
      <c r="AX173" t="e">
        <f>AND(#REF!,"AAAAAHVtnzE=")</f>
        <v>#REF!</v>
      </c>
      <c r="AY173" t="e">
        <f>AND(#REF!,"AAAAAHVtnzI=")</f>
        <v>#REF!</v>
      </c>
      <c r="AZ173" t="e">
        <f>AND(#REF!,"AAAAAHVtnzM=")</f>
        <v>#REF!</v>
      </c>
      <c r="BA173" t="e">
        <f>AND(#REF!,"AAAAAHVtnzQ=")</f>
        <v>#REF!</v>
      </c>
      <c r="BB173" t="e">
        <f>AND(#REF!,"AAAAAHVtnzU=")</f>
        <v>#REF!</v>
      </c>
      <c r="BC173" t="e">
        <f>AND(#REF!,"AAAAAHVtnzY=")</f>
        <v>#REF!</v>
      </c>
      <c r="BD173" t="e">
        <f>AND(#REF!,"AAAAAHVtnzc=")</f>
        <v>#REF!</v>
      </c>
      <c r="BE173" t="e">
        <f>AND(#REF!,"AAAAAHVtnzg=")</f>
        <v>#REF!</v>
      </c>
      <c r="BF173" t="e">
        <f>AND(#REF!,"AAAAAHVtnzk=")</f>
        <v>#REF!</v>
      </c>
      <c r="BG173" t="e">
        <f>AND(#REF!,"AAAAAHVtnzo=")</f>
        <v>#REF!</v>
      </c>
      <c r="BH173" t="e">
        <f>AND(#REF!,"AAAAAHVtnzs=")</f>
        <v>#REF!</v>
      </c>
      <c r="BI173" t="e">
        <f>AND(#REF!,"AAAAAHVtnzw=")</f>
        <v>#REF!</v>
      </c>
      <c r="BJ173" t="e">
        <f>AND(#REF!,"AAAAAHVtnz0=")</f>
        <v>#REF!</v>
      </c>
      <c r="BK173" t="e">
        <f>AND(#REF!,"AAAAAHVtnz4=")</f>
        <v>#REF!</v>
      </c>
      <c r="BL173" t="e">
        <f>AND(#REF!,"AAAAAHVtnz8=")</f>
        <v>#REF!</v>
      </c>
      <c r="BM173" t="e">
        <f>AND(#REF!,"AAAAAHVtn0A=")</f>
        <v>#REF!</v>
      </c>
      <c r="BN173" t="e">
        <f>AND(#REF!,"AAAAAHVtn0E=")</f>
        <v>#REF!</v>
      </c>
      <c r="BO173" t="e">
        <f>AND(#REF!,"AAAAAHVtn0I=")</f>
        <v>#REF!</v>
      </c>
      <c r="BP173" t="e">
        <f>AND(#REF!,"AAAAAHVtn0M=")</f>
        <v>#REF!</v>
      </c>
      <c r="BQ173" t="e">
        <f>AND(#REF!,"AAAAAHVtn0Q=")</f>
        <v>#REF!</v>
      </c>
      <c r="BR173" t="e">
        <f>AND(#REF!,"AAAAAHVtn0U=")</f>
        <v>#REF!</v>
      </c>
      <c r="BS173" t="e">
        <f>AND(#REF!,"AAAAAHVtn0Y=")</f>
        <v>#REF!</v>
      </c>
      <c r="BT173" t="e">
        <f>AND(#REF!,"AAAAAHVtn0c=")</f>
        <v>#REF!</v>
      </c>
      <c r="BU173" t="e">
        <f>AND(#REF!,"AAAAAHVtn0g=")</f>
        <v>#REF!</v>
      </c>
      <c r="BV173" t="e">
        <f>AND(#REF!,"AAAAAHVtn0k=")</f>
        <v>#REF!</v>
      </c>
      <c r="BW173" t="e">
        <f>AND(#REF!,"AAAAAHVtn0o=")</f>
        <v>#REF!</v>
      </c>
      <c r="BX173" t="e">
        <f>AND(#REF!,"AAAAAHVtn0s=")</f>
        <v>#REF!</v>
      </c>
      <c r="BY173" t="e">
        <f>AND(#REF!,"AAAAAHVtn0w=")</f>
        <v>#REF!</v>
      </c>
      <c r="BZ173" t="e">
        <f>AND(#REF!,"AAAAAHVtn00=")</f>
        <v>#REF!</v>
      </c>
      <c r="CA173" t="e">
        <f>AND(#REF!,"AAAAAHVtn04=")</f>
        <v>#REF!</v>
      </c>
      <c r="CB173" t="e">
        <f>AND(#REF!,"AAAAAHVtn08=")</f>
        <v>#REF!</v>
      </c>
      <c r="CC173" t="e">
        <f>AND(#REF!,"AAAAAHVtn1A=")</f>
        <v>#REF!</v>
      </c>
      <c r="CD173" t="e">
        <f>AND(#REF!,"AAAAAHVtn1E=")</f>
        <v>#REF!</v>
      </c>
      <c r="CE173" t="e">
        <f>AND(#REF!,"AAAAAHVtn1I=")</f>
        <v>#REF!</v>
      </c>
      <c r="CF173" t="e">
        <f>AND(#REF!,"AAAAAHVtn1M=")</f>
        <v>#REF!</v>
      </c>
      <c r="CG173" t="e">
        <f>AND(#REF!,"AAAAAHVtn1Q=")</f>
        <v>#REF!</v>
      </c>
      <c r="CH173" t="e">
        <f>AND(#REF!,"AAAAAHVtn1U=")</f>
        <v>#REF!</v>
      </c>
      <c r="CI173" t="e">
        <f>AND(#REF!,"AAAAAHVtn1Y=")</f>
        <v>#REF!</v>
      </c>
      <c r="CJ173" t="e">
        <f>AND(#REF!,"AAAAAHVtn1c=")</f>
        <v>#REF!</v>
      </c>
      <c r="CK173" t="e">
        <f>AND(#REF!,"AAAAAHVtn1g=")</f>
        <v>#REF!</v>
      </c>
      <c r="CL173" t="e">
        <f>AND(#REF!,"AAAAAHVtn1k=")</f>
        <v>#REF!</v>
      </c>
      <c r="CM173" t="e">
        <f>AND(#REF!,"AAAAAHVtn1o=")</f>
        <v>#REF!</v>
      </c>
      <c r="CN173" t="e">
        <f>AND(#REF!,"AAAAAHVtn1s=")</f>
        <v>#REF!</v>
      </c>
      <c r="CO173" t="e">
        <f>AND(#REF!,"AAAAAHVtn1w=")</f>
        <v>#REF!</v>
      </c>
      <c r="CP173" t="e">
        <f>AND(#REF!,"AAAAAHVtn10=")</f>
        <v>#REF!</v>
      </c>
      <c r="CQ173" t="e">
        <f>AND(#REF!,"AAAAAHVtn14=")</f>
        <v>#REF!</v>
      </c>
      <c r="CR173" t="e">
        <f>AND(#REF!,"AAAAAHVtn18=")</f>
        <v>#REF!</v>
      </c>
      <c r="CS173" t="e">
        <f>AND(#REF!,"AAAAAHVtn2A=")</f>
        <v>#REF!</v>
      </c>
      <c r="CT173" t="e">
        <f>AND(#REF!,"AAAAAHVtn2E=")</f>
        <v>#REF!</v>
      </c>
      <c r="CU173" t="e">
        <f>AND(#REF!,"AAAAAHVtn2I=")</f>
        <v>#REF!</v>
      </c>
      <c r="CV173" t="e">
        <f>AND(#REF!,"AAAAAHVtn2M=")</f>
        <v>#REF!</v>
      </c>
      <c r="CW173" t="e">
        <f>AND(#REF!,"AAAAAHVtn2Q=")</f>
        <v>#REF!</v>
      </c>
      <c r="CX173" t="e">
        <f>AND(#REF!,"AAAAAHVtn2U=")</f>
        <v>#REF!</v>
      </c>
      <c r="CY173" t="e">
        <f>AND(#REF!,"AAAAAHVtn2Y=")</f>
        <v>#REF!</v>
      </c>
      <c r="CZ173" t="e">
        <f>AND(#REF!,"AAAAAHVtn2c=")</f>
        <v>#REF!</v>
      </c>
      <c r="DA173" t="e">
        <f>AND(#REF!,"AAAAAHVtn2g=")</f>
        <v>#REF!</v>
      </c>
      <c r="DB173" t="e">
        <f>AND(#REF!,"AAAAAHVtn2k=")</f>
        <v>#REF!</v>
      </c>
      <c r="DC173" t="e">
        <f>AND(#REF!,"AAAAAHVtn2o=")</f>
        <v>#REF!</v>
      </c>
      <c r="DD173" t="e">
        <f>AND(#REF!,"AAAAAHVtn2s=")</f>
        <v>#REF!</v>
      </c>
      <c r="DE173" t="e">
        <f>AND(#REF!,"AAAAAHVtn2w=")</f>
        <v>#REF!</v>
      </c>
      <c r="DF173" t="e">
        <f>AND(#REF!,"AAAAAHVtn20=")</f>
        <v>#REF!</v>
      </c>
      <c r="DG173" t="e">
        <f>IF(#REF!,"AAAAAHVtn24=",0)</f>
        <v>#REF!</v>
      </c>
      <c r="DH173" t="e">
        <f>AND(#REF!,"AAAAAHVtn28=")</f>
        <v>#REF!</v>
      </c>
      <c r="DI173" t="e">
        <f>AND(#REF!,"AAAAAHVtn3A=")</f>
        <v>#REF!</v>
      </c>
      <c r="DJ173" t="e">
        <f>AND(#REF!,"AAAAAHVtn3E=")</f>
        <v>#REF!</v>
      </c>
      <c r="DK173" t="e">
        <f>AND(#REF!,"AAAAAHVtn3I=")</f>
        <v>#REF!</v>
      </c>
      <c r="DL173" t="e">
        <f>AND(#REF!,"AAAAAHVtn3M=")</f>
        <v>#REF!</v>
      </c>
      <c r="DM173" t="e">
        <f>AND(#REF!,"AAAAAHVtn3Q=")</f>
        <v>#REF!</v>
      </c>
      <c r="DN173" t="e">
        <f>AND(#REF!,"AAAAAHVtn3U=")</f>
        <v>#REF!</v>
      </c>
      <c r="DO173" t="e">
        <f>AND(#REF!,"AAAAAHVtn3Y=")</f>
        <v>#REF!</v>
      </c>
      <c r="DP173" t="e">
        <f>AND(#REF!,"AAAAAHVtn3c=")</f>
        <v>#REF!</v>
      </c>
      <c r="DQ173" t="e">
        <f>AND(#REF!,"AAAAAHVtn3g=")</f>
        <v>#REF!</v>
      </c>
      <c r="DR173" t="e">
        <f>AND(#REF!,"AAAAAHVtn3k=")</f>
        <v>#REF!</v>
      </c>
      <c r="DS173" t="e">
        <f>AND(#REF!,"AAAAAHVtn3o=")</f>
        <v>#REF!</v>
      </c>
      <c r="DT173" t="e">
        <f>AND(#REF!,"AAAAAHVtn3s=")</f>
        <v>#REF!</v>
      </c>
      <c r="DU173" t="e">
        <f>AND(#REF!,"AAAAAHVtn3w=")</f>
        <v>#REF!</v>
      </c>
      <c r="DV173" t="e">
        <f>AND(#REF!,"AAAAAHVtn30=")</f>
        <v>#REF!</v>
      </c>
      <c r="DW173" t="e">
        <f>AND(#REF!,"AAAAAHVtn34=")</f>
        <v>#REF!</v>
      </c>
      <c r="DX173" t="e">
        <f>AND(#REF!,"AAAAAHVtn38=")</f>
        <v>#REF!</v>
      </c>
      <c r="DY173" t="e">
        <f>AND(#REF!,"AAAAAHVtn4A=")</f>
        <v>#REF!</v>
      </c>
      <c r="DZ173" t="e">
        <f>AND(#REF!,"AAAAAHVtn4E=")</f>
        <v>#REF!</v>
      </c>
      <c r="EA173" t="e">
        <f>AND(#REF!,"AAAAAHVtn4I=")</f>
        <v>#REF!</v>
      </c>
      <c r="EB173" t="e">
        <f>AND(#REF!,"AAAAAHVtn4M=")</f>
        <v>#REF!</v>
      </c>
      <c r="EC173" t="e">
        <f>AND(#REF!,"AAAAAHVtn4Q=")</f>
        <v>#REF!</v>
      </c>
      <c r="ED173" t="e">
        <f>AND(#REF!,"AAAAAHVtn4U=")</f>
        <v>#REF!</v>
      </c>
      <c r="EE173" t="e">
        <f>AND(#REF!,"AAAAAHVtn4Y=")</f>
        <v>#REF!</v>
      </c>
      <c r="EF173" t="e">
        <f>AND(#REF!,"AAAAAHVtn4c=")</f>
        <v>#REF!</v>
      </c>
      <c r="EG173" t="e">
        <f>AND(#REF!,"AAAAAHVtn4g=")</f>
        <v>#REF!</v>
      </c>
      <c r="EH173" t="e">
        <f>AND(#REF!,"AAAAAHVtn4k=")</f>
        <v>#REF!</v>
      </c>
      <c r="EI173" t="e">
        <f>AND(#REF!,"AAAAAHVtn4o=")</f>
        <v>#REF!</v>
      </c>
      <c r="EJ173" t="e">
        <f>AND(#REF!,"AAAAAHVtn4s=")</f>
        <v>#REF!</v>
      </c>
      <c r="EK173" t="e">
        <f>AND(#REF!,"AAAAAHVtn4w=")</f>
        <v>#REF!</v>
      </c>
      <c r="EL173" t="e">
        <f>AND(#REF!,"AAAAAHVtn40=")</f>
        <v>#REF!</v>
      </c>
      <c r="EM173" t="e">
        <f>AND(#REF!,"AAAAAHVtn44=")</f>
        <v>#REF!</v>
      </c>
      <c r="EN173" t="e">
        <f>AND(#REF!,"AAAAAHVtn48=")</f>
        <v>#REF!</v>
      </c>
      <c r="EO173" t="e">
        <f>AND(#REF!,"AAAAAHVtn5A=")</f>
        <v>#REF!</v>
      </c>
      <c r="EP173" t="e">
        <f>AND(#REF!,"AAAAAHVtn5E=")</f>
        <v>#REF!</v>
      </c>
      <c r="EQ173" t="e">
        <f>AND(#REF!,"AAAAAHVtn5I=")</f>
        <v>#REF!</v>
      </c>
      <c r="ER173" t="e">
        <f>AND(#REF!,"AAAAAHVtn5M=")</f>
        <v>#REF!</v>
      </c>
      <c r="ES173" t="e">
        <f>AND(#REF!,"AAAAAHVtn5Q=")</f>
        <v>#REF!</v>
      </c>
      <c r="ET173" t="e">
        <f>AND(#REF!,"AAAAAHVtn5U=")</f>
        <v>#REF!</v>
      </c>
      <c r="EU173" t="e">
        <f>AND(#REF!,"AAAAAHVtn5Y=")</f>
        <v>#REF!</v>
      </c>
      <c r="EV173" t="e">
        <f>AND(#REF!,"AAAAAHVtn5c=")</f>
        <v>#REF!</v>
      </c>
      <c r="EW173" t="e">
        <f>AND(#REF!,"AAAAAHVtn5g=")</f>
        <v>#REF!</v>
      </c>
      <c r="EX173" t="e">
        <f>AND(#REF!,"AAAAAHVtn5k=")</f>
        <v>#REF!</v>
      </c>
      <c r="EY173" t="e">
        <f>AND(#REF!,"AAAAAHVtn5o=")</f>
        <v>#REF!</v>
      </c>
      <c r="EZ173" t="e">
        <f>AND(#REF!,"AAAAAHVtn5s=")</f>
        <v>#REF!</v>
      </c>
      <c r="FA173" t="e">
        <f>AND(#REF!,"AAAAAHVtn5w=")</f>
        <v>#REF!</v>
      </c>
      <c r="FB173" t="e">
        <f>AND(#REF!,"AAAAAHVtn50=")</f>
        <v>#REF!</v>
      </c>
      <c r="FC173" t="e">
        <f>AND(#REF!,"AAAAAHVtn54=")</f>
        <v>#REF!</v>
      </c>
      <c r="FD173" t="e">
        <f>AND(#REF!,"AAAAAHVtn58=")</f>
        <v>#REF!</v>
      </c>
      <c r="FE173" t="e">
        <f>AND(#REF!,"AAAAAHVtn6A=")</f>
        <v>#REF!</v>
      </c>
      <c r="FF173" t="e">
        <f>AND(#REF!,"AAAAAHVtn6E=")</f>
        <v>#REF!</v>
      </c>
      <c r="FG173" t="e">
        <f>AND(#REF!,"AAAAAHVtn6I=")</f>
        <v>#REF!</v>
      </c>
      <c r="FH173" t="e">
        <f>AND(#REF!,"AAAAAHVtn6M=")</f>
        <v>#REF!</v>
      </c>
      <c r="FI173" t="e">
        <f>AND(#REF!,"AAAAAHVtn6Q=")</f>
        <v>#REF!</v>
      </c>
      <c r="FJ173" t="e">
        <f>AND(#REF!,"AAAAAHVtn6U=")</f>
        <v>#REF!</v>
      </c>
      <c r="FK173" t="e">
        <f>AND(#REF!,"AAAAAHVtn6Y=")</f>
        <v>#REF!</v>
      </c>
      <c r="FL173" t="e">
        <f>AND(#REF!,"AAAAAHVtn6c=")</f>
        <v>#REF!</v>
      </c>
      <c r="FM173" t="e">
        <f>AND(#REF!,"AAAAAHVtn6g=")</f>
        <v>#REF!</v>
      </c>
      <c r="FN173" t="e">
        <f>AND(#REF!,"AAAAAHVtn6k=")</f>
        <v>#REF!</v>
      </c>
      <c r="FO173" t="e">
        <f>AND(#REF!,"AAAAAHVtn6o=")</f>
        <v>#REF!</v>
      </c>
      <c r="FP173" t="e">
        <f>AND(#REF!,"AAAAAHVtn6s=")</f>
        <v>#REF!</v>
      </c>
      <c r="FQ173" t="e">
        <f>AND(#REF!,"AAAAAHVtn6w=")</f>
        <v>#REF!</v>
      </c>
      <c r="FR173" t="e">
        <f>AND(#REF!,"AAAAAHVtn60=")</f>
        <v>#REF!</v>
      </c>
      <c r="FS173" t="e">
        <f>AND(#REF!,"AAAAAHVtn64=")</f>
        <v>#REF!</v>
      </c>
      <c r="FT173" t="e">
        <f>AND(#REF!,"AAAAAHVtn68=")</f>
        <v>#REF!</v>
      </c>
      <c r="FU173" t="e">
        <f>AND(#REF!,"AAAAAHVtn7A=")</f>
        <v>#REF!</v>
      </c>
      <c r="FV173" t="e">
        <f>AND(#REF!,"AAAAAHVtn7E=")</f>
        <v>#REF!</v>
      </c>
      <c r="FW173" t="e">
        <f>AND(#REF!,"AAAAAHVtn7I=")</f>
        <v>#REF!</v>
      </c>
      <c r="FX173" t="e">
        <f>IF(#REF!,"AAAAAHVtn7M=",0)</f>
        <v>#REF!</v>
      </c>
      <c r="FY173" t="e">
        <f>AND(#REF!,"AAAAAHVtn7Q=")</f>
        <v>#REF!</v>
      </c>
      <c r="FZ173" t="e">
        <f>AND(#REF!,"AAAAAHVtn7U=")</f>
        <v>#REF!</v>
      </c>
      <c r="GA173" t="e">
        <f>AND(#REF!,"AAAAAHVtn7Y=")</f>
        <v>#REF!</v>
      </c>
      <c r="GB173" t="e">
        <f>AND(#REF!,"AAAAAHVtn7c=")</f>
        <v>#REF!</v>
      </c>
      <c r="GC173" t="e">
        <f>AND(#REF!,"AAAAAHVtn7g=")</f>
        <v>#REF!</v>
      </c>
      <c r="GD173" t="e">
        <f>AND(#REF!,"AAAAAHVtn7k=")</f>
        <v>#REF!</v>
      </c>
      <c r="GE173" t="e">
        <f>AND(#REF!,"AAAAAHVtn7o=")</f>
        <v>#REF!</v>
      </c>
      <c r="GF173" t="e">
        <f>AND(#REF!,"AAAAAHVtn7s=")</f>
        <v>#REF!</v>
      </c>
      <c r="GG173" t="e">
        <f>AND(#REF!,"AAAAAHVtn7w=")</f>
        <v>#REF!</v>
      </c>
      <c r="GH173" t="e">
        <f>AND(#REF!,"AAAAAHVtn70=")</f>
        <v>#REF!</v>
      </c>
      <c r="GI173" t="e">
        <f>AND(#REF!,"AAAAAHVtn74=")</f>
        <v>#REF!</v>
      </c>
      <c r="GJ173" t="e">
        <f>AND(#REF!,"AAAAAHVtn78=")</f>
        <v>#REF!</v>
      </c>
      <c r="GK173" t="e">
        <f>AND(#REF!,"AAAAAHVtn8A=")</f>
        <v>#REF!</v>
      </c>
      <c r="GL173" t="e">
        <f>AND(#REF!,"AAAAAHVtn8E=")</f>
        <v>#REF!</v>
      </c>
      <c r="GM173" t="e">
        <f>AND(#REF!,"AAAAAHVtn8I=")</f>
        <v>#REF!</v>
      </c>
      <c r="GN173" t="e">
        <f>AND(#REF!,"AAAAAHVtn8M=")</f>
        <v>#REF!</v>
      </c>
      <c r="GO173" t="e">
        <f>AND(#REF!,"AAAAAHVtn8Q=")</f>
        <v>#REF!</v>
      </c>
      <c r="GP173" t="e">
        <f>AND(#REF!,"AAAAAHVtn8U=")</f>
        <v>#REF!</v>
      </c>
      <c r="GQ173" t="e">
        <f>AND(#REF!,"AAAAAHVtn8Y=")</f>
        <v>#REF!</v>
      </c>
      <c r="GR173" t="e">
        <f>AND(#REF!,"AAAAAHVtn8c=")</f>
        <v>#REF!</v>
      </c>
      <c r="GS173" t="e">
        <f>AND(#REF!,"AAAAAHVtn8g=")</f>
        <v>#REF!</v>
      </c>
      <c r="GT173" t="e">
        <f>AND(#REF!,"AAAAAHVtn8k=")</f>
        <v>#REF!</v>
      </c>
      <c r="GU173" t="e">
        <f>AND(#REF!,"AAAAAHVtn8o=")</f>
        <v>#REF!</v>
      </c>
      <c r="GV173" t="e">
        <f>AND(#REF!,"AAAAAHVtn8s=")</f>
        <v>#REF!</v>
      </c>
      <c r="GW173" t="e">
        <f>AND(#REF!,"AAAAAHVtn8w=")</f>
        <v>#REF!</v>
      </c>
      <c r="GX173" t="e">
        <f>AND(#REF!,"AAAAAHVtn80=")</f>
        <v>#REF!</v>
      </c>
      <c r="GY173" t="e">
        <f>AND(#REF!,"AAAAAHVtn84=")</f>
        <v>#REF!</v>
      </c>
      <c r="GZ173" t="e">
        <f>AND(#REF!,"AAAAAHVtn88=")</f>
        <v>#REF!</v>
      </c>
      <c r="HA173" t="e">
        <f>AND(#REF!,"AAAAAHVtn9A=")</f>
        <v>#REF!</v>
      </c>
      <c r="HB173" t="e">
        <f>AND(#REF!,"AAAAAHVtn9E=")</f>
        <v>#REF!</v>
      </c>
      <c r="HC173" t="e">
        <f>AND(#REF!,"AAAAAHVtn9I=")</f>
        <v>#REF!</v>
      </c>
      <c r="HD173" t="e">
        <f>AND(#REF!,"AAAAAHVtn9M=")</f>
        <v>#REF!</v>
      </c>
      <c r="HE173" t="e">
        <f>AND(#REF!,"AAAAAHVtn9Q=")</f>
        <v>#REF!</v>
      </c>
      <c r="HF173" t="e">
        <f>AND(#REF!,"AAAAAHVtn9U=")</f>
        <v>#REF!</v>
      </c>
      <c r="HG173" t="e">
        <f>AND(#REF!,"AAAAAHVtn9Y=")</f>
        <v>#REF!</v>
      </c>
      <c r="HH173" t="e">
        <f>AND(#REF!,"AAAAAHVtn9c=")</f>
        <v>#REF!</v>
      </c>
      <c r="HI173" t="e">
        <f>AND(#REF!,"AAAAAHVtn9g=")</f>
        <v>#REF!</v>
      </c>
      <c r="HJ173" t="e">
        <f>AND(#REF!,"AAAAAHVtn9k=")</f>
        <v>#REF!</v>
      </c>
      <c r="HK173" t="e">
        <f>AND(#REF!,"AAAAAHVtn9o=")</f>
        <v>#REF!</v>
      </c>
      <c r="HL173" t="e">
        <f>AND(#REF!,"AAAAAHVtn9s=")</f>
        <v>#REF!</v>
      </c>
      <c r="HM173" t="e">
        <f>AND(#REF!,"AAAAAHVtn9w=")</f>
        <v>#REF!</v>
      </c>
      <c r="HN173" t="e">
        <f>AND(#REF!,"AAAAAHVtn90=")</f>
        <v>#REF!</v>
      </c>
      <c r="HO173" t="e">
        <f>AND(#REF!,"AAAAAHVtn94=")</f>
        <v>#REF!</v>
      </c>
      <c r="HP173" t="e">
        <f>AND(#REF!,"AAAAAHVtn98=")</f>
        <v>#REF!</v>
      </c>
      <c r="HQ173" t="e">
        <f>AND(#REF!,"AAAAAHVtn+A=")</f>
        <v>#REF!</v>
      </c>
      <c r="HR173" t="e">
        <f>AND(#REF!,"AAAAAHVtn+E=")</f>
        <v>#REF!</v>
      </c>
      <c r="HS173" t="e">
        <f>AND(#REF!,"AAAAAHVtn+I=")</f>
        <v>#REF!</v>
      </c>
      <c r="HT173" t="e">
        <f>AND(#REF!,"AAAAAHVtn+M=")</f>
        <v>#REF!</v>
      </c>
      <c r="HU173" t="e">
        <f>AND(#REF!,"AAAAAHVtn+Q=")</f>
        <v>#REF!</v>
      </c>
      <c r="HV173" t="e">
        <f>AND(#REF!,"AAAAAHVtn+U=")</f>
        <v>#REF!</v>
      </c>
      <c r="HW173" t="e">
        <f>AND(#REF!,"AAAAAHVtn+Y=")</f>
        <v>#REF!</v>
      </c>
      <c r="HX173" t="e">
        <f>AND(#REF!,"AAAAAHVtn+c=")</f>
        <v>#REF!</v>
      </c>
      <c r="HY173" t="e">
        <f>AND(#REF!,"AAAAAHVtn+g=")</f>
        <v>#REF!</v>
      </c>
      <c r="HZ173" t="e">
        <f>AND(#REF!,"AAAAAHVtn+k=")</f>
        <v>#REF!</v>
      </c>
      <c r="IA173" t="e">
        <f>AND(#REF!,"AAAAAHVtn+o=")</f>
        <v>#REF!</v>
      </c>
      <c r="IB173" t="e">
        <f>AND(#REF!,"AAAAAHVtn+s=")</f>
        <v>#REF!</v>
      </c>
      <c r="IC173" t="e">
        <f>AND(#REF!,"AAAAAHVtn+w=")</f>
        <v>#REF!</v>
      </c>
      <c r="ID173" t="e">
        <f>AND(#REF!,"AAAAAHVtn+0=")</f>
        <v>#REF!</v>
      </c>
      <c r="IE173" t="e">
        <f>AND(#REF!,"AAAAAHVtn+4=")</f>
        <v>#REF!</v>
      </c>
      <c r="IF173" t="e">
        <f>AND(#REF!,"AAAAAHVtn+8=")</f>
        <v>#REF!</v>
      </c>
      <c r="IG173" t="e">
        <f>AND(#REF!,"AAAAAHVtn/A=")</f>
        <v>#REF!</v>
      </c>
      <c r="IH173" t="e">
        <f>AND(#REF!,"AAAAAHVtn/E=")</f>
        <v>#REF!</v>
      </c>
      <c r="II173" t="e">
        <f>AND(#REF!,"AAAAAHVtn/I=")</f>
        <v>#REF!</v>
      </c>
      <c r="IJ173" t="e">
        <f>AND(#REF!,"AAAAAHVtn/M=")</f>
        <v>#REF!</v>
      </c>
      <c r="IK173" t="e">
        <f>AND(#REF!,"AAAAAHVtn/Q=")</f>
        <v>#REF!</v>
      </c>
      <c r="IL173" t="e">
        <f>AND(#REF!,"AAAAAHVtn/U=")</f>
        <v>#REF!</v>
      </c>
      <c r="IM173" t="e">
        <f>AND(#REF!,"AAAAAHVtn/Y=")</f>
        <v>#REF!</v>
      </c>
      <c r="IN173" t="e">
        <f>AND(#REF!,"AAAAAHVtn/c=")</f>
        <v>#REF!</v>
      </c>
      <c r="IO173" t="e">
        <f>IF(#REF!,"AAAAAHVtn/g=",0)</f>
        <v>#REF!</v>
      </c>
      <c r="IP173" t="e">
        <f>AND(#REF!,"AAAAAHVtn/k=")</f>
        <v>#REF!</v>
      </c>
      <c r="IQ173" t="e">
        <f>AND(#REF!,"AAAAAHVtn/o=")</f>
        <v>#REF!</v>
      </c>
      <c r="IR173" t="e">
        <f>AND(#REF!,"AAAAAHVtn/s=")</f>
        <v>#REF!</v>
      </c>
      <c r="IS173" t="e">
        <f>AND(#REF!,"AAAAAHVtn/w=")</f>
        <v>#REF!</v>
      </c>
      <c r="IT173" t="e">
        <f>AND(#REF!,"AAAAAHVtn/0=")</f>
        <v>#REF!</v>
      </c>
      <c r="IU173" t="e">
        <f>AND(#REF!,"AAAAAHVtn/4=")</f>
        <v>#REF!</v>
      </c>
      <c r="IV173" t="e">
        <f>AND(#REF!,"AAAAAHVtn/8=")</f>
        <v>#REF!</v>
      </c>
    </row>
    <row r="174" spans="1:256" x14ac:dyDescent="0.25">
      <c r="A174" t="e">
        <f>AND(#REF!,"AAAAAHl2/wA=")</f>
        <v>#REF!</v>
      </c>
      <c r="B174" t="e">
        <f>AND(#REF!,"AAAAAHl2/wE=")</f>
        <v>#REF!</v>
      </c>
      <c r="C174" t="e">
        <f>AND(#REF!,"AAAAAHl2/wI=")</f>
        <v>#REF!</v>
      </c>
      <c r="D174" t="e">
        <f>AND(#REF!,"AAAAAHl2/wM=")</f>
        <v>#REF!</v>
      </c>
      <c r="E174" t="e">
        <f>AND(#REF!,"AAAAAHl2/wQ=")</f>
        <v>#REF!</v>
      </c>
      <c r="F174" t="e">
        <f>AND(#REF!,"AAAAAHl2/wU=")</f>
        <v>#REF!</v>
      </c>
      <c r="G174" t="e">
        <f>AND(#REF!,"AAAAAHl2/wY=")</f>
        <v>#REF!</v>
      </c>
      <c r="H174" t="e">
        <f>AND(#REF!,"AAAAAHl2/wc=")</f>
        <v>#REF!</v>
      </c>
      <c r="I174" t="e">
        <f>AND(#REF!,"AAAAAHl2/wg=")</f>
        <v>#REF!</v>
      </c>
      <c r="J174" t="e">
        <f>AND(#REF!,"AAAAAHl2/wk=")</f>
        <v>#REF!</v>
      </c>
      <c r="K174" t="e">
        <f>AND(#REF!,"AAAAAHl2/wo=")</f>
        <v>#REF!</v>
      </c>
      <c r="L174" t="e">
        <f>AND(#REF!,"AAAAAHl2/ws=")</f>
        <v>#REF!</v>
      </c>
      <c r="M174" t="e">
        <f>AND(#REF!,"AAAAAHl2/ww=")</f>
        <v>#REF!</v>
      </c>
      <c r="N174" t="e">
        <f>AND(#REF!,"AAAAAHl2/w0=")</f>
        <v>#REF!</v>
      </c>
      <c r="O174" t="e">
        <f>AND(#REF!,"AAAAAHl2/w4=")</f>
        <v>#REF!</v>
      </c>
      <c r="P174" t="e">
        <f>AND(#REF!,"AAAAAHl2/w8=")</f>
        <v>#REF!</v>
      </c>
      <c r="Q174" t="e">
        <f>AND(#REF!,"AAAAAHl2/xA=")</f>
        <v>#REF!</v>
      </c>
      <c r="R174" t="e">
        <f>AND(#REF!,"AAAAAHl2/xE=")</f>
        <v>#REF!</v>
      </c>
      <c r="S174" t="e">
        <f>AND(#REF!,"AAAAAHl2/xI=")</f>
        <v>#REF!</v>
      </c>
      <c r="T174" t="e">
        <f>AND(#REF!,"AAAAAHl2/xM=")</f>
        <v>#REF!</v>
      </c>
      <c r="U174" t="e">
        <f>AND(#REF!,"AAAAAHl2/xQ=")</f>
        <v>#REF!</v>
      </c>
      <c r="V174" t="e">
        <f>AND(#REF!,"AAAAAHl2/xU=")</f>
        <v>#REF!</v>
      </c>
      <c r="W174" t="e">
        <f>AND(#REF!,"AAAAAHl2/xY=")</f>
        <v>#REF!</v>
      </c>
      <c r="X174" t="e">
        <f>AND(#REF!,"AAAAAHl2/xc=")</f>
        <v>#REF!</v>
      </c>
      <c r="Y174" t="e">
        <f>AND(#REF!,"AAAAAHl2/xg=")</f>
        <v>#REF!</v>
      </c>
      <c r="Z174" t="e">
        <f>AND(#REF!,"AAAAAHl2/xk=")</f>
        <v>#REF!</v>
      </c>
      <c r="AA174" t="e">
        <f>AND(#REF!,"AAAAAHl2/xo=")</f>
        <v>#REF!</v>
      </c>
      <c r="AB174" t="e">
        <f>AND(#REF!,"AAAAAHl2/xs=")</f>
        <v>#REF!</v>
      </c>
      <c r="AC174" t="e">
        <f>AND(#REF!,"AAAAAHl2/xw=")</f>
        <v>#REF!</v>
      </c>
      <c r="AD174" t="e">
        <f>AND(#REF!,"AAAAAHl2/x0=")</f>
        <v>#REF!</v>
      </c>
      <c r="AE174" t="e">
        <f>AND(#REF!,"AAAAAHl2/x4=")</f>
        <v>#REF!</v>
      </c>
      <c r="AF174" t="e">
        <f>AND(#REF!,"AAAAAHl2/x8=")</f>
        <v>#REF!</v>
      </c>
      <c r="AG174" t="e">
        <f>AND(#REF!,"AAAAAHl2/yA=")</f>
        <v>#REF!</v>
      </c>
      <c r="AH174" t="e">
        <f>AND(#REF!,"AAAAAHl2/yE=")</f>
        <v>#REF!</v>
      </c>
      <c r="AI174" t="e">
        <f>AND(#REF!,"AAAAAHl2/yI=")</f>
        <v>#REF!</v>
      </c>
      <c r="AJ174" t="e">
        <f>AND(#REF!,"AAAAAHl2/yM=")</f>
        <v>#REF!</v>
      </c>
      <c r="AK174" t="e">
        <f>AND(#REF!,"AAAAAHl2/yQ=")</f>
        <v>#REF!</v>
      </c>
      <c r="AL174" t="e">
        <f>AND(#REF!,"AAAAAHl2/yU=")</f>
        <v>#REF!</v>
      </c>
      <c r="AM174" t="e">
        <f>AND(#REF!,"AAAAAHl2/yY=")</f>
        <v>#REF!</v>
      </c>
      <c r="AN174" t="e">
        <f>AND(#REF!,"AAAAAHl2/yc=")</f>
        <v>#REF!</v>
      </c>
      <c r="AO174" t="e">
        <f>AND(#REF!,"AAAAAHl2/yg=")</f>
        <v>#REF!</v>
      </c>
      <c r="AP174" t="e">
        <f>AND(#REF!,"AAAAAHl2/yk=")</f>
        <v>#REF!</v>
      </c>
      <c r="AQ174" t="e">
        <f>AND(#REF!,"AAAAAHl2/yo=")</f>
        <v>#REF!</v>
      </c>
      <c r="AR174" t="e">
        <f>AND(#REF!,"AAAAAHl2/ys=")</f>
        <v>#REF!</v>
      </c>
      <c r="AS174" t="e">
        <f>AND(#REF!,"AAAAAHl2/yw=")</f>
        <v>#REF!</v>
      </c>
      <c r="AT174" t="e">
        <f>AND(#REF!,"AAAAAHl2/y0=")</f>
        <v>#REF!</v>
      </c>
      <c r="AU174" t="e">
        <f>AND(#REF!,"AAAAAHl2/y4=")</f>
        <v>#REF!</v>
      </c>
      <c r="AV174" t="e">
        <f>AND(#REF!,"AAAAAHl2/y8=")</f>
        <v>#REF!</v>
      </c>
      <c r="AW174" t="e">
        <f>AND(#REF!,"AAAAAHl2/zA=")</f>
        <v>#REF!</v>
      </c>
      <c r="AX174" t="e">
        <f>AND(#REF!,"AAAAAHl2/zE=")</f>
        <v>#REF!</v>
      </c>
      <c r="AY174" t="e">
        <f>AND(#REF!,"AAAAAHl2/zI=")</f>
        <v>#REF!</v>
      </c>
      <c r="AZ174" t="e">
        <f>AND(#REF!,"AAAAAHl2/zM=")</f>
        <v>#REF!</v>
      </c>
      <c r="BA174" t="e">
        <f>AND(#REF!,"AAAAAHl2/zQ=")</f>
        <v>#REF!</v>
      </c>
      <c r="BB174" t="e">
        <f>AND(#REF!,"AAAAAHl2/zU=")</f>
        <v>#REF!</v>
      </c>
      <c r="BC174" t="e">
        <f>AND(#REF!,"AAAAAHl2/zY=")</f>
        <v>#REF!</v>
      </c>
      <c r="BD174" t="e">
        <f>AND(#REF!,"AAAAAHl2/zc=")</f>
        <v>#REF!</v>
      </c>
      <c r="BE174" t="e">
        <f>AND(#REF!,"AAAAAHl2/zg=")</f>
        <v>#REF!</v>
      </c>
      <c r="BF174" t="e">
        <f>AND(#REF!,"AAAAAHl2/zk=")</f>
        <v>#REF!</v>
      </c>
      <c r="BG174" t="e">
        <f>AND(#REF!,"AAAAAHl2/zo=")</f>
        <v>#REF!</v>
      </c>
      <c r="BH174" t="e">
        <f>AND(#REF!,"AAAAAHl2/zs=")</f>
        <v>#REF!</v>
      </c>
      <c r="BI174" t="e">
        <f>AND(#REF!,"AAAAAHl2/zw=")</f>
        <v>#REF!</v>
      </c>
      <c r="BJ174" t="e">
        <f>IF(#REF!,"AAAAAHl2/z0=",0)</f>
        <v>#REF!</v>
      </c>
      <c r="BK174" t="e">
        <f>AND(#REF!,"AAAAAHl2/z4=")</f>
        <v>#REF!</v>
      </c>
      <c r="BL174" t="e">
        <f>AND(#REF!,"AAAAAHl2/z8=")</f>
        <v>#REF!</v>
      </c>
      <c r="BM174" t="e">
        <f>AND(#REF!,"AAAAAHl2/0A=")</f>
        <v>#REF!</v>
      </c>
      <c r="BN174" t="e">
        <f>AND(#REF!,"AAAAAHl2/0E=")</f>
        <v>#REF!</v>
      </c>
      <c r="BO174" t="e">
        <f>AND(#REF!,"AAAAAHl2/0I=")</f>
        <v>#REF!</v>
      </c>
      <c r="BP174" t="e">
        <f>AND(#REF!,"AAAAAHl2/0M=")</f>
        <v>#REF!</v>
      </c>
      <c r="BQ174" t="e">
        <f>AND(#REF!,"AAAAAHl2/0Q=")</f>
        <v>#REF!</v>
      </c>
      <c r="BR174" t="e">
        <f>AND(#REF!,"AAAAAHl2/0U=")</f>
        <v>#REF!</v>
      </c>
      <c r="BS174" t="e">
        <f>AND(#REF!,"AAAAAHl2/0Y=")</f>
        <v>#REF!</v>
      </c>
      <c r="BT174" t="e">
        <f>AND(#REF!,"AAAAAHl2/0c=")</f>
        <v>#REF!</v>
      </c>
      <c r="BU174" t="e">
        <f>AND(#REF!,"AAAAAHl2/0g=")</f>
        <v>#REF!</v>
      </c>
      <c r="BV174" t="e">
        <f>AND(#REF!,"AAAAAHl2/0k=")</f>
        <v>#REF!</v>
      </c>
      <c r="BW174" t="e">
        <f>AND(#REF!,"AAAAAHl2/0o=")</f>
        <v>#REF!</v>
      </c>
      <c r="BX174" t="e">
        <f>AND(#REF!,"AAAAAHl2/0s=")</f>
        <v>#REF!</v>
      </c>
      <c r="BY174" t="e">
        <f>AND(#REF!,"AAAAAHl2/0w=")</f>
        <v>#REF!</v>
      </c>
      <c r="BZ174" t="e">
        <f>AND(#REF!,"AAAAAHl2/00=")</f>
        <v>#REF!</v>
      </c>
      <c r="CA174" t="e">
        <f>AND(#REF!,"AAAAAHl2/04=")</f>
        <v>#REF!</v>
      </c>
      <c r="CB174" t="e">
        <f>AND(#REF!,"AAAAAHl2/08=")</f>
        <v>#REF!</v>
      </c>
      <c r="CC174" t="e">
        <f>AND(#REF!,"AAAAAHl2/1A=")</f>
        <v>#REF!</v>
      </c>
      <c r="CD174" t="e">
        <f>AND(#REF!,"AAAAAHl2/1E=")</f>
        <v>#REF!</v>
      </c>
      <c r="CE174" t="e">
        <f>AND(#REF!,"AAAAAHl2/1I=")</f>
        <v>#REF!</v>
      </c>
      <c r="CF174" t="e">
        <f>AND(#REF!,"AAAAAHl2/1M=")</f>
        <v>#REF!</v>
      </c>
      <c r="CG174" t="e">
        <f>AND(#REF!,"AAAAAHl2/1Q=")</f>
        <v>#REF!</v>
      </c>
      <c r="CH174" t="e">
        <f>AND(#REF!,"AAAAAHl2/1U=")</f>
        <v>#REF!</v>
      </c>
      <c r="CI174" t="e">
        <f>AND(#REF!,"AAAAAHl2/1Y=")</f>
        <v>#REF!</v>
      </c>
      <c r="CJ174" t="e">
        <f>AND(#REF!,"AAAAAHl2/1c=")</f>
        <v>#REF!</v>
      </c>
      <c r="CK174" t="e">
        <f>AND(#REF!,"AAAAAHl2/1g=")</f>
        <v>#REF!</v>
      </c>
      <c r="CL174" t="e">
        <f>AND(#REF!,"AAAAAHl2/1k=")</f>
        <v>#REF!</v>
      </c>
      <c r="CM174" t="e">
        <f>AND(#REF!,"AAAAAHl2/1o=")</f>
        <v>#REF!</v>
      </c>
      <c r="CN174" t="e">
        <f>AND(#REF!,"AAAAAHl2/1s=")</f>
        <v>#REF!</v>
      </c>
      <c r="CO174" t="e">
        <f>AND(#REF!,"AAAAAHl2/1w=")</f>
        <v>#REF!</v>
      </c>
      <c r="CP174" t="e">
        <f>AND(#REF!,"AAAAAHl2/10=")</f>
        <v>#REF!</v>
      </c>
      <c r="CQ174" t="e">
        <f>AND(#REF!,"AAAAAHl2/14=")</f>
        <v>#REF!</v>
      </c>
      <c r="CR174" t="e">
        <f>AND(#REF!,"AAAAAHl2/18=")</f>
        <v>#REF!</v>
      </c>
      <c r="CS174" t="e">
        <f>AND(#REF!,"AAAAAHl2/2A=")</f>
        <v>#REF!</v>
      </c>
      <c r="CT174" t="e">
        <f>AND(#REF!,"AAAAAHl2/2E=")</f>
        <v>#REF!</v>
      </c>
      <c r="CU174" t="e">
        <f>AND(#REF!,"AAAAAHl2/2I=")</f>
        <v>#REF!</v>
      </c>
      <c r="CV174" t="e">
        <f>AND(#REF!,"AAAAAHl2/2M=")</f>
        <v>#REF!</v>
      </c>
      <c r="CW174" t="e">
        <f>AND(#REF!,"AAAAAHl2/2Q=")</f>
        <v>#REF!</v>
      </c>
      <c r="CX174" t="e">
        <f>AND(#REF!,"AAAAAHl2/2U=")</f>
        <v>#REF!</v>
      </c>
      <c r="CY174" t="e">
        <f>AND(#REF!,"AAAAAHl2/2Y=")</f>
        <v>#REF!</v>
      </c>
      <c r="CZ174" t="e">
        <f>AND(#REF!,"AAAAAHl2/2c=")</f>
        <v>#REF!</v>
      </c>
      <c r="DA174" t="e">
        <f>AND(#REF!,"AAAAAHl2/2g=")</f>
        <v>#REF!</v>
      </c>
      <c r="DB174" t="e">
        <f>AND(#REF!,"AAAAAHl2/2k=")</f>
        <v>#REF!</v>
      </c>
      <c r="DC174" t="e">
        <f>AND(#REF!,"AAAAAHl2/2o=")</f>
        <v>#REF!</v>
      </c>
      <c r="DD174" t="e">
        <f>AND(#REF!,"AAAAAHl2/2s=")</f>
        <v>#REF!</v>
      </c>
      <c r="DE174" t="e">
        <f>AND(#REF!,"AAAAAHl2/2w=")</f>
        <v>#REF!</v>
      </c>
      <c r="DF174" t="e">
        <f>AND(#REF!,"AAAAAHl2/20=")</f>
        <v>#REF!</v>
      </c>
      <c r="DG174" t="e">
        <f>AND(#REF!,"AAAAAHl2/24=")</f>
        <v>#REF!</v>
      </c>
      <c r="DH174" t="e">
        <f>AND(#REF!,"AAAAAHl2/28=")</f>
        <v>#REF!</v>
      </c>
      <c r="DI174" t="e">
        <f>AND(#REF!,"AAAAAHl2/3A=")</f>
        <v>#REF!</v>
      </c>
      <c r="DJ174" t="e">
        <f>AND(#REF!,"AAAAAHl2/3E=")</f>
        <v>#REF!</v>
      </c>
      <c r="DK174" t="e">
        <f>AND(#REF!,"AAAAAHl2/3I=")</f>
        <v>#REF!</v>
      </c>
      <c r="DL174" t="e">
        <f>AND(#REF!,"AAAAAHl2/3M=")</f>
        <v>#REF!</v>
      </c>
      <c r="DM174" t="e">
        <f>AND(#REF!,"AAAAAHl2/3Q=")</f>
        <v>#REF!</v>
      </c>
      <c r="DN174" t="e">
        <f>AND(#REF!,"AAAAAHl2/3U=")</f>
        <v>#REF!</v>
      </c>
      <c r="DO174" t="e">
        <f>AND(#REF!,"AAAAAHl2/3Y=")</f>
        <v>#REF!</v>
      </c>
      <c r="DP174" t="e">
        <f>AND(#REF!,"AAAAAHl2/3c=")</f>
        <v>#REF!</v>
      </c>
      <c r="DQ174" t="e">
        <f>AND(#REF!,"AAAAAHl2/3g=")</f>
        <v>#REF!</v>
      </c>
      <c r="DR174" t="e">
        <f>AND(#REF!,"AAAAAHl2/3k=")</f>
        <v>#REF!</v>
      </c>
      <c r="DS174" t="e">
        <f>AND(#REF!,"AAAAAHl2/3o=")</f>
        <v>#REF!</v>
      </c>
      <c r="DT174" t="e">
        <f>AND(#REF!,"AAAAAHl2/3s=")</f>
        <v>#REF!</v>
      </c>
      <c r="DU174" t="e">
        <f>AND(#REF!,"AAAAAHl2/3w=")</f>
        <v>#REF!</v>
      </c>
      <c r="DV174" t="e">
        <f>AND(#REF!,"AAAAAHl2/30=")</f>
        <v>#REF!</v>
      </c>
      <c r="DW174" t="e">
        <f>AND(#REF!,"AAAAAHl2/34=")</f>
        <v>#REF!</v>
      </c>
      <c r="DX174" t="e">
        <f>AND(#REF!,"AAAAAHl2/38=")</f>
        <v>#REF!</v>
      </c>
      <c r="DY174" t="e">
        <f>AND(#REF!,"AAAAAHl2/4A=")</f>
        <v>#REF!</v>
      </c>
      <c r="DZ174" t="e">
        <f>AND(#REF!,"AAAAAHl2/4E=")</f>
        <v>#REF!</v>
      </c>
      <c r="EA174" t="e">
        <f>IF(#REF!,"AAAAAHl2/4I=",0)</f>
        <v>#REF!</v>
      </c>
      <c r="EB174" t="e">
        <f>AND(#REF!,"AAAAAHl2/4M=")</f>
        <v>#REF!</v>
      </c>
      <c r="EC174" t="e">
        <f>AND(#REF!,"AAAAAHl2/4Q=")</f>
        <v>#REF!</v>
      </c>
      <c r="ED174" t="e">
        <f>AND(#REF!,"AAAAAHl2/4U=")</f>
        <v>#REF!</v>
      </c>
      <c r="EE174" t="e">
        <f>AND(#REF!,"AAAAAHl2/4Y=")</f>
        <v>#REF!</v>
      </c>
      <c r="EF174" t="e">
        <f>AND(#REF!,"AAAAAHl2/4c=")</f>
        <v>#REF!</v>
      </c>
      <c r="EG174" t="e">
        <f>AND(#REF!,"AAAAAHl2/4g=")</f>
        <v>#REF!</v>
      </c>
      <c r="EH174" t="e">
        <f>AND(#REF!,"AAAAAHl2/4k=")</f>
        <v>#REF!</v>
      </c>
      <c r="EI174" t="e">
        <f>AND(#REF!,"AAAAAHl2/4o=")</f>
        <v>#REF!</v>
      </c>
      <c r="EJ174" t="e">
        <f>AND(#REF!,"AAAAAHl2/4s=")</f>
        <v>#REF!</v>
      </c>
      <c r="EK174" t="e">
        <f>AND(#REF!,"AAAAAHl2/4w=")</f>
        <v>#REF!</v>
      </c>
      <c r="EL174" t="e">
        <f>AND(#REF!,"AAAAAHl2/40=")</f>
        <v>#REF!</v>
      </c>
      <c r="EM174" t="e">
        <f>AND(#REF!,"AAAAAHl2/44=")</f>
        <v>#REF!</v>
      </c>
      <c r="EN174" t="e">
        <f>AND(#REF!,"AAAAAHl2/48=")</f>
        <v>#REF!</v>
      </c>
      <c r="EO174" t="e">
        <f>AND(#REF!,"AAAAAHl2/5A=")</f>
        <v>#REF!</v>
      </c>
      <c r="EP174" t="e">
        <f>AND(#REF!,"AAAAAHl2/5E=")</f>
        <v>#REF!</v>
      </c>
      <c r="EQ174" t="e">
        <f>AND(#REF!,"AAAAAHl2/5I=")</f>
        <v>#REF!</v>
      </c>
      <c r="ER174" t="e">
        <f>AND(#REF!,"AAAAAHl2/5M=")</f>
        <v>#REF!</v>
      </c>
      <c r="ES174" t="e">
        <f>AND(#REF!,"AAAAAHl2/5Q=")</f>
        <v>#REF!</v>
      </c>
      <c r="ET174" t="e">
        <f>AND(#REF!,"AAAAAHl2/5U=")</f>
        <v>#REF!</v>
      </c>
      <c r="EU174" t="e">
        <f>AND(#REF!,"AAAAAHl2/5Y=")</f>
        <v>#REF!</v>
      </c>
      <c r="EV174" t="e">
        <f>AND(#REF!,"AAAAAHl2/5c=")</f>
        <v>#REF!</v>
      </c>
      <c r="EW174" t="e">
        <f>AND(#REF!,"AAAAAHl2/5g=")</f>
        <v>#REF!</v>
      </c>
      <c r="EX174" t="e">
        <f>AND(#REF!,"AAAAAHl2/5k=")</f>
        <v>#REF!</v>
      </c>
      <c r="EY174" t="e">
        <f>AND(#REF!,"AAAAAHl2/5o=")</f>
        <v>#REF!</v>
      </c>
      <c r="EZ174" t="e">
        <f>AND(#REF!,"AAAAAHl2/5s=")</f>
        <v>#REF!</v>
      </c>
      <c r="FA174" t="e">
        <f>AND(#REF!,"AAAAAHl2/5w=")</f>
        <v>#REF!</v>
      </c>
      <c r="FB174" t="e">
        <f>AND(#REF!,"AAAAAHl2/50=")</f>
        <v>#REF!</v>
      </c>
      <c r="FC174" t="e">
        <f>AND(#REF!,"AAAAAHl2/54=")</f>
        <v>#REF!</v>
      </c>
      <c r="FD174" t="e">
        <f>AND(#REF!,"AAAAAHl2/58=")</f>
        <v>#REF!</v>
      </c>
      <c r="FE174" t="e">
        <f>AND(#REF!,"AAAAAHl2/6A=")</f>
        <v>#REF!</v>
      </c>
      <c r="FF174" t="e">
        <f>AND(#REF!,"AAAAAHl2/6E=")</f>
        <v>#REF!</v>
      </c>
      <c r="FG174" t="e">
        <f>AND(#REF!,"AAAAAHl2/6I=")</f>
        <v>#REF!</v>
      </c>
      <c r="FH174" t="e">
        <f>AND(#REF!,"AAAAAHl2/6M=")</f>
        <v>#REF!</v>
      </c>
      <c r="FI174" t="e">
        <f>AND(#REF!,"AAAAAHl2/6Q=")</f>
        <v>#REF!</v>
      </c>
      <c r="FJ174" t="e">
        <f>AND(#REF!,"AAAAAHl2/6U=")</f>
        <v>#REF!</v>
      </c>
      <c r="FK174" t="e">
        <f>AND(#REF!,"AAAAAHl2/6Y=")</f>
        <v>#REF!</v>
      </c>
      <c r="FL174" t="e">
        <f>AND(#REF!,"AAAAAHl2/6c=")</f>
        <v>#REF!</v>
      </c>
      <c r="FM174" t="e">
        <f>AND(#REF!,"AAAAAHl2/6g=")</f>
        <v>#REF!</v>
      </c>
      <c r="FN174" t="e">
        <f>AND(#REF!,"AAAAAHl2/6k=")</f>
        <v>#REF!</v>
      </c>
      <c r="FO174" t="e">
        <f>AND(#REF!,"AAAAAHl2/6o=")</f>
        <v>#REF!</v>
      </c>
      <c r="FP174" t="e">
        <f>AND(#REF!,"AAAAAHl2/6s=")</f>
        <v>#REF!</v>
      </c>
      <c r="FQ174" t="e">
        <f>AND(#REF!,"AAAAAHl2/6w=")</f>
        <v>#REF!</v>
      </c>
      <c r="FR174" t="e">
        <f>AND(#REF!,"AAAAAHl2/60=")</f>
        <v>#REF!</v>
      </c>
      <c r="FS174" t="e">
        <f>AND(#REF!,"AAAAAHl2/64=")</f>
        <v>#REF!</v>
      </c>
      <c r="FT174" t="e">
        <f>AND(#REF!,"AAAAAHl2/68=")</f>
        <v>#REF!</v>
      </c>
      <c r="FU174" t="e">
        <f>AND(#REF!,"AAAAAHl2/7A=")</f>
        <v>#REF!</v>
      </c>
      <c r="FV174" t="e">
        <f>AND(#REF!,"AAAAAHl2/7E=")</f>
        <v>#REF!</v>
      </c>
      <c r="FW174" t="e">
        <f>AND(#REF!,"AAAAAHl2/7I=")</f>
        <v>#REF!</v>
      </c>
      <c r="FX174" t="e">
        <f>AND(#REF!,"AAAAAHl2/7M=")</f>
        <v>#REF!</v>
      </c>
      <c r="FY174" t="e">
        <f>AND(#REF!,"AAAAAHl2/7Q=")</f>
        <v>#REF!</v>
      </c>
      <c r="FZ174" t="e">
        <f>AND(#REF!,"AAAAAHl2/7U=")</f>
        <v>#REF!</v>
      </c>
      <c r="GA174" t="e">
        <f>AND(#REF!,"AAAAAHl2/7Y=")</f>
        <v>#REF!</v>
      </c>
      <c r="GB174" t="e">
        <f>AND(#REF!,"AAAAAHl2/7c=")</f>
        <v>#REF!</v>
      </c>
      <c r="GC174" t="e">
        <f>AND(#REF!,"AAAAAHl2/7g=")</f>
        <v>#REF!</v>
      </c>
      <c r="GD174" t="e">
        <f>AND(#REF!,"AAAAAHl2/7k=")</f>
        <v>#REF!</v>
      </c>
      <c r="GE174" t="e">
        <f>AND(#REF!,"AAAAAHl2/7o=")</f>
        <v>#REF!</v>
      </c>
      <c r="GF174" t="e">
        <f>AND(#REF!,"AAAAAHl2/7s=")</f>
        <v>#REF!</v>
      </c>
      <c r="GG174" t="e">
        <f>AND(#REF!,"AAAAAHl2/7w=")</f>
        <v>#REF!</v>
      </c>
      <c r="GH174" t="e">
        <f>AND(#REF!,"AAAAAHl2/70=")</f>
        <v>#REF!</v>
      </c>
      <c r="GI174" t="e">
        <f>AND(#REF!,"AAAAAHl2/74=")</f>
        <v>#REF!</v>
      </c>
      <c r="GJ174" t="e">
        <f>AND(#REF!,"AAAAAHl2/78=")</f>
        <v>#REF!</v>
      </c>
      <c r="GK174" t="e">
        <f>AND(#REF!,"AAAAAHl2/8A=")</f>
        <v>#REF!</v>
      </c>
      <c r="GL174" t="e">
        <f>AND(#REF!,"AAAAAHl2/8E=")</f>
        <v>#REF!</v>
      </c>
      <c r="GM174" t="e">
        <f>AND(#REF!,"AAAAAHl2/8I=")</f>
        <v>#REF!</v>
      </c>
      <c r="GN174" t="e">
        <f>AND(#REF!,"AAAAAHl2/8M=")</f>
        <v>#REF!</v>
      </c>
      <c r="GO174" t="e">
        <f>AND(#REF!,"AAAAAHl2/8Q=")</f>
        <v>#REF!</v>
      </c>
      <c r="GP174" t="e">
        <f>AND(#REF!,"AAAAAHl2/8U=")</f>
        <v>#REF!</v>
      </c>
      <c r="GQ174" t="e">
        <f>AND(#REF!,"AAAAAHl2/8Y=")</f>
        <v>#REF!</v>
      </c>
      <c r="GR174" t="e">
        <f>IF(#REF!,"AAAAAHl2/8c=",0)</f>
        <v>#REF!</v>
      </c>
      <c r="GS174" t="e">
        <f>AND(#REF!,"AAAAAHl2/8g=")</f>
        <v>#REF!</v>
      </c>
      <c r="GT174" t="e">
        <f>AND(#REF!,"AAAAAHl2/8k=")</f>
        <v>#REF!</v>
      </c>
      <c r="GU174" t="e">
        <f>AND(#REF!,"AAAAAHl2/8o=")</f>
        <v>#REF!</v>
      </c>
      <c r="GV174" t="e">
        <f>AND(#REF!,"AAAAAHl2/8s=")</f>
        <v>#REF!</v>
      </c>
      <c r="GW174" t="e">
        <f>AND(#REF!,"AAAAAHl2/8w=")</f>
        <v>#REF!</v>
      </c>
      <c r="GX174" t="e">
        <f>AND(#REF!,"AAAAAHl2/80=")</f>
        <v>#REF!</v>
      </c>
      <c r="GY174" t="e">
        <f>AND(#REF!,"AAAAAHl2/84=")</f>
        <v>#REF!</v>
      </c>
      <c r="GZ174" t="e">
        <f>AND(#REF!,"AAAAAHl2/88=")</f>
        <v>#REF!</v>
      </c>
      <c r="HA174" t="e">
        <f>AND(#REF!,"AAAAAHl2/9A=")</f>
        <v>#REF!</v>
      </c>
      <c r="HB174" t="e">
        <f>AND(#REF!,"AAAAAHl2/9E=")</f>
        <v>#REF!</v>
      </c>
      <c r="HC174" t="e">
        <f>AND(#REF!,"AAAAAHl2/9I=")</f>
        <v>#REF!</v>
      </c>
      <c r="HD174" t="e">
        <f>AND(#REF!,"AAAAAHl2/9M=")</f>
        <v>#REF!</v>
      </c>
      <c r="HE174" t="e">
        <f>AND(#REF!,"AAAAAHl2/9Q=")</f>
        <v>#REF!</v>
      </c>
      <c r="HF174" t="e">
        <f>AND(#REF!,"AAAAAHl2/9U=")</f>
        <v>#REF!</v>
      </c>
      <c r="HG174" t="e">
        <f>AND(#REF!,"AAAAAHl2/9Y=")</f>
        <v>#REF!</v>
      </c>
      <c r="HH174" t="e">
        <f>AND(#REF!,"AAAAAHl2/9c=")</f>
        <v>#REF!</v>
      </c>
      <c r="HI174" t="e">
        <f>AND(#REF!,"AAAAAHl2/9g=")</f>
        <v>#REF!</v>
      </c>
      <c r="HJ174" t="e">
        <f>AND(#REF!,"AAAAAHl2/9k=")</f>
        <v>#REF!</v>
      </c>
      <c r="HK174" t="e">
        <f>AND(#REF!,"AAAAAHl2/9o=")</f>
        <v>#REF!</v>
      </c>
      <c r="HL174" t="e">
        <f>AND(#REF!,"AAAAAHl2/9s=")</f>
        <v>#REF!</v>
      </c>
      <c r="HM174" t="e">
        <f>AND(#REF!,"AAAAAHl2/9w=")</f>
        <v>#REF!</v>
      </c>
      <c r="HN174" t="e">
        <f>AND(#REF!,"AAAAAHl2/90=")</f>
        <v>#REF!</v>
      </c>
      <c r="HO174" t="e">
        <f>AND(#REF!,"AAAAAHl2/94=")</f>
        <v>#REF!</v>
      </c>
      <c r="HP174" t="e">
        <f>AND(#REF!,"AAAAAHl2/98=")</f>
        <v>#REF!</v>
      </c>
      <c r="HQ174" t="e">
        <f>AND(#REF!,"AAAAAHl2/+A=")</f>
        <v>#REF!</v>
      </c>
      <c r="HR174" t="e">
        <f>AND(#REF!,"AAAAAHl2/+E=")</f>
        <v>#REF!</v>
      </c>
      <c r="HS174" t="e">
        <f>AND(#REF!,"AAAAAHl2/+I=")</f>
        <v>#REF!</v>
      </c>
      <c r="HT174" t="e">
        <f>AND(#REF!,"AAAAAHl2/+M=")</f>
        <v>#REF!</v>
      </c>
      <c r="HU174" t="e">
        <f>AND(#REF!,"AAAAAHl2/+Q=")</f>
        <v>#REF!</v>
      </c>
      <c r="HV174" t="e">
        <f>AND(#REF!,"AAAAAHl2/+U=")</f>
        <v>#REF!</v>
      </c>
      <c r="HW174" t="e">
        <f>AND(#REF!,"AAAAAHl2/+Y=")</f>
        <v>#REF!</v>
      </c>
      <c r="HX174" t="e">
        <f>AND(#REF!,"AAAAAHl2/+c=")</f>
        <v>#REF!</v>
      </c>
      <c r="HY174" t="e">
        <f>AND(#REF!,"AAAAAHl2/+g=")</f>
        <v>#REF!</v>
      </c>
      <c r="HZ174" t="e">
        <f>AND(#REF!,"AAAAAHl2/+k=")</f>
        <v>#REF!</v>
      </c>
      <c r="IA174" t="e">
        <f>AND(#REF!,"AAAAAHl2/+o=")</f>
        <v>#REF!</v>
      </c>
      <c r="IB174" t="e">
        <f>AND(#REF!,"AAAAAHl2/+s=")</f>
        <v>#REF!</v>
      </c>
      <c r="IC174" t="e">
        <f>AND(#REF!,"AAAAAHl2/+w=")</f>
        <v>#REF!</v>
      </c>
      <c r="ID174" t="e">
        <f>AND(#REF!,"AAAAAHl2/+0=")</f>
        <v>#REF!</v>
      </c>
      <c r="IE174" t="e">
        <f>AND(#REF!,"AAAAAHl2/+4=")</f>
        <v>#REF!</v>
      </c>
      <c r="IF174" t="e">
        <f>AND(#REF!,"AAAAAHl2/+8=")</f>
        <v>#REF!</v>
      </c>
      <c r="IG174" t="e">
        <f>AND(#REF!,"AAAAAHl2//A=")</f>
        <v>#REF!</v>
      </c>
      <c r="IH174" t="e">
        <f>AND(#REF!,"AAAAAHl2//E=")</f>
        <v>#REF!</v>
      </c>
      <c r="II174" t="e">
        <f>AND(#REF!,"AAAAAHl2//I=")</f>
        <v>#REF!</v>
      </c>
      <c r="IJ174" t="e">
        <f>AND(#REF!,"AAAAAHl2//M=")</f>
        <v>#REF!</v>
      </c>
      <c r="IK174" t="e">
        <f>AND(#REF!,"AAAAAHl2//Q=")</f>
        <v>#REF!</v>
      </c>
      <c r="IL174" t="e">
        <f>AND(#REF!,"AAAAAHl2//U=")</f>
        <v>#REF!</v>
      </c>
      <c r="IM174" t="e">
        <f>AND(#REF!,"AAAAAHl2//Y=")</f>
        <v>#REF!</v>
      </c>
      <c r="IN174" t="e">
        <f>AND(#REF!,"AAAAAHl2//c=")</f>
        <v>#REF!</v>
      </c>
      <c r="IO174" t="e">
        <f>AND(#REF!,"AAAAAHl2//g=")</f>
        <v>#REF!</v>
      </c>
      <c r="IP174" t="e">
        <f>AND(#REF!,"AAAAAHl2//k=")</f>
        <v>#REF!</v>
      </c>
      <c r="IQ174" t="e">
        <f>AND(#REF!,"AAAAAHl2//o=")</f>
        <v>#REF!</v>
      </c>
      <c r="IR174" t="e">
        <f>AND(#REF!,"AAAAAHl2//s=")</f>
        <v>#REF!</v>
      </c>
      <c r="IS174" t="e">
        <f>AND(#REF!,"AAAAAHl2//w=")</f>
        <v>#REF!</v>
      </c>
      <c r="IT174" t="e">
        <f>AND(#REF!,"AAAAAHl2//0=")</f>
        <v>#REF!</v>
      </c>
      <c r="IU174" t="e">
        <f>AND(#REF!,"AAAAAHl2//4=")</f>
        <v>#REF!</v>
      </c>
      <c r="IV174" t="e">
        <f>AND(#REF!,"AAAAAHl2//8=")</f>
        <v>#REF!</v>
      </c>
    </row>
    <row r="175" spans="1:256" x14ac:dyDescent="0.25">
      <c r="A175" t="e">
        <f>AND(#REF!,"AAAAADd/FwA=")</f>
        <v>#REF!</v>
      </c>
      <c r="B175" t="e">
        <f>AND(#REF!,"AAAAADd/FwE=")</f>
        <v>#REF!</v>
      </c>
      <c r="C175" t="e">
        <f>AND(#REF!,"AAAAADd/FwI=")</f>
        <v>#REF!</v>
      </c>
      <c r="D175" t="e">
        <f>AND(#REF!,"AAAAADd/FwM=")</f>
        <v>#REF!</v>
      </c>
      <c r="E175" t="e">
        <f>AND(#REF!,"AAAAADd/FwQ=")</f>
        <v>#REF!</v>
      </c>
      <c r="F175" t="e">
        <f>AND(#REF!,"AAAAADd/FwU=")</f>
        <v>#REF!</v>
      </c>
      <c r="G175" t="e">
        <f>AND(#REF!,"AAAAADd/FwY=")</f>
        <v>#REF!</v>
      </c>
      <c r="H175" t="e">
        <f>AND(#REF!,"AAAAADd/Fwc=")</f>
        <v>#REF!</v>
      </c>
      <c r="I175" t="e">
        <f>AND(#REF!,"AAAAADd/Fwg=")</f>
        <v>#REF!</v>
      </c>
      <c r="J175" t="e">
        <f>AND(#REF!,"AAAAADd/Fwk=")</f>
        <v>#REF!</v>
      </c>
      <c r="K175" t="e">
        <f>AND(#REF!,"AAAAADd/Fwo=")</f>
        <v>#REF!</v>
      </c>
      <c r="L175" t="e">
        <f>AND(#REF!,"AAAAADd/Fws=")</f>
        <v>#REF!</v>
      </c>
      <c r="M175" t="e">
        <f>IF(#REF!,"AAAAADd/Fww=",0)</f>
        <v>#REF!</v>
      </c>
      <c r="N175" t="e">
        <f>AND(#REF!,"AAAAADd/Fw0=")</f>
        <v>#REF!</v>
      </c>
      <c r="O175" t="e">
        <f>AND(#REF!,"AAAAADd/Fw4=")</f>
        <v>#REF!</v>
      </c>
      <c r="P175" t="e">
        <f>AND(#REF!,"AAAAADd/Fw8=")</f>
        <v>#REF!</v>
      </c>
      <c r="Q175" t="e">
        <f>AND(#REF!,"AAAAADd/FxA=")</f>
        <v>#REF!</v>
      </c>
      <c r="R175" t="e">
        <f>AND(#REF!,"AAAAADd/FxE=")</f>
        <v>#REF!</v>
      </c>
      <c r="S175" t="e">
        <f>AND(#REF!,"AAAAADd/FxI=")</f>
        <v>#REF!</v>
      </c>
      <c r="T175" t="e">
        <f>AND(#REF!,"AAAAADd/FxM=")</f>
        <v>#REF!</v>
      </c>
      <c r="U175" t="e">
        <f>AND(#REF!,"AAAAADd/FxQ=")</f>
        <v>#REF!</v>
      </c>
      <c r="V175" t="e">
        <f>AND(#REF!,"AAAAADd/FxU=")</f>
        <v>#REF!</v>
      </c>
      <c r="W175" t="e">
        <f>AND(#REF!,"AAAAADd/FxY=")</f>
        <v>#REF!</v>
      </c>
      <c r="X175" t="e">
        <f>AND(#REF!,"AAAAADd/Fxc=")</f>
        <v>#REF!</v>
      </c>
      <c r="Y175" t="e">
        <f>AND(#REF!,"AAAAADd/Fxg=")</f>
        <v>#REF!</v>
      </c>
      <c r="Z175" t="e">
        <f>AND(#REF!,"AAAAADd/Fxk=")</f>
        <v>#REF!</v>
      </c>
      <c r="AA175" t="e">
        <f>AND(#REF!,"AAAAADd/Fxo=")</f>
        <v>#REF!</v>
      </c>
      <c r="AB175" t="e">
        <f>AND(#REF!,"AAAAADd/Fxs=")</f>
        <v>#REF!</v>
      </c>
      <c r="AC175" t="e">
        <f>AND(#REF!,"AAAAADd/Fxw=")</f>
        <v>#REF!</v>
      </c>
      <c r="AD175" t="e">
        <f>AND(#REF!,"AAAAADd/Fx0=")</f>
        <v>#REF!</v>
      </c>
      <c r="AE175" t="e">
        <f>AND(#REF!,"AAAAADd/Fx4=")</f>
        <v>#REF!</v>
      </c>
      <c r="AF175" t="e">
        <f>AND(#REF!,"AAAAADd/Fx8=")</f>
        <v>#REF!</v>
      </c>
      <c r="AG175" t="e">
        <f>AND(#REF!,"AAAAADd/FyA=")</f>
        <v>#REF!</v>
      </c>
      <c r="AH175" t="e">
        <f>AND(#REF!,"AAAAADd/FyE=")</f>
        <v>#REF!</v>
      </c>
      <c r="AI175" t="e">
        <f>AND(#REF!,"AAAAADd/FyI=")</f>
        <v>#REF!</v>
      </c>
      <c r="AJ175" t="e">
        <f>AND(#REF!,"AAAAADd/FyM=")</f>
        <v>#REF!</v>
      </c>
      <c r="AK175" t="e">
        <f>AND(#REF!,"AAAAADd/FyQ=")</f>
        <v>#REF!</v>
      </c>
      <c r="AL175" t="e">
        <f>AND(#REF!,"AAAAADd/FyU=")</f>
        <v>#REF!</v>
      </c>
      <c r="AM175" t="e">
        <f>AND(#REF!,"AAAAADd/FyY=")</f>
        <v>#REF!</v>
      </c>
      <c r="AN175" t="e">
        <f>AND(#REF!,"AAAAADd/Fyc=")</f>
        <v>#REF!</v>
      </c>
      <c r="AO175" t="e">
        <f>AND(#REF!,"AAAAADd/Fyg=")</f>
        <v>#REF!</v>
      </c>
      <c r="AP175" t="e">
        <f>AND(#REF!,"AAAAADd/Fyk=")</f>
        <v>#REF!</v>
      </c>
      <c r="AQ175" t="e">
        <f>AND(#REF!,"AAAAADd/Fyo=")</f>
        <v>#REF!</v>
      </c>
      <c r="AR175" t="e">
        <f>AND(#REF!,"AAAAADd/Fys=")</f>
        <v>#REF!</v>
      </c>
      <c r="AS175" t="e">
        <f>AND(#REF!,"AAAAADd/Fyw=")</f>
        <v>#REF!</v>
      </c>
      <c r="AT175" t="e">
        <f>AND(#REF!,"AAAAADd/Fy0=")</f>
        <v>#REF!</v>
      </c>
      <c r="AU175" t="e">
        <f>AND(#REF!,"AAAAADd/Fy4=")</f>
        <v>#REF!</v>
      </c>
      <c r="AV175" t="e">
        <f>AND(#REF!,"AAAAADd/Fy8=")</f>
        <v>#REF!</v>
      </c>
      <c r="AW175" t="e">
        <f>AND(#REF!,"AAAAADd/FzA=")</f>
        <v>#REF!</v>
      </c>
      <c r="AX175" t="e">
        <f>AND(#REF!,"AAAAADd/FzE=")</f>
        <v>#REF!</v>
      </c>
      <c r="AY175" t="e">
        <f>AND(#REF!,"AAAAADd/FzI=")</f>
        <v>#REF!</v>
      </c>
      <c r="AZ175" t="e">
        <f>AND(#REF!,"AAAAADd/FzM=")</f>
        <v>#REF!</v>
      </c>
      <c r="BA175" t="e">
        <f>AND(#REF!,"AAAAADd/FzQ=")</f>
        <v>#REF!</v>
      </c>
      <c r="BB175" t="e">
        <f>AND(#REF!,"AAAAADd/FzU=")</f>
        <v>#REF!</v>
      </c>
      <c r="BC175" t="e">
        <f>AND(#REF!,"AAAAADd/FzY=")</f>
        <v>#REF!</v>
      </c>
      <c r="BD175" t="e">
        <f>AND(#REF!,"AAAAADd/Fzc=")</f>
        <v>#REF!</v>
      </c>
      <c r="BE175" t="e">
        <f>AND(#REF!,"AAAAADd/Fzg=")</f>
        <v>#REF!</v>
      </c>
      <c r="BF175" t="e">
        <f>AND(#REF!,"AAAAADd/Fzk=")</f>
        <v>#REF!</v>
      </c>
      <c r="BG175" t="e">
        <f>AND(#REF!,"AAAAADd/Fzo=")</f>
        <v>#REF!</v>
      </c>
      <c r="BH175" t="e">
        <f>AND(#REF!,"AAAAADd/Fzs=")</f>
        <v>#REF!</v>
      </c>
      <c r="BI175" t="e">
        <f>AND(#REF!,"AAAAADd/Fzw=")</f>
        <v>#REF!</v>
      </c>
      <c r="BJ175" t="e">
        <f>AND(#REF!,"AAAAADd/Fz0=")</f>
        <v>#REF!</v>
      </c>
      <c r="BK175" t="e">
        <f>AND(#REF!,"AAAAADd/Fz4=")</f>
        <v>#REF!</v>
      </c>
      <c r="BL175" t="e">
        <f>AND(#REF!,"AAAAADd/Fz8=")</f>
        <v>#REF!</v>
      </c>
      <c r="BM175" t="e">
        <f>AND(#REF!,"AAAAADd/F0A=")</f>
        <v>#REF!</v>
      </c>
      <c r="BN175" t="e">
        <f>AND(#REF!,"AAAAADd/F0E=")</f>
        <v>#REF!</v>
      </c>
      <c r="BO175" t="e">
        <f>AND(#REF!,"AAAAADd/F0I=")</f>
        <v>#REF!</v>
      </c>
      <c r="BP175" t="e">
        <f>AND(#REF!,"AAAAADd/F0M=")</f>
        <v>#REF!</v>
      </c>
      <c r="BQ175" t="e">
        <f>AND(#REF!,"AAAAADd/F0Q=")</f>
        <v>#REF!</v>
      </c>
      <c r="BR175" t="e">
        <f>AND(#REF!,"AAAAADd/F0U=")</f>
        <v>#REF!</v>
      </c>
      <c r="BS175" t="e">
        <f>AND(#REF!,"AAAAADd/F0Y=")</f>
        <v>#REF!</v>
      </c>
      <c r="BT175" t="e">
        <f>AND(#REF!,"AAAAADd/F0c=")</f>
        <v>#REF!</v>
      </c>
      <c r="BU175" t="e">
        <f>AND(#REF!,"AAAAADd/F0g=")</f>
        <v>#REF!</v>
      </c>
      <c r="BV175" t="e">
        <f>AND(#REF!,"AAAAADd/F0k=")</f>
        <v>#REF!</v>
      </c>
      <c r="BW175" t="e">
        <f>AND(#REF!,"AAAAADd/F0o=")</f>
        <v>#REF!</v>
      </c>
      <c r="BX175" t="e">
        <f>AND(#REF!,"AAAAADd/F0s=")</f>
        <v>#REF!</v>
      </c>
      <c r="BY175" t="e">
        <f>AND(#REF!,"AAAAADd/F0w=")</f>
        <v>#REF!</v>
      </c>
      <c r="BZ175" t="e">
        <f>AND(#REF!,"AAAAADd/F00=")</f>
        <v>#REF!</v>
      </c>
      <c r="CA175" t="e">
        <f>AND(#REF!,"AAAAADd/F04=")</f>
        <v>#REF!</v>
      </c>
      <c r="CB175" t="e">
        <f>AND(#REF!,"AAAAADd/F08=")</f>
        <v>#REF!</v>
      </c>
      <c r="CC175" t="e">
        <f>AND(#REF!,"AAAAADd/F1A=")</f>
        <v>#REF!</v>
      </c>
      <c r="CD175" t="e">
        <f>IF(#REF!,"AAAAADd/F1E=",0)</f>
        <v>#REF!</v>
      </c>
      <c r="CE175" t="e">
        <f>AND(#REF!,"AAAAADd/F1I=")</f>
        <v>#REF!</v>
      </c>
      <c r="CF175" t="e">
        <f>AND(#REF!,"AAAAADd/F1M=")</f>
        <v>#REF!</v>
      </c>
      <c r="CG175" t="e">
        <f>AND(#REF!,"AAAAADd/F1Q=")</f>
        <v>#REF!</v>
      </c>
      <c r="CH175" t="e">
        <f>AND(#REF!,"AAAAADd/F1U=")</f>
        <v>#REF!</v>
      </c>
      <c r="CI175" t="e">
        <f>AND(#REF!,"AAAAADd/F1Y=")</f>
        <v>#REF!</v>
      </c>
      <c r="CJ175" t="e">
        <f>AND(#REF!,"AAAAADd/F1c=")</f>
        <v>#REF!</v>
      </c>
      <c r="CK175" t="e">
        <f>AND(#REF!,"AAAAADd/F1g=")</f>
        <v>#REF!</v>
      </c>
      <c r="CL175" t="e">
        <f>AND(#REF!,"AAAAADd/F1k=")</f>
        <v>#REF!</v>
      </c>
      <c r="CM175" t="e">
        <f>AND(#REF!,"AAAAADd/F1o=")</f>
        <v>#REF!</v>
      </c>
      <c r="CN175" t="e">
        <f>AND(#REF!,"AAAAADd/F1s=")</f>
        <v>#REF!</v>
      </c>
      <c r="CO175" t="e">
        <f>AND(#REF!,"AAAAADd/F1w=")</f>
        <v>#REF!</v>
      </c>
      <c r="CP175" t="e">
        <f>AND(#REF!,"AAAAADd/F10=")</f>
        <v>#REF!</v>
      </c>
      <c r="CQ175" t="e">
        <f>AND(#REF!,"AAAAADd/F14=")</f>
        <v>#REF!</v>
      </c>
      <c r="CR175" t="e">
        <f>AND(#REF!,"AAAAADd/F18=")</f>
        <v>#REF!</v>
      </c>
      <c r="CS175" t="e">
        <f>AND(#REF!,"AAAAADd/F2A=")</f>
        <v>#REF!</v>
      </c>
      <c r="CT175" t="e">
        <f>AND(#REF!,"AAAAADd/F2E=")</f>
        <v>#REF!</v>
      </c>
      <c r="CU175" t="e">
        <f>AND(#REF!,"AAAAADd/F2I=")</f>
        <v>#REF!</v>
      </c>
      <c r="CV175" t="e">
        <f>AND(#REF!,"AAAAADd/F2M=")</f>
        <v>#REF!</v>
      </c>
      <c r="CW175" t="e">
        <f>AND(#REF!,"AAAAADd/F2Q=")</f>
        <v>#REF!</v>
      </c>
      <c r="CX175" t="e">
        <f>AND(#REF!,"AAAAADd/F2U=")</f>
        <v>#REF!</v>
      </c>
      <c r="CY175" t="e">
        <f>AND(#REF!,"AAAAADd/F2Y=")</f>
        <v>#REF!</v>
      </c>
      <c r="CZ175" t="e">
        <f>AND(#REF!,"AAAAADd/F2c=")</f>
        <v>#REF!</v>
      </c>
      <c r="DA175" t="e">
        <f>AND(#REF!,"AAAAADd/F2g=")</f>
        <v>#REF!</v>
      </c>
      <c r="DB175" t="e">
        <f>AND(#REF!,"AAAAADd/F2k=")</f>
        <v>#REF!</v>
      </c>
      <c r="DC175" t="e">
        <f>AND(#REF!,"AAAAADd/F2o=")</f>
        <v>#REF!</v>
      </c>
      <c r="DD175" t="e">
        <f>AND(#REF!,"AAAAADd/F2s=")</f>
        <v>#REF!</v>
      </c>
      <c r="DE175" t="e">
        <f>AND(#REF!,"AAAAADd/F2w=")</f>
        <v>#REF!</v>
      </c>
      <c r="DF175" t="e">
        <f>AND(#REF!,"AAAAADd/F20=")</f>
        <v>#REF!</v>
      </c>
      <c r="DG175" t="e">
        <f>AND(#REF!,"AAAAADd/F24=")</f>
        <v>#REF!</v>
      </c>
      <c r="DH175" t="e">
        <f>AND(#REF!,"AAAAADd/F28=")</f>
        <v>#REF!</v>
      </c>
      <c r="DI175" t="e">
        <f>AND(#REF!,"AAAAADd/F3A=")</f>
        <v>#REF!</v>
      </c>
      <c r="DJ175" t="e">
        <f>AND(#REF!,"AAAAADd/F3E=")</f>
        <v>#REF!</v>
      </c>
      <c r="DK175" t="e">
        <f>AND(#REF!,"AAAAADd/F3I=")</f>
        <v>#REF!</v>
      </c>
      <c r="DL175" t="e">
        <f>AND(#REF!,"AAAAADd/F3M=")</f>
        <v>#REF!</v>
      </c>
      <c r="DM175" t="e">
        <f>AND(#REF!,"AAAAADd/F3Q=")</f>
        <v>#REF!</v>
      </c>
      <c r="DN175" t="e">
        <f>AND(#REF!,"AAAAADd/F3U=")</f>
        <v>#REF!</v>
      </c>
      <c r="DO175" t="e">
        <f>AND(#REF!,"AAAAADd/F3Y=")</f>
        <v>#REF!</v>
      </c>
      <c r="DP175" t="e">
        <f>AND(#REF!,"AAAAADd/F3c=")</f>
        <v>#REF!</v>
      </c>
      <c r="DQ175" t="e">
        <f>AND(#REF!,"AAAAADd/F3g=")</f>
        <v>#REF!</v>
      </c>
      <c r="DR175" t="e">
        <f>AND(#REF!,"AAAAADd/F3k=")</f>
        <v>#REF!</v>
      </c>
      <c r="DS175" t="e">
        <f>AND(#REF!,"AAAAADd/F3o=")</f>
        <v>#REF!</v>
      </c>
      <c r="DT175" t="e">
        <f>AND(#REF!,"AAAAADd/F3s=")</f>
        <v>#REF!</v>
      </c>
      <c r="DU175" t="e">
        <f>AND(#REF!,"AAAAADd/F3w=")</f>
        <v>#REF!</v>
      </c>
      <c r="DV175" t="e">
        <f>AND(#REF!,"AAAAADd/F30=")</f>
        <v>#REF!</v>
      </c>
      <c r="DW175" t="e">
        <f>AND(#REF!,"AAAAADd/F34=")</f>
        <v>#REF!</v>
      </c>
      <c r="DX175" t="e">
        <f>AND(#REF!,"AAAAADd/F38=")</f>
        <v>#REF!</v>
      </c>
      <c r="DY175" t="e">
        <f>AND(#REF!,"AAAAADd/F4A=")</f>
        <v>#REF!</v>
      </c>
      <c r="DZ175" t="e">
        <f>AND(#REF!,"AAAAADd/F4E=")</f>
        <v>#REF!</v>
      </c>
      <c r="EA175" t="e">
        <f>AND(#REF!,"AAAAADd/F4I=")</f>
        <v>#REF!</v>
      </c>
      <c r="EB175" t="e">
        <f>AND(#REF!,"AAAAADd/F4M=")</f>
        <v>#REF!</v>
      </c>
      <c r="EC175" t="e">
        <f>AND(#REF!,"AAAAADd/F4Q=")</f>
        <v>#REF!</v>
      </c>
      <c r="ED175" t="e">
        <f>AND(#REF!,"AAAAADd/F4U=")</f>
        <v>#REF!</v>
      </c>
      <c r="EE175" t="e">
        <f>AND(#REF!,"AAAAADd/F4Y=")</f>
        <v>#REF!</v>
      </c>
      <c r="EF175" t="e">
        <f>AND(#REF!,"AAAAADd/F4c=")</f>
        <v>#REF!</v>
      </c>
      <c r="EG175" t="e">
        <f>AND(#REF!,"AAAAADd/F4g=")</f>
        <v>#REF!</v>
      </c>
      <c r="EH175" t="e">
        <f>AND(#REF!,"AAAAADd/F4k=")</f>
        <v>#REF!</v>
      </c>
      <c r="EI175" t="e">
        <f>AND(#REF!,"AAAAADd/F4o=")</f>
        <v>#REF!</v>
      </c>
      <c r="EJ175" t="e">
        <f>AND(#REF!,"AAAAADd/F4s=")</f>
        <v>#REF!</v>
      </c>
      <c r="EK175" t="e">
        <f>AND(#REF!,"AAAAADd/F4w=")</f>
        <v>#REF!</v>
      </c>
      <c r="EL175" t="e">
        <f>AND(#REF!,"AAAAADd/F40=")</f>
        <v>#REF!</v>
      </c>
      <c r="EM175" t="e">
        <f>AND(#REF!,"AAAAADd/F44=")</f>
        <v>#REF!</v>
      </c>
      <c r="EN175" t="e">
        <f>AND(#REF!,"AAAAADd/F48=")</f>
        <v>#REF!</v>
      </c>
      <c r="EO175" t="e">
        <f>AND(#REF!,"AAAAADd/F5A=")</f>
        <v>#REF!</v>
      </c>
      <c r="EP175" t="e">
        <f>AND(#REF!,"AAAAADd/F5E=")</f>
        <v>#REF!</v>
      </c>
      <c r="EQ175" t="e">
        <f>AND(#REF!,"AAAAADd/F5I=")</f>
        <v>#REF!</v>
      </c>
      <c r="ER175" t="e">
        <f>AND(#REF!,"AAAAADd/F5M=")</f>
        <v>#REF!</v>
      </c>
      <c r="ES175" t="e">
        <f>AND(#REF!,"AAAAADd/F5Q=")</f>
        <v>#REF!</v>
      </c>
      <c r="ET175" t="e">
        <f>AND(#REF!,"AAAAADd/F5U=")</f>
        <v>#REF!</v>
      </c>
      <c r="EU175" t="e">
        <f>IF(#REF!,"AAAAADd/F5Y=",0)</f>
        <v>#REF!</v>
      </c>
      <c r="EV175" t="e">
        <f>AND(#REF!,"AAAAADd/F5c=")</f>
        <v>#REF!</v>
      </c>
      <c r="EW175" t="e">
        <f>AND(#REF!,"AAAAADd/F5g=")</f>
        <v>#REF!</v>
      </c>
      <c r="EX175" t="e">
        <f>AND(#REF!,"AAAAADd/F5k=")</f>
        <v>#REF!</v>
      </c>
      <c r="EY175" t="e">
        <f>AND(#REF!,"AAAAADd/F5o=")</f>
        <v>#REF!</v>
      </c>
      <c r="EZ175" t="e">
        <f>AND(#REF!,"AAAAADd/F5s=")</f>
        <v>#REF!</v>
      </c>
      <c r="FA175" t="e">
        <f>AND(#REF!,"AAAAADd/F5w=")</f>
        <v>#REF!</v>
      </c>
      <c r="FB175" t="e">
        <f>AND(#REF!,"AAAAADd/F50=")</f>
        <v>#REF!</v>
      </c>
      <c r="FC175" t="e">
        <f>AND(#REF!,"AAAAADd/F54=")</f>
        <v>#REF!</v>
      </c>
      <c r="FD175" t="e">
        <f>AND(#REF!,"AAAAADd/F58=")</f>
        <v>#REF!</v>
      </c>
      <c r="FE175" t="e">
        <f>AND(#REF!,"AAAAADd/F6A=")</f>
        <v>#REF!</v>
      </c>
      <c r="FF175" t="e">
        <f>AND(#REF!,"AAAAADd/F6E=")</f>
        <v>#REF!</v>
      </c>
      <c r="FG175" t="e">
        <f>AND(#REF!,"AAAAADd/F6I=")</f>
        <v>#REF!</v>
      </c>
      <c r="FH175" t="e">
        <f>AND(#REF!,"AAAAADd/F6M=")</f>
        <v>#REF!</v>
      </c>
      <c r="FI175" t="e">
        <f>AND(#REF!,"AAAAADd/F6Q=")</f>
        <v>#REF!</v>
      </c>
      <c r="FJ175" t="e">
        <f>AND(#REF!,"AAAAADd/F6U=")</f>
        <v>#REF!</v>
      </c>
      <c r="FK175" t="e">
        <f>AND(#REF!,"AAAAADd/F6Y=")</f>
        <v>#REF!</v>
      </c>
      <c r="FL175" t="e">
        <f>AND(#REF!,"AAAAADd/F6c=")</f>
        <v>#REF!</v>
      </c>
      <c r="FM175" t="e">
        <f>AND(#REF!,"AAAAADd/F6g=")</f>
        <v>#REF!</v>
      </c>
      <c r="FN175" t="e">
        <f>AND(#REF!,"AAAAADd/F6k=")</f>
        <v>#REF!</v>
      </c>
      <c r="FO175" t="e">
        <f>AND(#REF!,"AAAAADd/F6o=")</f>
        <v>#REF!</v>
      </c>
      <c r="FP175" t="e">
        <f>AND(#REF!,"AAAAADd/F6s=")</f>
        <v>#REF!</v>
      </c>
      <c r="FQ175" t="e">
        <f>AND(#REF!,"AAAAADd/F6w=")</f>
        <v>#REF!</v>
      </c>
      <c r="FR175" t="e">
        <f>AND(#REF!,"AAAAADd/F60=")</f>
        <v>#REF!</v>
      </c>
      <c r="FS175" t="e">
        <f>AND(#REF!,"AAAAADd/F64=")</f>
        <v>#REF!</v>
      </c>
      <c r="FT175" t="e">
        <f>AND(#REF!,"AAAAADd/F68=")</f>
        <v>#REF!</v>
      </c>
      <c r="FU175" t="e">
        <f>AND(#REF!,"AAAAADd/F7A=")</f>
        <v>#REF!</v>
      </c>
      <c r="FV175" t="e">
        <f>AND(#REF!,"AAAAADd/F7E=")</f>
        <v>#REF!</v>
      </c>
      <c r="FW175" t="e">
        <f>AND(#REF!,"AAAAADd/F7I=")</f>
        <v>#REF!</v>
      </c>
      <c r="FX175" t="e">
        <f>AND(#REF!,"AAAAADd/F7M=")</f>
        <v>#REF!</v>
      </c>
      <c r="FY175" t="e">
        <f>AND(#REF!,"AAAAADd/F7Q=")</f>
        <v>#REF!</v>
      </c>
      <c r="FZ175" t="e">
        <f>AND(#REF!,"AAAAADd/F7U=")</f>
        <v>#REF!</v>
      </c>
      <c r="GA175" t="e">
        <f>AND(#REF!,"AAAAADd/F7Y=")</f>
        <v>#REF!</v>
      </c>
      <c r="GB175" t="e">
        <f>AND(#REF!,"AAAAADd/F7c=")</f>
        <v>#REF!</v>
      </c>
      <c r="GC175" t="e">
        <f>AND(#REF!,"AAAAADd/F7g=")</f>
        <v>#REF!</v>
      </c>
      <c r="GD175" t="e">
        <f>AND(#REF!,"AAAAADd/F7k=")</f>
        <v>#REF!</v>
      </c>
      <c r="GE175" t="e">
        <f>AND(#REF!,"AAAAADd/F7o=")</f>
        <v>#REF!</v>
      </c>
      <c r="GF175" t="e">
        <f>AND(#REF!,"AAAAADd/F7s=")</f>
        <v>#REF!</v>
      </c>
      <c r="GG175" t="e">
        <f>AND(#REF!,"AAAAADd/F7w=")</f>
        <v>#REF!</v>
      </c>
      <c r="GH175" t="e">
        <f>AND(#REF!,"AAAAADd/F70=")</f>
        <v>#REF!</v>
      </c>
      <c r="GI175" t="e">
        <f>AND(#REF!,"AAAAADd/F74=")</f>
        <v>#REF!</v>
      </c>
      <c r="GJ175" t="e">
        <f>AND(#REF!,"AAAAADd/F78=")</f>
        <v>#REF!</v>
      </c>
      <c r="GK175" t="e">
        <f>AND(#REF!,"AAAAADd/F8A=")</f>
        <v>#REF!</v>
      </c>
      <c r="GL175" t="e">
        <f>AND(#REF!,"AAAAADd/F8E=")</f>
        <v>#REF!</v>
      </c>
      <c r="GM175" t="e">
        <f>AND(#REF!,"AAAAADd/F8I=")</f>
        <v>#REF!</v>
      </c>
      <c r="GN175" t="e">
        <f>AND(#REF!,"AAAAADd/F8M=")</f>
        <v>#REF!</v>
      </c>
      <c r="GO175" t="e">
        <f>AND(#REF!,"AAAAADd/F8Q=")</f>
        <v>#REF!</v>
      </c>
      <c r="GP175" t="e">
        <f>AND(#REF!,"AAAAADd/F8U=")</f>
        <v>#REF!</v>
      </c>
      <c r="GQ175" t="e">
        <f>AND(#REF!,"AAAAADd/F8Y=")</f>
        <v>#REF!</v>
      </c>
      <c r="GR175" t="e">
        <f>AND(#REF!,"AAAAADd/F8c=")</f>
        <v>#REF!</v>
      </c>
      <c r="GS175" t="e">
        <f>AND(#REF!,"AAAAADd/F8g=")</f>
        <v>#REF!</v>
      </c>
      <c r="GT175" t="e">
        <f>AND(#REF!,"AAAAADd/F8k=")</f>
        <v>#REF!</v>
      </c>
      <c r="GU175" t="e">
        <f>AND(#REF!,"AAAAADd/F8o=")</f>
        <v>#REF!</v>
      </c>
      <c r="GV175" t="e">
        <f>AND(#REF!,"AAAAADd/F8s=")</f>
        <v>#REF!</v>
      </c>
      <c r="GW175" t="e">
        <f>AND(#REF!,"AAAAADd/F8w=")</f>
        <v>#REF!</v>
      </c>
      <c r="GX175" t="e">
        <f>AND(#REF!,"AAAAADd/F80=")</f>
        <v>#REF!</v>
      </c>
      <c r="GY175" t="e">
        <f>AND(#REF!,"AAAAADd/F84=")</f>
        <v>#REF!</v>
      </c>
      <c r="GZ175" t="e">
        <f>AND(#REF!,"AAAAADd/F88=")</f>
        <v>#REF!</v>
      </c>
      <c r="HA175" t="e">
        <f>AND(#REF!,"AAAAADd/F9A=")</f>
        <v>#REF!</v>
      </c>
      <c r="HB175" t="e">
        <f>AND(#REF!,"AAAAADd/F9E=")</f>
        <v>#REF!</v>
      </c>
      <c r="HC175" t="e">
        <f>AND(#REF!,"AAAAADd/F9I=")</f>
        <v>#REF!</v>
      </c>
      <c r="HD175" t="e">
        <f>AND(#REF!,"AAAAADd/F9M=")</f>
        <v>#REF!</v>
      </c>
      <c r="HE175" t="e">
        <f>AND(#REF!,"AAAAADd/F9Q=")</f>
        <v>#REF!</v>
      </c>
      <c r="HF175" t="e">
        <f>AND(#REF!,"AAAAADd/F9U=")</f>
        <v>#REF!</v>
      </c>
      <c r="HG175" t="e">
        <f>AND(#REF!,"AAAAADd/F9Y=")</f>
        <v>#REF!</v>
      </c>
      <c r="HH175" t="e">
        <f>AND(#REF!,"AAAAADd/F9c=")</f>
        <v>#REF!</v>
      </c>
      <c r="HI175" t="e">
        <f>AND(#REF!,"AAAAADd/F9g=")</f>
        <v>#REF!</v>
      </c>
      <c r="HJ175" t="e">
        <f>AND(#REF!,"AAAAADd/F9k=")</f>
        <v>#REF!</v>
      </c>
      <c r="HK175" t="e">
        <f>AND(#REF!,"AAAAADd/F9o=")</f>
        <v>#REF!</v>
      </c>
      <c r="HL175" t="e">
        <f>IF(#REF!,"AAAAADd/F9s=",0)</f>
        <v>#REF!</v>
      </c>
      <c r="HM175" t="e">
        <f>AND(#REF!,"AAAAADd/F9w=")</f>
        <v>#REF!</v>
      </c>
      <c r="HN175" t="e">
        <f>AND(#REF!,"AAAAADd/F90=")</f>
        <v>#REF!</v>
      </c>
      <c r="HO175" t="e">
        <f>AND(#REF!,"AAAAADd/F94=")</f>
        <v>#REF!</v>
      </c>
      <c r="HP175" t="e">
        <f>AND(#REF!,"AAAAADd/F98=")</f>
        <v>#REF!</v>
      </c>
      <c r="HQ175" t="e">
        <f>AND(#REF!,"AAAAADd/F+A=")</f>
        <v>#REF!</v>
      </c>
      <c r="HR175" t="e">
        <f>AND(#REF!,"AAAAADd/F+E=")</f>
        <v>#REF!</v>
      </c>
      <c r="HS175" t="e">
        <f>AND(#REF!,"AAAAADd/F+I=")</f>
        <v>#REF!</v>
      </c>
      <c r="HT175" t="e">
        <f>AND(#REF!,"AAAAADd/F+M=")</f>
        <v>#REF!</v>
      </c>
      <c r="HU175" t="e">
        <f>AND(#REF!,"AAAAADd/F+Q=")</f>
        <v>#REF!</v>
      </c>
      <c r="HV175" t="e">
        <f>AND(#REF!,"AAAAADd/F+U=")</f>
        <v>#REF!</v>
      </c>
      <c r="HW175" t="e">
        <f>AND(#REF!,"AAAAADd/F+Y=")</f>
        <v>#REF!</v>
      </c>
      <c r="HX175" t="e">
        <f>AND(#REF!,"AAAAADd/F+c=")</f>
        <v>#REF!</v>
      </c>
      <c r="HY175" t="e">
        <f>AND(#REF!,"AAAAADd/F+g=")</f>
        <v>#REF!</v>
      </c>
      <c r="HZ175" t="e">
        <f>AND(#REF!,"AAAAADd/F+k=")</f>
        <v>#REF!</v>
      </c>
      <c r="IA175" t="e">
        <f>AND(#REF!,"AAAAADd/F+o=")</f>
        <v>#REF!</v>
      </c>
      <c r="IB175" t="e">
        <f>AND(#REF!,"AAAAADd/F+s=")</f>
        <v>#REF!</v>
      </c>
      <c r="IC175" t="e">
        <f>AND(#REF!,"AAAAADd/F+w=")</f>
        <v>#REF!</v>
      </c>
      <c r="ID175" t="e">
        <f>AND(#REF!,"AAAAADd/F+0=")</f>
        <v>#REF!</v>
      </c>
      <c r="IE175" t="e">
        <f>AND(#REF!,"AAAAADd/F+4=")</f>
        <v>#REF!</v>
      </c>
      <c r="IF175" t="e">
        <f>AND(#REF!,"AAAAADd/F+8=")</f>
        <v>#REF!</v>
      </c>
      <c r="IG175" t="e">
        <f>AND(#REF!,"AAAAADd/F/A=")</f>
        <v>#REF!</v>
      </c>
      <c r="IH175" t="e">
        <f>AND(#REF!,"AAAAADd/F/E=")</f>
        <v>#REF!</v>
      </c>
      <c r="II175" t="e">
        <f>AND(#REF!,"AAAAADd/F/I=")</f>
        <v>#REF!</v>
      </c>
      <c r="IJ175" t="e">
        <f>AND(#REF!,"AAAAADd/F/M=")</f>
        <v>#REF!</v>
      </c>
      <c r="IK175" t="e">
        <f>AND(#REF!,"AAAAADd/F/Q=")</f>
        <v>#REF!</v>
      </c>
      <c r="IL175" t="e">
        <f>AND(#REF!,"AAAAADd/F/U=")</f>
        <v>#REF!</v>
      </c>
      <c r="IM175" t="e">
        <f>AND(#REF!,"AAAAADd/F/Y=")</f>
        <v>#REF!</v>
      </c>
      <c r="IN175" t="e">
        <f>AND(#REF!,"AAAAADd/F/c=")</f>
        <v>#REF!</v>
      </c>
      <c r="IO175" t="e">
        <f>AND(#REF!,"AAAAADd/F/g=")</f>
        <v>#REF!</v>
      </c>
      <c r="IP175" t="e">
        <f>AND(#REF!,"AAAAADd/F/k=")</f>
        <v>#REF!</v>
      </c>
      <c r="IQ175" t="e">
        <f>AND(#REF!,"AAAAADd/F/o=")</f>
        <v>#REF!</v>
      </c>
      <c r="IR175" t="e">
        <f>AND(#REF!,"AAAAADd/F/s=")</f>
        <v>#REF!</v>
      </c>
      <c r="IS175" t="e">
        <f>AND(#REF!,"AAAAADd/F/w=")</f>
        <v>#REF!</v>
      </c>
      <c r="IT175" t="e">
        <f>AND(#REF!,"AAAAADd/F/0=")</f>
        <v>#REF!</v>
      </c>
      <c r="IU175" t="e">
        <f>AND(#REF!,"AAAAADd/F/4=")</f>
        <v>#REF!</v>
      </c>
      <c r="IV175" t="e">
        <f>AND(#REF!,"AAAAADd/F/8=")</f>
        <v>#REF!</v>
      </c>
    </row>
    <row r="176" spans="1:256" x14ac:dyDescent="0.25">
      <c r="A176" t="e">
        <f>AND(#REF!,"AAAAAE9HagA=")</f>
        <v>#REF!</v>
      </c>
      <c r="B176" t="e">
        <f>AND(#REF!,"AAAAAE9HagE=")</f>
        <v>#REF!</v>
      </c>
      <c r="C176" t="e">
        <f>AND(#REF!,"AAAAAE9HagI=")</f>
        <v>#REF!</v>
      </c>
      <c r="D176" t="e">
        <f>AND(#REF!,"AAAAAE9HagM=")</f>
        <v>#REF!</v>
      </c>
      <c r="E176" t="e">
        <f>AND(#REF!,"AAAAAE9HagQ=")</f>
        <v>#REF!</v>
      </c>
      <c r="F176" t="e">
        <f>AND(#REF!,"AAAAAE9HagU=")</f>
        <v>#REF!</v>
      </c>
      <c r="G176" t="e">
        <f>AND(#REF!,"AAAAAE9HagY=")</f>
        <v>#REF!</v>
      </c>
      <c r="H176" t="e">
        <f>AND(#REF!,"AAAAAE9Hagc=")</f>
        <v>#REF!</v>
      </c>
      <c r="I176" t="e">
        <f>AND(#REF!,"AAAAAE9Hagg=")</f>
        <v>#REF!</v>
      </c>
      <c r="J176" t="e">
        <f>AND(#REF!,"AAAAAE9Hagk=")</f>
        <v>#REF!</v>
      </c>
      <c r="K176" t="e">
        <f>AND(#REF!,"AAAAAE9Hago=")</f>
        <v>#REF!</v>
      </c>
      <c r="L176" t="e">
        <f>AND(#REF!,"AAAAAE9Hags=")</f>
        <v>#REF!</v>
      </c>
      <c r="M176" t="e">
        <f>AND(#REF!,"AAAAAE9Hagw=")</f>
        <v>#REF!</v>
      </c>
      <c r="N176" t="e">
        <f>AND(#REF!,"AAAAAE9Hag0=")</f>
        <v>#REF!</v>
      </c>
      <c r="O176" t="e">
        <f>AND(#REF!,"AAAAAE9Hag4=")</f>
        <v>#REF!</v>
      </c>
      <c r="P176" t="e">
        <f>AND(#REF!,"AAAAAE9Hag8=")</f>
        <v>#REF!</v>
      </c>
      <c r="Q176" t="e">
        <f>AND(#REF!,"AAAAAE9HahA=")</f>
        <v>#REF!</v>
      </c>
      <c r="R176" t="e">
        <f>AND(#REF!,"AAAAAE9HahE=")</f>
        <v>#REF!</v>
      </c>
      <c r="S176" t="e">
        <f>AND(#REF!,"AAAAAE9HahI=")</f>
        <v>#REF!</v>
      </c>
      <c r="T176" t="e">
        <f>AND(#REF!,"AAAAAE9HahM=")</f>
        <v>#REF!</v>
      </c>
      <c r="U176" t="e">
        <f>AND(#REF!,"AAAAAE9HahQ=")</f>
        <v>#REF!</v>
      </c>
      <c r="V176" t="e">
        <f>AND(#REF!,"AAAAAE9HahU=")</f>
        <v>#REF!</v>
      </c>
      <c r="W176" t="e">
        <f>AND(#REF!,"AAAAAE9HahY=")</f>
        <v>#REF!</v>
      </c>
      <c r="X176" t="e">
        <f>AND(#REF!,"AAAAAE9Hahc=")</f>
        <v>#REF!</v>
      </c>
      <c r="Y176" t="e">
        <f>AND(#REF!,"AAAAAE9Hahg=")</f>
        <v>#REF!</v>
      </c>
      <c r="Z176" t="e">
        <f>AND(#REF!,"AAAAAE9Hahk=")</f>
        <v>#REF!</v>
      </c>
      <c r="AA176" t="e">
        <f>AND(#REF!,"AAAAAE9Haho=")</f>
        <v>#REF!</v>
      </c>
      <c r="AB176" t="e">
        <f>AND(#REF!,"AAAAAE9Hahs=")</f>
        <v>#REF!</v>
      </c>
      <c r="AC176" t="e">
        <f>AND(#REF!,"AAAAAE9Hahw=")</f>
        <v>#REF!</v>
      </c>
      <c r="AD176" t="e">
        <f>AND(#REF!,"AAAAAE9Hah0=")</f>
        <v>#REF!</v>
      </c>
      <c r="AE176" t="e">
        <f>AND(#REF!,"AAAAAE9Hah4=")</f>
        <v>#REF!</v>
      </c>
      <c r="AF176" t="e">
        <f>AND(#REF!,"AAAAAE9Hah8=")</f>
        <v>#REF!</v>
      </c>
      <c r="AG176" t="e">
        <f>IF(#REF!,"AAAAAE9HaiA=",0)</f>
        <v>#REF!</v>
      </c>
      <c r="AH176" t="e">
        <f>AND(#REF!,"AAAAAE9HaiE=")</f>
        <v>#REF!</v>
      </c>
      <c r="AI176" t="e">
        <f>AND(#REF!,"AAAAAE9HaiI=")</f>
        <v>#REF!</v>
      </c>
      <c r="AJ176" t="e">
        <f>AND(#REF!,"AAAAAE9HaiM=")</f>
        <v>#REF!</v>
      </c>
      <c r="AK176" t="e">
        <f>AND(#REF!,"AAAAAE9HaiQ=")</f>
        <v>#REF!</v>
      </c>
      <c r="AL176" t="e">
        <f>AND(#REF!,"AAAAAE9HaiU=")</f>
        <v>#REF!</v>
      </c>
      <c r="AM176" t="e">
        <f>AND(#REF!,"AAAAAE9HaiY=")</f>
        <v>#REF!</v>
      </c>
      <c r="AN176" t="e">
        <f>AND(#REF!,"AAAAAE9Haic=")</f>
        <v>#REF!</v>
      </c>
      <c r="AO176" t="e">
        <f>AND(#REF!,"AAAAAE9Haig=")</f>
        <v>#REF!</v>
      </c>
      <c r="AP176" t="e">
        <f>AND(#REF!,"AAAAAE9Haik=")</f>
        <v>#REF!</v>
      </c>
      <c r="AQ176" t="e">
        <f>AND(#REF!,"AAAAAE9Haio=")</f>
        <v>#REF!</v>
      </c>
      <c r="AR176" t="e">
        <f>AND(#REF!,"AAAAAE9Hais=")</f>
        <v>#REF!</v>
      </c>
      <c r="AS176" t="e">
        <f>AND(#REF!,"AAAAAE9Haiw=")</f>
        <v>#REF!</v>
      </c>
      <c r="AT176" t="e">
        <f>AND(#REF!,"AAAAAE9Hai0=")</f>
        <v>#REF!</v>
      </c>
      <c r="AU176" t="e">
        <f>AND(#REF!,"AAAAAE9Hai4=")</f>
        <v>#REF!</v>
      </c>
      <c r="AV176" t="e">
        <f>AND(#REF!,"AAAAAE9Hai8=")</f>
        <v>#REF!</v>
      </c>
      <c r="AW176" t="e">
        <f>AND(#REF!,"AAAAAE9HajA=")</f>
        <v>#REF!</v>
      </c>
      <c r="AX176" t="e">
        <f>AND(#REF!,"AAAAAE9HajE=")</f>
        <v>#REF!</v>
      </c>
      <c r="AY176" t="e">
        <f>AND(#REF!,"AAAAAE9HajI=")</f>
        <v>#REF!</v>
      </c>
      <c r="AZ176" t="e">
        <f>AND(#REF!,"AAAAAE9HajM=")</f>
        <v>#REF!</v>
      </c>
      <c r="BA176" t="e">
        <f>AND(#REF!,"AAAAAE9HajQ=")</f>
        <v>#REF!</v>
      </c>
      <c r="BB176" t="e">
        <f>AND(#REF!,"AAAAAE9HajU=")</f>
        <v>#REF!</v>
      </c>
      <c r="BC176" t="e">
        <f>AND(#REF!,"AAAAAE9HajY=")</f>
        <v>#REF!</v>
      </c>
      <c r="BD176" t="e">
        <f>AND(#REF!,"AAAAAE9Hajc=")</f>
        <v>#REF!</v>
      </c>
      <c r="BE176" t="e">
        <f>AND(#REF!,"AAAAAE9Hajg=")</f>
        <v>#REF!</v>
      </c>
      <c r="BF176" t="e">
        <f>AND(#REF!,"AAAAAE9Hajk=")</f>
        <v>#REF!</v>
      </c>
      <c r="BG176" t="e">
        <f>AND(#REF!,"AAAAAE9Hajo=")</f>
        <v>#REF!</v>
      </c>
      <c r="BH176" t="e">
        <f>AND(#REF!,"AAAAAE9Hajs=")</f>
        <v>#REF!</v>
      </c>
      <c r="BI176" t="e">
        <f>AND(#REF!,"AAAAAE9Hajw=")</f>
        <v>#REF!</v>
      </c>
      <c r="BJ176" t="e">
        <f>AND(#REF!,"AAAAAE9Haj0=")</f>
        <v>#REF!</v>
      </c>
      <c r="BK176" t="e">
        <f>AND(#REF!,"AAAAAE9Haj4=")</f>
        <v>#REF!</v>
      </c>
      <c r="BL176" t="e">
        <f>AND(#REF!,"AAAAAE9Haj8=")</f>
        <v>#REF!</v>
      </c>
      <c r="BM176" t="e">
        <f>AND(#REF!,"AAAAAE9HakA=")</f>
        <v>#REF!</v>
      </c>
      <c r="BN176" t="e">
        <f>AND(#REF!,"AAAAAE9HakE=")</f>
        <v>#REF!</v>
      </c>
      <c r="BO176" t="e">
        <f>AND(#REF!,"AAAAAE9HakI=")</f>
        <v>#REF!</v>
      </c>
      <c r="BP176" t="e">
        <f>AND(#REF!,"AAAAAE9HakM=")</f>
        <v>#REF!</v>
      </c>
      <c r="BQ176" t="e">
        <f>AND(#REF!,"AAAAAE9HakQ=")</f>
        <v>#REF!</v>
      </c>
      <c r="BR176" t="e">
        <f>AND(#REF!,"AAAAAE9HakU=")</f>
        <v>#REF!</v>
      </c>
      <c r="BS176" t="e">
        <f>AND(#REF!,"AAAAAE9HakY=")</f>
        <v>#REF!</v>
      </c>
      <c r="BT176" t="e">
        <f>AND(#REF!,"AAAAAE9Hakc=")</f>
        <v>#REF!</v>
      </c>
      <c r="BU176" t="e">
        <f>AND(#REF!,"AAAAAE9Hakg=")</f>
        <v>#REF!</v>
      </c>
      <c r="BV176" t="e">
        <f>AND(#REF!,"AAAAAE9Hakk=")</f>
        <v>#REF!</v>
      </c>
      <c r="BW176" t="e">
        <f>AND(#REF!,"AAAAAE9Hako=")</f>
        <v>#REF!</v>
      </c>
      <c r="BX176" t="e">
        <f>AND(#REF!,"AAAAAE9Haks=")</f>
        <v>#REF!</v>
      </c>
      <c r="BY176" t="e">
        <f>AND(#REF!,"AAAAAE9Hakw=")</f>
        <v>#REF!</v>
      </c>
      <c r="BZ176" t="e">
        <f>AND(#REF!,"AAAAAE9Hak0=")</f>
        <v>#REF!</v>
      </c>
      <c r="CA176" t="e">
        <f>AND(#REF!,"AAAAAE9Hak4=")</f>
        <v>#REF!</v>
      </c>
      <c r="CB176" t="e">
        <f>AND(#REF!,"AAAAAE9Hak8=")</f>
        <v>#REF!</v>
      </c>
      <c r="CC176" t="e">
        <f>AND(#REF!,"AAAAAE9HalA=")</f>
        <v>#REF!</v>
      </c>
      <c r="CD176" t="e">
        <f>AND(#REF!,"AAAAAE9HalE=")</f>
        <v>#REF!</v>
      </c>
      <c r="CE176" t="e">
        <f>AND(#REF!,"AAAAAE9HalI=")</f>
        <v>#REF!</v>
      </c>
      <c r="CF176" t="e">
        <f>AND(#REF!,"AAAAAE9HalM=")</f>
        <v>#REF!</v>
      </c>
      <c r="CG176" t="e">
        <f>AND(#REF!,"AAAAAE9HalQ=")</f>
        <v>#REF!</v>
      </c>
      <c r="CH176" t="e">
        <f>AND(#REF!,"AAAAAE9HalU=")</f>
        <v>#REF!</v>
      </c>
      <c r="CI176" t="e">
        <f>AND(#REF!,"AAAAAE9HalY=")</f>
        <v>#REF!</v>
      </c>
      <c r="CJ176" t="e">
        <f>AND(#REF!,"AAAAAE9Halc=")</f>
        <v>#REF!</v>
      </c>
      <c r="CK176" t="e">
        <f>AND(#REF!,"AAAAAE9Halg=")</f>
        <v>#REF!</v>
      </c>
      <c r="CL176" t="e">
        <f>AND(#REF!,"AAAAAE9Halk=")</f>
        <v>#REF!</v>
      </c>
      <c r="CM176" t="e">
        <f>AND(#REF!,"AAAAAE9Halo=")</f>
        <v>#REF!</v>
      </c>
      <c r="CN176" t="e">
        <f>AND(#REF!,"AAAAAE9Hals=")</f>
        <v>#REF!</v>
      </c>
      <c r="CO176" t="e">
        <f>AND(#REF!,"AAAAAE9Halw=")</f>
        <v>#REF!</v>
      </c>
      <c r="CP176" t="e">
        <f>AND(#REF!,"AAAAAE9Hal0=")</f>
        <v>#REF!</v>
      </c>
      <c r="CQ176" t="e">
        <f>AND(#REF!,"AAAAAE9Hal4=")</f>
        <v>#REF!</v>
      </c>
      <c r="CR176" t="e">
        <f>AND(#REF!,"AAAAAE9Hal8=")</f>
        <v>#REF!</v>
      </c>
      <c r="CS176" t="e">
        <f>AND(#REF!,"AAAAAE9HamA=")</f>
        <v>#REF!</v>
      </c>
      <c r="CT176" t="e">
        <f>AND(#REF!,"AAAAAE9HamE=")</f>
        <v>#REF!</v>
      </c>
      <c r="CU176" t="e">
        <f>AND(#REF!,"AAAAAE9HamI=")</f>
        <v>#REF!</v>
      </c>
      <c r="CV176" t="e">
        <f>AND(#REF!,"AAAAAE9HamM=")</f>
        <v>#REF!</v>
      </c>
      <c r="CW176" t="e">
        <f>AND(#REF!,"AAAAAE9HamQ=")</f>
        <v>#REF!</v>
      </c>
      <c r="CX176" t="e">
        <f>IF(#REF!,"AAAAAE9HamU=",0)</f>
        <v>#REF!</v>
      </c>
      <c r="CY176" t="e">
        <f>AND(#REF!,"AAAAAE9HamY=")</f>
        <v>#REF!</v>
      </c>
      <c r="CZ176" t="e">
        <f>AND(#REF!,"AAAAAE9Hamc=")</f>
        <v>#REF!</v>
      </c>
      <c r="DA176" t="e">
        <f>AND(#REF!,"AAAAAE9Hamg=")</f>
        <v>#REF!</v>
      </c>
      <c r="DB176" t="e">
        <f>AND(#REF!,"AAAAAE9Hamk=")</f>
        <v>#REF!</v>
      </c>
      <c r="DC176" t="e">
        <f>AND(#REF!,"AAAAAE9Hamo=")</f>
        <v>#REF!</v>
      </c>
      <c r="DD176" t="e">
        <f>AND(#REF!,"AAAAAE9Hams=")</f>
        <v>#REF!</v>
      </c>
      <c r="DE176" t="e">
        <f>AND(#REF!,"AAAAAE9Hamw=")</f>
        <v>#REF!</v>
      </c>
      <c r="DF176" t="e">
        <f>AND(#REF!,"AAAAAE9Ham0=")</f>
        <v>#REF!</v>
      </c>
      <c r="DG176" t="e">
        <f>AND(#REF!,"AAAAAE9Ham4=")</f>
        <v>#REF!</v>
      </c>
      <c r="DH176" t="e">
        <f>AND(#REF!,"AAAAAE9Ham8=")</f>
        <v>#REF!</v>
      </c>
      <c r="DI176" t="e">
        <f>AND(#REF!,"AAAAAE9HanA=")</f>
        <v>#REF!</v>
      </c>
      <c r="DJ176" t="e">
        <f>AND(#REF!,"AAAAAE9HanE=")</f>
        <v>#REF!</v>
      </c>
      <c r="DK176" t="e">
        <f>AND(#REF!,"AAAAAE9HanI=")</f>
        <v>#REF!</v>
      </c>
      <c r="DL176" t="e">
        <f>AND(#REF!,"AAAAAE9HanM=")</f>
        <v>#REF!</v>
      </c>
      <c r="DM176" t="e">
        <f>AND(#REF!,"AAAAAE9HanQ=")</f>
        <v>#REF!</v>
      </c>
      <c r="DN176" t="e">
        <f>AND(#REF!,"AAAAAE9HanU=")</f>
        <v>#REF!</v>
      </c>
      <c r="DO176" t="e">
        <f>AND(#REF!,"AAAAAE9HanY=")</f>
        <v>#REF!</v>
      </c>
      <c r="DP176" t="e">
        <f>AND(#REF!,"AAAAAE9Hanc=")</f>
        <v>#REF!</v>
      </c>
      <c r="DQ176" t="e">
        <f>AND(#REF!,"AAAAAE9Hang=")</f>
        <v>#REF!</v>
      </c>
      <c r="DR176" t="e">
        <f>AND(#REF!,"AAAAAE9Hank=")</f>
        <v>#REF!</v>
      </c>
      <c r="DS176" t="e">
        <f>AND(#REF!,"AAAAAE9Hano=")</f>
        <v>#REF!</v>
      </c>
      <c r="DT176" t="e">
        <f>AND(#REF!,"AAAAAE9Hans=")</f>
        <v>#REF!</v>
      </c>
      <c r="DU176" t="e">
        <f>AND(#REF!,"AAAAAE9Hanw=")</f>
        <v>#REF!</v>
      </c>
      <c r="DV176" t="e">
        <f>AND(#REF!,"AAAAAE9Han0=")</f>
        <v>#REF!</v>
      </c>
      <c r="DW176" t="e">
        <f>AND(#REF!,"AAAAAE9Han4=")</f>
        <v>#REF!</v>
      </c>
      <c r="DX176" t="e">
        <f>AND(#REF!,"AAAAAE9Han8=")</f>
        <v>#REF!</v>
      </c>
      <c r="DY176" t="e">
        <f>AND(#REF!,"AAAAAE9HaoA=")</f>
        <v>#REF!</v>
      </c>
      <c r="DZ176" t="e">
        <f>AND(#REF!,"AAAAAE9HaoE=")</f>
        <v>#REF!</v>
      </c>
      <c r="EA176" t="e">
        <f>AND(#REF!,"AAAAAE9HaoI=")</f>
        <v>#REF!</v>
      </c>
      <c r="EB176" t="e">
        <f>AND(#REF!,"AAAAAE9HaoM=")</f>
        <v>#REF!</v>
      </c>
      <c r="EC176" t="e">
        <f>AND(#REF!,"AAAAAE9HaoQ=")</f>
        <v>#REF!</v>
      </c>
      <c r="ED176" t="e">
        <f>AND(#REF!,"AAAAAE9HaoU=")</f>
        <v>#REF!</v>
      </c>
      <c r="EE176" t="e">
        <f>AND(#REF!,"AAAAAE9HaoY=")</f>
        <v>#REF!</v>
      </c>
      <c r="EF176" t="e">
        <f>AND(#REF!,"AAAAAE9Haoc=")</f>
        <v>#REF!</v>
      </c>
      <c r="EG176" t="e">
        <f>AND(#REF!,"AAAAAE9Haog=")</f>
        <v>#REF!</v>
      </c>
      <c r="EH176" t="e">
        <f>AND(#REF!,"AAAAAE9Haok=")</f>
        <v>#REF!</v>
      </c>
      <c r="EI176" t="e">
        <f>AND(#REF!,"AAAAAE9Haoo=")</f>
        <v>#REF!</v>
      </c>
      <c r="EJ176" t="e">
        <f>AND(#REF!,"AAAAAE9Haos=")</f>
        <v>#REF!</v>
      </c>
      <c r="EK176" t="e">
        <f>AND(#REF!,"AAAAAE9Haow=")</f>
        <v>#REF!</v>
      </c>
      <c r="EL176" t="e">
        <f>AND(#REF!,"AAAAAE9Hao0=")</f>
        <v>#REF!</v>
      </c>
      <c r="EM176" t="e">
        <f>AND(#REF!,"AAAAAE9Hao4=")</f>
        <v>#REF!</v>
      </c>
      <c r="EN176" t="e">
        <f>AND(#REF!,"AAAAAE9Hao8=")</f>
        <v>#REF!</v>
      </c>
      <c r="EO176" t="e">
        <f>AND(#REF!,"AAAAAE9HapA=")</f>
        <v>#REF!</v>
      </c>
      <c r="EP176" t="e">
        <f>AND(#REF!,"AAAAAE9HapE=")</f>
        <v>#REF!</v>
      </c>
      <c r="EQ176" t="e">
        <f>AND(#REF!,"AAAAAE9HapI=")</f>
        <v>#REF!</v>
      </c>
      <c r="ER176" t="e">
        <f>AND(#REF!,"AAAAAE9HapM=")</f>
        <v>#REF!</v>
      </c>
      <c r="ES176" t="e">
        <f>AND(#REF!,"AAAAAE9HapQ=")</f>
        <v>#REF!</v>
      </c>
      <c r="ET176" t="e">
        <f>AND(#REF!,"AAAAAE9HapU=")</f>
        <v>#REF!</v>
      </c>
      <c r="EU176" t="e">
        <f>AND(#REF!,"AAAAAE9HapY=")</f>
        <v>#REF!</v>
      </c>
      <c r="EV176" t="e">
        <f>AND(#REF!,"AAAAAE9Hapc=")</f>
        <v>#REF!</v>
      </c>
      <c r="EW176" t="e">
        <f>AND(#REF!,"AAAAAE9Hapg=")</f>
        <v>#REF!</v>
      </c>
      <c r="EX176" t="e">
        <f>AND(#REF!,"AAAAAE9Hapk=")</f>
        <v>#REF!</v>
      </c>
      <c r="EY176" t="e">
        <f>AND(#REF!,"AAAAAE9Hapo=")</f>
        <v>#REF!</v>
      </c>
      <c r="EZ176" t="e">
        <f>AND(#REF!,"AAAAAE9Haps=")</f>
        <v>#REF!</v>
      </c>
      <c r="FA176" t="e">
        <f>AND(#REF!,"AAAAAE9Hapw=")</f>
        <v>#REF!</v>
      </c>
      <c r="FB176" t="e">
        <f>AND(#REF!,"AAAAAE9Hap0=")</f>
        <v>#REF!</v>
      </c>
      <c r="FC176" t="e">
        <f>AND(#REF!,"AAAAAE9Hap4=")</f>
        <v>#REF!</v>
      </c>
      <c r="FD176" t="e">
        <f>AND(#REF!,"AAAAAE9Hap8=")</f>
        <v>#REF!</v>
      </c>
      <c r="FE176" t="e">
        <f>AND(#REF!,"AAAAAE9HaqA=")</f>
        <v>#REF!</v>
      </c>
      <c r="FF176" t="e">
        <f>AND(#REF!,"AAAAAE9HaqE=")</f>
        <v>#REF!</v>
      </c>
      <c r="FG176" t="e">
        <f>AND(#REF!,"AAAAAE9HaqI=")</f>
        <v>#REF!</v>
      </c>
      <c r="FH176" t="e">
        <f>AND(#REF!,"AAAAAE9HaqM=")</f>
        <v>#REF!</v>
      </c>
      <c r="FI176" t="e">
        <f>AND(#REF!,"AAAAAE9HaqQ=")</f>
        <v>#REF!</v>
      </c>
      <c r="FJ176" t="e">
        <f>AND(#REF!,"AAAAAE9HaqU=")</f>
        <v>#REF!</v>
      </c>
      <c r="FK176" t="e">
        <f>AND(#REF!,"AAAAAE9HaqY=")</f>
        <v>#REF!</v>
      </c>
      <c r="FL176" t="e">
        <f>AND(#REF!,"AAAAAE9Haqc=")</f>
        <v>#REF!</v>
      </c>
      <c r="FM176" t="e">
        <f>AND(#REF!,"AAAAAE9Haqg=")</f>
        <v>#REF!</v>
      </c>
      <c r="FN176" t="e">
        <f>AND(#REF!,"AAAAAE9Haqk=")</f>
        <v>#REF!</v>
      </c>
      <c r="FO176" t="e">
        <f>IF(#REF!,"AAAAAE9Haqo=",0)</f>
        <v>#REF!</v>
      </c>
      <c r="FP176" t="e">
        <f>AND(#REF!,"AAAAAE9Haqs=")</f>
        <v>#REF!</v>
      </c>
      <c r="FQ176" t="e">
        <f>AND(#REF!,"AAAAAE9Haqw=")</f>
        <v>#REF!</v>
      </c>
      <c r="FR176" t="e">
        <f>AND(#REF!,"AAAAAE9Haq0=")</f>
        <v>#REF!</v>
      </c>
      <c r="FS176" t="e">
        <f>AND(#REF!,"AAAAAE9Haq4=")</f>
        <v>#REF!</v>
      </c>
      <c r="FT176" t="e">
        <f>AND(#REF!,"AAAAAE9Haq8=")</f>
        <v>#REF!</v>
      </c>
      <c r="FU176" t="e">
        <f>AND(#REF!,"AAAAAE9HarA=")</f>
        <v>#REF!</v>
      </c>
      <c r="FV176" t="e">
        <f>AND(#REF!,"AAAAAE9HarE=")</f>
        <v>#REF!</v>
      </c>
      <c r="FW176" t="e">
        <f>AND(#REF!,"AAAAAE9HarI=")</f>
        <v>#REF!</v>
      </c>
      <c r="FX176" t="e">
        <f>AND(#REF!,"AAAAAE9HarM=")</f>
        <v>#REF!</v>
      </c>
      <c r="FY176" t="e">
        <f>AND(#REF!,"AAAAAE9HarQ=")</f>
        <v>#REF!</v>
      </c>
      <c r="FZ176" t="e">
        <f>AND(#REF!,"AAAAAE9HarU=")</f>
        <v>#REF!</v>
      </c>
      <c r="GA176" t="e">
        <f>AND(#REF!,"AAAAAE9HarY=")</f>
        <v>#REF!</v>
      </c>
      <c r="GB176" t="e">
        <f>AND(#REF!,"AAAAAE9Harc=")</f>
        <v>#REF!</v>
      </c>
      <c r="GC176" t="e">
        <f>AND(#REF!,"AAAAAE9Harg=")</f>
        <v>#REF!</v>
      </c>
      <c r="GD176" t="e">
        <f>AND(#REF!,"AAAAAE9Hark=")</f>
        <v>#REF!</v>
      </c>
      <c r="GE176" t="e">
        <f>AND(#REF!,"AAAAAE9Haro=")</f>
        <v>#REF!</v>
      </c>
      <c r="GF176" t="e">
        <f>AND(#REF!,"AAAAAE9Hars=")</f>
        <v>#REF!</v>
      </c>
      <c r="GG176" t="e">
        <f>AND(#REF!,"AAAAAE9Harw=")</f>
        <v>#REF!</v>
      </c>
      <c r="GH176" t="e">
        <f>AND(#REF!,"AAAAAE9Har0=")</f>
        <v>#REF!</v>
      </c>
      <c r="GI176" t="e">
        <f>AND(#REF!,"AAAAAE9Har4=")</f>
        <v>#REF!</v>
      </c>
      <c r="GJ176" t="e">
        <f>AND(#REF!,"AAAAAE9Har8=")</f>
        <v>#REF!</v>
      </c>
      <c r="GK176" t="e">
        <f>AND(#REF!,"AAAAAE9HasA=")</f>
        <v>#REF!</v>
      </c>
      <c r="GL176" t="e">
        <f>AND(#REF!,"AAAAAE9HasE=")</f>
        <v>#REF!</v>
      </c>
      <c r="GM176" t="e">
        <f>AND(#REF!,"AAAAAE9HasI=")</f>
        <v>#REF!</v>
      </c>
      <c r="GN176" t="e">
        <f>AND(#REF!,"AAAAAE9HasM=")</f>
        <v>#REF!</v>
      </c>
      <c r="GO176" t="e">
        <f>AND(#REF!,"AAAAAE9HasQ=")</f>
        <v>#REF!</v>
      </c>
      <c r="GP176" t="e">
        <f>AND(#REF!,"AAAAAE9HasU=")</f>
        <v>#REF!</v>
      </c>
      <c r="GQ176" t="e">
        <f>AND(#REF!,"AAAAAE9HasY=")</f>
        <v>#REF!</v>
      </c>
      <c r="GR176" t="e">
        <f>AND(#REF!,"AAAAAE9Hasc=")</f>
        <v>#REF!</v>
      </c>
      <c r="GS176" t="e">
        <f>AND(#REF!,"AAAAAE9Hasg=")</f>
        <v>#REF!</v>
      </c>
      <c r="GT176" t="e">
        <f>AND(#REF!,"AAAAAE9Hask=")</f>
        <v>#REF!</v>
      </c>
      <c r="GU176" t="e">
        <f>AND(#REF!,"AAAAAE9Haso=")</f>
        <v>#REF!</v>
      </c>
      <c r="GV176" t="e">
        <f>AND(#REF!,"AAAAAE9Hass=")</f>
        <v>#REF!</v>
      </c>
      <c r="GW176" t="e">
        <f>AND(#REF!,"AAAAAE9Hasw=")</f>
        <v>#REF!</v>
      </c>
      <c r="GX176" t="e">
        <f>AND(#REF!,"AAAAAE9Has0=")</f>
        <v>#REF!</v>
      </c>
      <c r="GY176" t="e">
        <f>AND(#REF!,"AAAAAE9Has4=")</f>
        <v>#REF!</v>
      </c>
      <c r="GZ176" t="e">
        <f>AND(#REF!,"AAAAAE9Has8=")</f>
        <v>#REF!</v>
      </c>
      <c r="HA176" t="e">
        <f>AND(#REF!,"AAAAAE9HatA=")</f>
        <v>#REF!</v>
      </c>
      <c r="HB176" t="e">
        <f>AND(#REF!,"AAAAAE9HatE=")</f>
        <v>#REF!</v>
      </c>
      <c r="HC176" t="e">
        <f>AND(#REF!,"AAAAAE9HatI=")</f>
        <v>#REF!</v>
      </c>
      <c r="HD176" t="e">
        <f>AND(#REF!,"AAAAAE9HatM=")</f>
        <v>#REF!</v>
      </c>
      <c r="HE176" t="e">
        <f>AND(#REF!,"AAAAAE9HatQ=")</f>
        <v>#REF!</v>
      </c>
      <c r="HF176" t="e">
        <f>AND(#REF!,"AAAAAE9HatU=")</f>
        <v>#REF!</v>
      </c>
      <c r="HG176" t="e">
        <f>AND(#REF!,"AAAAAE9HatY=")</f>
        <v>#REF!</v>
      </c>
      <c r="HH176" t="e">
        <f>AND(#REF!,"AAAAAE9Hatc=")</f>
        <v>#REF!</v>
      </c>
      <c r="HI176" t="e">
        <f>AND(#REF!,"AAAAAE9Hatg=")</f>
        <v>#REF!</v>
      </c>
      <c r="HJ176" t="e">
        <f>AND(#REF!,"AAAAAE9Hatk=")</f>
        <v>#REF!</v>
      </c>
      <c r="HK176" t="e">
        <f>AND(#REF!,"AAAAAE9Hato=")</f>
        <v>#REF!</v>
      </c>
      <c r="HL176" t="e">
        <f>AND(#REF!,"AAAAAE9Hats=")</f>
        <v>#REF!</v>
      </c>
      <c r="HM176" t="e">
        <f>AND(#REF!,"AAAAAE9Hatw=")</f>
        <v>#REF!</v>
      </c>
      <c r="HN176" t="e">
        <f>AND(#REF!,"AAAAAE9Hat0=")</f>
        <v>#REF!</v>
      </c>
      <c r="HO176" t="e">
        <f>AND(#REF!,"AAAAAE9Hat4=")</f>
        <v>#REF!</v>
      </c>
      <c r="HP176" t="e">
        <f>AND(#REF!,"AAAAAE9Hat8=")</f>
        <v>#REF!</v>
      </c>
      <c r="HQ176" t="e">
        <f>AND(#REF!,"AAAAAE9HauA=")</f>
        <v>#REF!</v>
      </c>
      <c r="HR176" t="e">
        <f>AND(#REF!,"AAAAAE9HauE=")</f>
        <v>#REF!</v>
      </c>
      <c r="HS176" t="e">
        <f>AND(#REF!,"AAAAAE9HauI=")</f>
        <v>#REF!</v>
      </c>
      <c r="HT176" t="e">
        <f>AND(#REF!,"AAAAAE9HauM=")</f>
        <v>#REF!</v>
      </c>
      <c r="HU176" t="e">
        <f>AND(#REF!,"AAAAAE9HauQ=")</f>
        <v>#REF!</v>
      </c>
      <c r="HV176" t="e">
        <f>AND(#REF!,"AAAAAE9HauU=")</f>
        <v>#REF!</v>
      </c>
      <c r="HW176" t="e">
        <f>AND(#REF!,"AAAAAE9HauY=")</f>
        <v>#REF!</v>
      </c>
      <c r="HX176" t="e">
        <f>AND(#REF!,"AAAAAE9Hauc=")</f>
        <v>#REF!</v>
      </c>
      <c r="HY176" t="e">
        <f>AND(#REF!,"AAAAAE9Haug=")</f>
        <v>#REF!</v>
      </c>
      <c r="HZ176" t="e">
        <f>AND(#REF!,"AAAAAE9Hauk=")</f>
        <v>#REF!</v>
      </c>
      <c r="IA176" t="e">
        <f>AND(#REF!,"AAAAAE9Hauo=")</f>
        <v>#REF!</v>
      </c>
      <c r="IB176" t="e">
        <f>AND(#REF!,"AAAAAE9Haus=")</f>
        <v>#REF!</v>
      </c>
      <c r="IC176" t="e">
        <f>AND(#REF!,"AAAAAE9Hauw=")</f>
        <v>#REF!</v>
      </c>
      <c r="ID176" t="e">
        <f>AND(#REF!,"AAAAAE9Hau0=")</f>
        <v>#REF!</v>
      </c>
      <c r="IE176" t="e">
        <f>AND(#REF!,"AAAAAE9Hau4=")</f>
        <v>#REF!</v>
      </c>
      <c r="IF176" t="e">
        <f>IF(#REF!,"AAAAAE9Hau8=",0)</f>
        <v>#REF!</v>
      </c>
      <c r="IG176" t="e">
        <f>AND(#REF!,"AAAAAE9HavA=")</f>
        <v>#REF!</v>
      </c>
      <c r="IH176" t="e">
        <f>AND(#REF!,"AAAAAE9HavE=")</f>
        <v>#REF!</v>
      </c>
      <c r="II176" t="e">
        <f>AND(#REF!,"AAAAAE9HavI=")</f>
        <v>#REF!</v>
      </c>
      <c r="IJ176" t="e">
        <f>AND(#REF!,"AAAAAE9HavM=")</f>
        <v>#REF!</v>
      </c>
      <c r="IK176" t="e">
        <f>AND(#REF!,"AAAAAE9HavQ=")</f>
        <v>#REF!</v>
      </c>
      <c r="IL176" t="e">
        <f>AND(#REF!,"AAAAAE9HavU=")</f>
        <v>#REF!</v>
      </c>
      <c r="IM176" t="e">
        <f>AND(#REF!,"AAAAAE9HavY=")</f>
        <v>#REF!</v>
      </c>
      <c r="IN176" t="e">
        <f>AND(#REF!,"AAAAAE9Havc=")</f>
        <v>#REF!</v>
      </c>
      <c r="IO176" t="e">
        <f>AND(#REF!,"AAAAAE9Havg=")</f>
        <v>#REF!</v>
      </c>
      <c r="IP176" t="e">
        <f>AND(#REF!,"AAAAAE9Havk=")</f>
        <v>#REF!</v>
      </c>
      <c r="IQ176" t="e">
        <f>AND(#REF!,"AAAAAE9Havo=")</f>
        <v>#REF!</v>
      </c>
      <c r="IR176" t="e">
        <f>AND(#REF!,"AAAAAE9Havs=")</f>
        <v>#REF!</v>
      </c>
      <c r="IS176" t="e">
        <f>AND(#REF!,"AAAAAE9Havw=")</f>
        <v>#REF!</v>
      </c>
      <c r="IT176" t="e">
        <f>AND(#REF!,"AAAAAE9Hav0=")</f>
        <v>#REF!</v>
      </c>
      <c r="IU176" t="e">
        <f>AND(#REF!,"AAAAAE9Hav4=")</f>
        <v>#REF!</v>
      </c>
      <c r="IV176" t="e">
        <f>AND(#REF!,"AAAAAE9Hav8=")</f>
        <v>#REF!</v>
      </c>
    </row>
    <row r="177" spans="1:256" x14ac:dyDescent="0.25">
      <c r="A177" t="e">
        <f>AND(#REF!,"AAAAAHfMtwA=")</f>
        <v>#REF!</v>
      </c>
      <c r="B177" t="e">
        <f>AND(#REF!,"AAAAAHfMtwE=")</f>
        <v>#REF!</v>
      </c>
      <c r="C177" t="e">
        <f>AND(#REF!,"AAAAAHfMtwI=")</f>
        <v>#REF!</v>
      </c>
      <c r="D177" t="e">
        <f>AND(#REF!,"AAAAAHfMtwM=")</f>
        <v>#REF!</v>
      </c>
      <c r="E177" t="e">
        <f>AND(#REF!,"AAAAAHfMtwQ=")</f>
        <v>#REF!</v>
      </c>
      <c r="F177" t="e">
        <f>AND(#REF!,"AAAAAHfMtwU=")</f>
        <v>#REF!</v>
      </c>
      <c r="G177" t="e">
        <f>AND(#REF!,"AAAAAHfMtwY=")</f>
        <v>#REF!</v>
      </c>
      <c r="H177" t="e">
        <f>AND(#REF!,"AAAAAHfMtwc=")</f>
        <v>#REF!</v>
      </c>
      <c r="I177" t="e">
        <f>AND(#REF!,"AAAAAHfMtwg=")</f>
        <v>#REF!</v>
      </c>
      <c r="J177" t="e">
        <f>AND(#REF!,"AAAAAHfMtwk=")</f>
        <v>#REF!</v>
      </c>
      <c r="K177" t="e">
        <f>AND(#REF!,"AAAAAHfMtwo=")</f>
        <v>#REF!</v>
      </c>
      <c r="L177" t="e">
        <f>AND(#REF!,"AAAAAHfMtws=")</f>
        <v>#REF!</v>
      </c>
      <c r="M177" t="e">
        <f>AND(#REF!,"AAAAAHfMtww=")</f>
        <v>#REF!</v>
      </c>
      <c r="N177" t="e">
        <f>AND(#REF!,"AAAAAHfMtw0=")</f>
        <v>#REF!</v>
      </c>
      <c r="O177" t="e">
        <f>AND(#REF!,"AAAAAHfMtw4=")</f>
        <v>#REF!</v>
      </c>
      <c r="P177" t="e">
        <f>AND(#REF!,"AAAAAHfMtw8=")</f>
        <v>#REF!</v>
      </c>
      <c r="Q177" t="e">
        <f>AND(#REF!,"AAAAAHfMtxA=")</f>
        <v>#REF!</v>
      </c>
      <c r="R177" t="e">
        <f>AND(#REF!,"AAAAAHfMtxE=")</f>
        <v>#REF!</v>
      </c>
      <c r="S177" t="e">
        <f>AND(#REF!,"AAAAAHfMtxI=")</f>
        <v>#REF!</v>
      </c>
      <c r="T177" t="e">
        <f>AND(#REF!,"AAAAAHfMtxM=")</f>
        <v>#REF!</v>
      </c>
      <c r="U177" t="e">
        <f>AND(#REF!,"AAAAAHfMtxQ=")</f>
        <v>#REF!</v>
      </c>
      <c r="V177" t="e">
        <f>AND(#REF!,"AAAAAHfMtxU=")</f>
        <v>#REF!</v>
      </c>
      <c r="W177" t="e">
        <f>AND(#REF!,"AAAAAHfMtxY=")</f>
        <v>#REF!</v>
      </c>
      <c r="X177" t="e">
        <f>AND(#REF!,"AAAAAHfMtxc=")</f>
        <v>#REF!</v>
      </c>
      <c r="Y177" t="e">
        <f>AND(#REF!,"AAAAAHfMtxg=")</f>
        <v>#REF!</v>
      </c>
      <c r="Z177" t="e">
        <f>AND(#REF!,"AAAAAHfMtxk=")</f>
        <v>#REF!</v>
      </c>
      <c r="AA177" t="e">
        <f>AND(#REF!,"AAAAAHfMtxo=")</f>
        <v>#REF!</v>
      </c>
      <c r="AB177" t="e">
        <f>AND(#REF!,"AAAAAHfMtxs=")</f>
        <v>#REF!</v>
      </c>
      <c r="AC177" t="e">
        <f>AND(#REF!,"AAAAAHfMtxw=")</f>
        <v>#REF!</v>
      </c>
      <c r="AD177" t="e">
        <f>AND(#REF!,"AAAAAHfMtx0=")</f>
        <v>#REF!</v>
      </c>
      <c r="AE177" t="e">
        <f>AND(#REF!,"AAAAAHfMtx4=")</f>
        <v>#REF!</v>
      </c>
      <c r="AF177" t="e">
        <f>AND(#REF!,"AAAAAHfMtx8=")</f>
        <v>#REF!</v>
      </c>
      <c r="AG177" t="e">
        <f>AND(#REF!,"AAAAAHfMtyA=")</f>
        <v>#REF!</v>
      </c>
      <c r="AH177" t="e">
        <f>AND(#REF!,"AAAAAHfMtyE=")</f>
        <v>#REF!</v>
      </c>
      <c r="AI177" t="e">
        <f>AND(#REF!,"AAAAAHfMtyI=")</f>
        <v>#REF!</v>
      </c>
      <c r="AJ177" t="e">
        <f>AND(#REF!,"AAAAAHfMtyM=")</f>
        <v>#REF!</v>
      </c>
      <c r="AK177" t="e">
        <f>AND(#REF!,"AAAAAHfMtyQ=")</f>
        <v>#REF!</v>
      </c>
      <c r="AL177" t="e">
        <f>AND(#REF!,"AAAAAHfMtyU=")</f>
        <v>#REF!</v>
      </c>
      <c r="AM177" t="e">
        <f>AND(#REF!,"AAAAAHfMtyY=")</f>
        <v>#REF!</v>
      </c>
      <c r="AN177" t="e">
        <f>AND(#REF!,"AAAAAHfMtyc=")</f>
        <v>#REF!</v>
      </c>
      <c r="AO177" t="e">
        <f>AND(#REF!,"AAAAAHfMtyg=")</f>
        <v>#REF!</v>
      </c>
      <c r="AP177" t="e">
        <f>AND(#REF!,"AAAAAHfMtyk=")</f>
        <v>#REF!</v>
      </c>
      <c r="AQ177" t="e">
        <f>AND(#REF!,"AAAAAHfMtyo=")</f>
        <v>#REF!</v>
      </c>
      <c r="AR177" t="e">
        <f>AND(#REF!,"AAAAAHfMtys=")</f>
        <v>#REF!</v>
      </c>
      <c r="AS177" t="e">
        <f>AND(#REF!,"AAAAAHfMtyw=")</f>
        <v>#REF!</v>
      </c>
      <c r="AT177" t="e">
        <f>AND(#REF!,"AAAAAHfMty0=")</f>
        <v>#REF!</v>
      </c>
      <c r="AU177" t="e">
        <f>AND(#REF!,"AAAAAHfMty4=")</f>
        <v>#REF!</v>
      </c>
      <c r="AV177" t="e">
        <f>AND(#REF!,"AAAAAHfMty8=")</f>
        <v>#REF!</v>
      </c>
      <c r="AW177" t="e">
        <f>AND(#REF!,"AAAAAHfMtzA=")</f>
        <v>#REF!</v>
      </c>
      <c r="AX177" t="e">
        <f>AND(#REF!,"AAAAAHfMtzE=")</f>
        <v>#REF!</v>
      </c>
      <c r="AY177" t="e">
        <f>AND(#REF!,"AAAAAHfMtzI=")</f>
        <v>#REF!</v>
      </c>
      <c r="AZ177" t="e">
        <f>AND(#REF!,"AAAAAHfMtzM=")</f>
        <v>#REF!</v>
      </c>
      <c r="BA177" t="e">
        <f>IF(#REF!,"AAAAAHfMtzQ=",0)</f>
        <v>#REF!</v>
      </c>
      <c r="BB177" t="e">
        <f>AND(#REF!,"AAAAAHfMtzU=")</f>
        <v>#REF!</v>
      </c>
      <c r="BC177" t="e">
        <f>AND(#REF!,"AAAAAHfMtzY=")</f>
        <v>#REF!</v>
      </c>
      <c r="BD177" t="e">
        <f>AND(#REF!,"AAAAAHfMtzc=")</f>
        <v>#REF!</v>
      </c>
      <c r="BE177" t="e">
        <f>AND(#REF!,"AAAAAHfMtzg=")</f>
        <v>#REF!</v>
      </c>
      <c r="BF177" t="e">
        <f>AND(#REF!,"AAAAAHfMtzk=")</f>
        <v>#REF!</v>
      </c>
      <c r="BG177" t="e">
        <f>AND(#REF!,"AAAAAHfMtzo=")</f>
        <v>#REF!</v>
      </c>
      <c r="BH177" t="e">
        <f>AND(#REF!,"AAAAAHfMtzs=")</f>
        <v>#REF!</v>
      </c>
      <c r="BI177" t="e">
        <f>AND(#REF!,"AAAAAHfMtzw=")</f>
        <v>#REF!</v>
      </c>
      <c r="BJ177" t="e">
        <f>AND(#REF!,"AAAAAHfMtz0=")</f>
        <v>#REF!</v>
      </c>
      <c r="BK177" t="e">
        <f>AND(#REF!,"AAAAAHfMtz4=")</f>
        <v>#REF!</v>
      </c>
      <c r="BL177" t="e">
        <f>AND(#REF!,"AAAAAHfMtz8=")</f>
        <v>#REF!</v>
      </c>
      <c r="BM177" t="e">
        <f>AND(#REF!,"AAAAAHfMt0A=")</f>
        <v>#REF!</v>
      </c>
      <c r="BN177" t="e">
        <f>AND(#REF!,"AAAAAHfMt0E=")</f>
        <v>#REF!</v>
      </c>
      <c r="BO177" t="e">
        <f>AND(#REF!,"AAAAAHfMt0I=")</f>
        <v>#REF!</v>
      </c>
      <c r="BP177" t="e">
        <f>AND(#REF!,"AAAAAHfMt0M=")</f>
        <v>#REF!</v>
      </c>
      <c r="BQ177" t="e">
        <f>AND(#REF!,"AAAAAHfMt0Q=")</f>
        <v>#REF!</v>
      </c>
      <c r="BR177" t="e">
        <f>AND(#REF!,"AAAAAHfMt0U=")</f>
        <v>#REF!</v>
      </c>
      <c r="BS177" t="e">
        <f>AND(#REF!,"AAAAAHfMt0Y=")</f>
        <v>#REF!</v>
      </c>
      <c r="BT177" t="e">
        <f>AND(#REF!,"AAAAAHfMt0c=")</f>
        <v>#REF!</v>
      </c>
      <c r="BU177" t="e">
        <f>AND(#REF!,"AAAAAHfMt0g=")</f>
        <v>#REF!</v>
      </c>
      <c r="BV177" t="e">
        <f>AND(#REF!,"AAAAAHfMt0k=")</f>
        <v>#REF!</v>
      </c>
      <c r="BW177" t="e">
        <f>AND(#REF!,"AAAAAHfMt0o=")</f>
        <v>#REF!</v>
      </c>
      <c r="BX177" t="e">
        <f>AND(#REF!,"AAAAAHfMt0s=")</f>
        <v>#REF!</v>
      </c>
      <c r="BY177" t="e">
        <f>AND(#REF!,"AAAAAHfMt0w=")</f>
        <v>#REF!</v>
      </c>
      <c r="BZ177" t="e">
        <f>AND(#REF!,"AAAAAHfMt00=")</f>
        <v>#REF!</v>
      </c>
      <c r="CA177" t="e">
        <f>AND(#REF!,"AAAAAHfMt04=")</f>
        <v>#REF!</v>
      </c>
      <c r="CB177" t="e">
        <f>AND(#REF!,"AAAAAHfMt08=")</f>
        <v>#REF!</v>
      </c>
      <c r="CC177" t="e">
        <f>AND(#REF!,"AAAAAHfMt1A=")</f>
        <v>#REF!</v>
      </c>
      <c r="CD177" t="e">
        <f>AND(#REF!,"AAAAAHfMt1E=")</f>
        <v>#REF!</v>
      </c>
      <c r="CE177" t="e">
        <f>AND(#REF!,"AAAAAHfMt1I=")</f>
        <v>#REF!</v>
      </c>
      <c r="CF177" t="e">
        <f>AND(#REF!,"AAAAAHfMt1M=")</f>
        <v>#REF!</v>
      </c>
      <c r="CG177" t="e">
        <f>AND(#REF!,"AAAAAHfMt1Q=")</f>
        <v>#REF!</v>
      </c>
      <c r="CH177" t="e">
        <f>AND(#REF!,"AAAAAHfMt1U=")</f>
        <v>#REF!</v>
      </c>
      <c r="CI177" t="e">
        <f>AND(#REF!,"AAAAAHfMt1Y=")</f>
        <v>#REF!</v>
      </c>
      <c r="CJ177" t="e">
        <f>AND(#REF!,"AAAAAHfMt1c=")</f>
        <v>#REF!</v>
      </c>
      <c r="CK177" t="e">
        <f>AND(#REF!,"AAAAAHfMt1g=")</f>
        <v>#REF!</v>
      </c>
      <c r="CL177" t="e">
        <f>AND(#REF!,"AAAAAHfMt1k=")</f>
        <v>#REF!</v>
      </c>
      <c r="CM177" t="e">
        <f>AND(#REF!,"AAAAAHfMt1o=")</f>
        <v>#REF!</v>
      </c>
      <c r="CN177" t="e">
        <f>AND(#REF!,"AAAAAHfMt1s=")</f>
        <v>#REF!</v>
      </c>
      <c r="CO177" t="e">
        <f>AND(#REF!,"AAAAAHfMt1w=")</f>
        <v>#REF!</v>
      </c>
      <c r="CP177" t="e">
        <f>AND(#REF!,"AAAAAHfMt10=")</f>
        <v>#REF!</v>
      </c>
      <c r="CQ177" t="e">
        <f>AND(#REF!,"AAAAAHfMt14=")</f>
        <v>#REF!</v>
      </c>
      <c r="CR177" t="e">
        <f>AND(#REF!,"AAAAAHfMt18=")</f>
        <v>#REF!</v>
      </c>
      <c r="CS177" t="e">
        <f>AND(#REF!,"AAAAAHfMt2A=")</f>
        <v>#REF!</v>
      </c>
      <c r="CT177" t="e">
        <f>AND(#REF!,"AAAAAHfMt2E=")</f>
        <v>#REF!</v>
      </c>
      <c r="CU177" t="e">
        <f>AND(#REF!,"AAAAAHfMt2I=")</f>
        <v>#REF!</v>
      </c>
      <c r="CV177" t="e">
        <f>AND(#REF!,"AAAAAHfMt2M=")</f>
        <v>#REF!</v>
      </c>
      <c r="CW177" t="e">
        <f>AND(#REF!,"AAAAAHfMt2Q=")</f>
        <v>#REF!</v>
      </c>
      <c r="CX177" t="e">
        <f>AND(#REF!,"AAAAAHfMt2U=")</f>
        <v>#REF!</v>
      </c>
      <c r="CY177" t="e">
        <f>AND(#REF!,"AAAAAHfMt2Y=")</f>
        <v>#REF!</v>
      </c>
      <c r="CZ177" t="e">
        <f>AND(#REF!,"AAAAAHfMt2c=")</f>
        <v>#REF!</v>
      </c>
      <c r="DA177" t="e">
        <f>AND(#REF!,"AAAAAHfMt2g=")</f>
        <v>#REF!</v>
      </c>
      <c r="DB177" t="e">
        <f>AND(#REF!,"AAAAAHfMt2k=")</f>
        <v>#REF!</v>
      </c>
      <c r="DC177" t="e">
        <f>AND(#REF!,"AAAAAHfMt2o=")</f>
        <v>#REF!</v>
      </c>
      <c r="DD177" t="e">
        <f>AND(#REF!,"AAAAAHfMt2s=")</f>
        <v>#REF!</v>
      </c>
      <c r="DE177" t="e">
        <f>AND(#REF!,"AAAAAHfMt2w=")</f>
        <v>#REF!</v>
      </c>
      <c r="DF177" t="e">
        <f>AND(#REF!,"AAAAAHfMt20=")</f>
        <v>#REF!</v>
      </c>
      <c r="DG177" t="e">
        <f>AND(#REF!,"AAAAAHfMt24=")</f>
        <v>#REF!</v>
      </c>
      <c r="DH177" t="e">
        <f>AND(#REF!,"AAAAAHfMt28=")</f>
        <v>#REF!</v>
      </c>
      <c r="DI177" t="e">
        <f>AND(#REF!,"AAAAAHfMt3A=")</f>
        <v>#REF!</v>
      </c>
      <c r="DJ177" t="e">
        <f>AND(#REF!,"AAAAAHfMt3E=")</f>
        <v>#REF!</v>
      </c>
      <c r="DK177" t="e">
        <f>AND(#REF!,"AAAAAHfMt3I=")</f>
        <v>#REF!</v>
      </c>
      <c r="DL177" t="e">
        <f>AND(#REF!,"AAAAAHfMt3M=")</f>
        <v>#REF!</v>
      </c>
      <c r="DM177" t="e">
        <f>AND(#REF!,"AAAAAHfMt3Q=")</f>
        <v>#REF!</v>
      </c>
      <c r="DN177" t="e">
        <f>AND(#REF!,"AAAAAHfMt3U=")</f>
        <v>#REF!</v>
      </c>
      <c r="DO177" t="e">
        <f>AND(#REF!,"AAAAAHfMt3Y=")</f>
        <v>#REF!</v>
      </c>
      <c r="DP177" t="e">
        <f>AND(#REF!,"AAAAAHfMt3c=")</f>
        <v>#REF!</v>
      </c>
      <c r="DQ177" t="e">
        <f>AND(#REF!,"AAAAAHfMt3g=")</f>
        <v>#REF!</v>
      </c>
      <c r="DR177" t="e">
        <f>IF(#REF!,"AAAAAHfMt3k=",0)</f>
        <v>#REF!</v>
      </c>
      <c r="DS177" t="e">
        <f>AND(#REF!,"AAAAAHfMt3o=")</f>
        <v>#REF!</v>
      </c>
      <c r="DT177" t="e">
        <f>AND(#REF!,"AAAAAHfMt3s=")</f>
        <v>#REF!</v>
      </c>
      <c r="DU177" t="e">
        <f>AND(#REF!,"AAAAAHfMt3w=")</f>
        <v>#REF!</v>
      </c>
      <c r="DV177" t="e">
        <f>AND(#REF!,"AAAAAHfMt30=")</f>
        <v>#REF!</v>
      </c>
      <c r="DW177" t="e">
        <f>AND(#REF!,"AAAAAHfMt34=")</f>
        <v>#REF!</v>
      </c>
      <c r="DX177" t="e">
        <f>AND(#REF!,"AAAAAHfMt38=")</f>
        <v>#REF!</v>
      </c>
      <c r="DY177" t="e">
        <f>AND(#REF!,"AAAAAHfMt4A=")</f>
        <v>#REF!</v>
      </c>
      <c r="DZ177" t="e">
        <f>AND(#REF!,"AAAAAHfMt4E=")</f>
        <v>#REF!</v>
      </c>
      <c r="EA177" t="e">
        <f>AND(#REF!,"AAAAAHfMt4I=")</f>
        <v>#REF!</v>
      </c>
      <c r="EB177" t="e">
        <f>AND(#REF!,"AAAAAHfMt4M=")</f>
        <v>#REF!</v>
      </c>
      <c r="EC177" t="e">
        <f>AND(#REF!,"AAAAAHfMt4Q=")</f>
        <v>#REF!</v>
      </c>
      <c r="ED177" t="e">
        <f>AND(#REF!,"AAAAAHfMt4U=")</f>
        <v>#REF!</v>
      </c>
      <c r="EE177" t="e">
        <f>AND(#REF!,"AAAAAHfMt4Y=")</f>
        <v>#REF!</v>
      </c>
      <c r="EF177" t="e">
        <f>AND(#REF!,"AAAAAHfMt4c=")</f>
        <v>#REF!</v>
      </c>
      <c r="EG177" t="e">
        <f>AND(#REF!,"AAAAAHfMt4g=")</f>
        <v>#REF!</v>
      </c>
      <c r="EH177" t="e">
        <f>AND(#REF!,"AAAAAHfMt4k=")</f>
        <v>#REF!</v>
      </c>
      <c r="EI177" t="e">
        <f>AND(#REF!,"AAAAAHfMt4o=")</f>
        <v>#REF!</v>
      </c>
      <c r="EJ177" t="e">
        <f>AND(#REF!,"AAAAAHfMt4s=")</f>
        <v>#REF!</v>
      </c>
      <c r="EK177" t="e">
        <f>AND(#REF!,"AAAAAHfMt4w=")</f>
        <v>#REF!</v>
      </c>
      <c r="EL177" t="e">
        <f>AND(#REF!,"AAAAAHfMt40=")</f>
        <v>#REF!</v>
      </c>
      <c r="EM177" t="e">
        <f>AND(#REF!,"AAAAAHfMt44=")</f>
        <v>#REF!</v>
      </c>
      <c r="EN177" t="e">
        <f>AND(#REF!,"AAAAAHfMt48=")</f>
        <v>#REF!</v>
      </c>
      <c r="EO177" t="e">
        <f>AND(#REF!,"AAAAAHfMt5A=")</f>
        <v>#REF!</v>
      </c>
      <c r="EP177" t="e">
        <f>AND(#REF!,"AAAAAHfMt5E=")</f>
        <v>#REF!</v>
      </c>
      <c r="EQ177" t="e">
        <f>AND(#REF!,"AAAAAHfMt5I=")</f>
        <v>#REF!</v>
      </c>
      <c r="ER177" t="e">
        <f>AND(#REF!,"AAAAAHfMt5M=")</f>
        <v>#REF!</v>
      </c>
      <c r="ES177" t="e">
        <f>AND(#REF!,"AAAAAHfMt5Q=")</f>
        <v>#REF!</v>
      </c>
      <c r="ET177" t="e">
        <f>AND(#REF!,"AAAAAHfMt5U=")</f>
        <v>#REF!</v>
      </c>
      <c r="EU177" t="e">
        <f>AND(#REF!,"AAAAAHfMt5Y=")</f>
        <v>#REF!</v>
      </c>
      <c r="EV177" t="e">
        <f>AND(#REF!,"AAAAAHfMt5c=")</f>
        <v>#REF!</v>
      </c>
      <c r="EW177" t="e">
        <f>AND(#REF!,"AAAAAHfMt5g=")</f>
        <v>#REF!</v>
      </c>
      <c r="EX177" t="e">
        <f>AND(#REF!,"AAAAAHfMt5k=")</f>
        <v>#REF!</v>
      </c>
      <c r="EY177" t="e">
        <f>AND(#REF!,"AAAAAHfMt5o=")</f>
        <v>#REF!</v>
      </c>
      <c r="EZ177" t="e">
        <f>AND(#REF!,"AAAAAHfMt5s=")</f>
        <v>#REF!</v>
      </c>
      <c r="FA177" t="e">
        <f>AND(#REF!,"AAAAAHfMt5w=")</f>
        <v>#REF!</v>
      </c>
      <c r="FB177" t="e">
        <f>AND(#REF!,"AAAAAHfMt50=")</f>
        <v>#REF!</v>
      </c>
      <c r="FC177" t="e">
        <f>AND(#REF!,"AAAAAHfMt54=")</f>
        <v>#REF!</v>
      </c>
      <c r="FD177" t="e">
        <f>AND(#REF!,"AAAAAHfMt58=")</f>
        <v>#REF!</v>
      </c>
      <c r="FE177" t="e">
        <f>AND(#REF!,"AAAAAHfMt6A=")</f>
        <v>#REF!</v>
      </c>
      <c r="FF177" t="e">
        <f>AND(#REF!,"AAAAAHfMt6E=")</f>
        <v>#REF!</v>
      </c>
      <c r="FG177" t="e">
        <f>AND(#REF!,"AAAAAHfMt6I=")</f>
        <v>#REF!</v>
      </c>
      <c r="FH177" t="e">
        <f>AND(#REF!,"AAAAAHfMt6M=")</f>
        <v>#REF!</v>
      </c>
      <c r="FI177" t="e">
        <f>AND(#REF!,"AAAAAHfMt6Q=")</f>
        <v>#REF!</v>
      </c>
      <c r="FJ177" t="e">
        <f>AND(#REF!,"AAAAAHfMt6U=")</f>
        <v>#REF!</v>
      </c>
      <c r="FK177" t="e">
        <f>AND(#REF!,"AAAAAHfMt6Y=")</f>
        <v>#REF!</v>
      </c>
      <c r="FL177" t="e">
        <f>AND(#REF!,"AAAAAHfMt6c=")</f>
        <v>#REF!</v>
      </c>
      <c r="FM177" t="e">
        <f>AND(#REF!,"AAAAAHfMt6g=")</f>
        <v>#REF!</v>
      </c>
      <c r="FN177" t="e">
        <f>AND(#REF!,"AAAAAHfMt6k=")</f>
        <v>#REF!</v>
      </c>
      <c r="FO177" t="e">
        <f>AND(#REF!,"AAAAAHfMt6o=")</f>
        <v>#REF!</v>
      </c>
      <c r="FP177" t="e">
        <f>AND(#REF!,"AAAAAHfMt6s=")</f>
        <v>#REF!</v>
      </c>
      <c r="FQ177" t="e">
        <f>AND(#REF!,"AAAAAHfMt6w=")</f>
        <v>#REF!</v>
      </c>
      <c r="FR177" t="e">
        <f>AND(#REF!,"AAAAAHfMt60=")</f>
        <v>#REF!</v>
      </c>
      <c r="FS177" t="e">
        <f>AND(#REF!,"AAAAAHfMt64=")</f>
        <v>#REF!</v>
      </c>
      <c r="FT177" t="e">
        <f>AND(#REF!,"AAAAAHfMt68=")</f>
        <v>#REF!</v>
      </c>
      <c r="FU177" t="e">
        <f>AND(#REF!,"AAAAAHfMt7A=")</f>
        <v>#REF!</v>
      </c>
      <c r="FV177" t="e">
        <f>AND(#REF!,"AAAAAHfMt7E=")</f>
        <v>#REF!</v>
      </c>
      <c r="FW177" t="e">
        <f>AND(#REF!,"AAAAAHfMt7I=")</f>
        <v>#REF!</v>
      </c>
      <c r="FX177" t="e">
        <f>AND(#REF!,"AAAAAHfMt7M=")</f>
        <v>#REF!</v>
      </c>
      <c r="FY177" t="e">
        <f>AND(#REF!,"AAAAAHfMt7Q=")</f>
        <v>#REF!</v>
      </c>
      <c r="FZ177" t="e">
        <f>AND(#REF!,"AAAAAHfMt7U=")</f>
        <v>#REF!</v>
      </c>
      <c r="GA177" t="e">
        <f>AND(#REF!,"AAAAAHfMt7Y=")</f>
        <v>#REF!</v>
      </c>
      <c r="GB177" t="e">
        <f>AND(#REF!,"AAAAAHfMt7c=")</f>
        <v>#REF!</v>
      </c>
      <c r="GC177" t="e">
        <f>AND(#REF!,"AAAAAHfMt7g=")</f>
        <v>#REF!</v>
      </c>
      <c r="GD177" t="e">
        <f>AND(#REF!,"AAAAAHfMt7k=")</f>
        <v>#REF!</v>
      </c>
      <c r="GE177" t="e">
        <f>AND(#REF!,"AAAAAHfMt7o=")</f>
        <v>#REF!</v>
      </c>
      <c r="GF177" t="e">
        <f>AND(#REF!,"AAAAAHfMt7s=")</f>
        <v>#REF!</v>
      </c>
      <c r="GG177" t="e">
        <f>AND(#REF!,"AAAAAHfMt7w=")</f>
        <v>#REF!</v>
      </c>
      <c r="GH177" t="e">
        <f>AND(#REF!,"AAAAAHfMt70=")</f>
        <v>#REF!</v>
      </c>
      <c r="GI177" t="e">
        <f>IF(#REF!,"AAAAAHfMt74=",0)</f>
        <v>#REF!</v>
      </c>
      <c r="GJ177" t="e">
        <f>AND(#REF!,"AAAAAHfMt78=")</f>
        <v>#REF!</v>
      </c>
      <c r="GK177" t="e">
        <f>AND(#REF!,"AAAAAHfMt8A=")</f>
        <v>#REF!</v>
      </c>
      <c r="GL177" t="e">
        <f>AND(#REF!,"AAAAAHfMt8E=")</f>
        <v>#REF!</v>
      </c>
      <c r="GM177" t="e">
        <f>AND(#REF!,"AAAAAHfMt8I=")</f>
        <v>#REF!</v>
      </c>
      <c r="GN177" t="e">
        <f>AND(#REF!,"AAAAAHfMt8M=")</f>
        <v>#REF!</v>
      </c>
      <c r="GO177" t="e">
        <f>AND(#REF!,"AAAAAHfMt8Q=")</f>
        <v>#REF!</v>
      </c>
      <c r="GP177" t="e">
        <f>AND(#REF!,"AAAAAHfMt8U=")</f>
        <v>#REF!</v>
      </c>
      <c r="GQ177" t="e">
        <f>AND(#REF!,"AAAAAHfMt8Y=")</f>
        <v>#REF!</v>
      </c>
      <c r="GR177" t="e">
        <f>AND(#REF!,"AAAAAHfMt8c=")</f>
        <v>#REF!</v>
      </c>
      <c r="GS177" t="e">
        <f>AND(#REF!,"AAAAAHfMt8g=")</f>
        <v>#REF!</v>
      </c>
      <c r="GT177" t="e">
        <f>AND(#REF!,"AAAAAHfMt8k=")</f>
        <v>#REF!</v>
      </c>
      <c r="GU177" t="e">
        <f>AND(#REF!,"AAAAAHfMt8o=")</f>
        <v>#REF!</v>
      </c>
      <c r="GV177" t="e">
        <f>AND(#REF!,"AAAAAHfMt8s=")</f>
        <v>#REF!</v>
      </c>
      <c r="GW177" t="e">
        <f>AND(#REF!,"AAAAAHfMt8w=")</f>
        <v>#REF!</v>
      </c>
      <c r="GX177" t="e">
        <f>AND(#REF!,"AAAAAHfMt80=")</f>
        <v>#REF!</v>
      </c>
      <c r="GY177" t="e">
        <f>AND(#REF!,"AAAAAHfMt84=")</f>
        <v>#REF!</v>
      </c>
      <c r="GZ177" t="e">
        <f>AND(#REF!,"AAAAAHfMt88=")</f>
        <v>#REF!</v>
      </c>
      <c r="HA177" t="e">
        <f>AND(#REF!,"AAAAAHfMt9A=")</f>
        <v>#REF!</v>
      </c>
      <c r="HB177" t="e">
        <f>AND(#REF!,"AAAAAHfMt9E=")</f>
        <v>#REF!</v>
      </c>
      <c r="HC177" t="e">
        <f>AND(#REF!,"AAAAAHfMt9I=")</f>
        <v>#REF!</v>
      </c>
      <c r="HD177" t="e">
        <f>AND(#REF!,"AAAAAHfMt9M=")</f>
        <v>#REF!</v>
      </c>
      <c r="HE177" t="e">
        <f>AND(#REF!,"AAAAAHfMt9Q=")</f>
        <v>#REF!</v>
      </c>
      <c r="HF177" t="e">
        <f>AND(#REF!,"AAAAAHfMt9U=")</f>
        <v>#REF!</v>
      </c>
      <c r="HG177" t="e">
        <f>AND(#REF!,"AAAAAHfMt9Y=")</f>
        <v>#REF!</v>
      </c>
      <c r="HH177" t="e">
        <f>AND(#REF!,"AAAAAHfMt9c=")</f>
        <v>#REF!</v>
      </c>
      <c r="HI177" t="e">
        <f>AND(#REF!,"AAAAAHfMt9g=")</f>
        <v>#REF!</v>
      </c>
      <c r="HJ177" t="e">
        <f>AND(#REF!,"AAAAAHfMt9k=")</f>
        <v>#REF!</v>
      </c>
      <c r="HK177" t="e">
        <f>AND(#REF!,"AAAAAHfMt9o=")</f>
        <v>#REF!</v>
      </c>
      <c r="HL177" t="e">
        <f>AND(#REF!,"AAAAAHfMt9s=")</f>
        <v>#REF!</v>
      </c>
      <c r="HM177" t="e">
        <f>AND(#REF!,"AAAAAHfMt9w=")</f>
        <v>#REF!</v>
      </c>
      <c r="HN177" t="e">
        <f>AND(#REF!,"AAAAAHfMt90=")</f>
        <v>#REF!</v>
      </c>
      <c r="HO177" t="e">
        <f>AND(#REF!,"AAAAAHfMt94=")</f>
        <v>#REF!</v>
      </c>
      <c r="HP177" t="e">
        <f>AND(#REF!,"AAAAAHfMt98=")</f>
        <v>#REF!</v>
      </c>
      <c r="HQ177" t="e">
        <f>AND(#REF!,"AAAAAHfMt+A=")</f>
        <v>#REF!</v>
      </c>
      <c r="HR177" t="e">
        <f>AND(#REF!,"AAAAAHfMt+E=")</f>
        <v>#REF!</v>
      </c>
      <c r="HS177" t="e">
        <f>AND(#REF!,"AAAAAHfMt+I=")</f>
        <v>#REF!</v>
      </c>
      <c r="HT177" t="e">
        <f>AND(#REF!,"AAAAAHfMt+M=")</f>
        <v>#REF!</v>
      </c>
      <c r="HU177" t="e">
        <f>AND(#REF!,"AAAAAHfMt+Q=")</f>
        <v>#REF!</v>
      </c>
      <c r="HV177" t="e">
        <f>AND(#REF!,"AAAAAHfMt+U=")</f>
        <v>#REF!</v>
      </c>
      <c r="HW177" t="e">
        <f>AND(#REF!,"AAAAAHfMt+Y=")</f>
        <v>#REF!</v>
      </c>
      <c r="HX177" t="e">
        <f>AND(#REF!,"AAAAAHfMt+c=")</f>
        <v>#REF!</v>
      </c>
      <c r="HY177" t="e">
        <f>AND(#REF!,"AAAAAHfMt+g=")</f>
        <v>#REF!</v>
      </c>
      <c r="HZ177" t="e">
        <f>AND(#REF!,"AAAAAHfMt+k=")</f>
        <v>#REF!</v>
      </c>
      <c r="IA177" t="e">
        <f>AND(#REF!,"AAAAAHfMt+o=")</f>
        <v>#REF!</v>
      </c>
      <c r="IB177" t="e">
        <f>AND(#REF!,"AAAAAHfMt+s=")</f>
        <v>#REF!</v>
      </c>
      <c r="IC177" t="e">
        <f>AND(#REF!,"AAAAAHfMt+w=")</f>
        <v>#REF!</v>
      </c>
      <c r="ID177" t="e">
        <f>AND(#REF!,"AAAAAHfMt+0=")</f>
        <v>#REF!</v>
      </c>
      <c r="IE177" t="e">
        <f>AND(#REF!,"AAAAAHfMt+4=")</f>
        <v>#REF!</v>
      </c>
      <c r="IF177" t="e">
        <f>AND(#REF!,"AAAAAHfMt+8=")</f>
        <v>#REF!</v>
      </c>
      <c r="IG177" t="e">
        <f>AND(#REF!,"AAAAAHfMt/A=")</f>
        <v>#REF!</v>
      </c>
      <c r="IH177" t="e">
        <f>AND(#REF!,"AAAAAHfMt/E=")</f>
        <v>#REF!</v>
      </c>
      <c r="II177" t="e">
        <f>AND(#REF!,"AAAAAHfMt/I=")</f>
        <v>#REF!</v>
      </c>
      <c r="IJ177" t="e">
        <f>AND(#REF!,"AAAAAHfMt/M=")</f>
        <v>#REF!</v>
      </c>
      <c r="IK177" t="e">
        <f>AND(#REF!,"AAAAAHfMt/Q=")</f>
        <v>#REF!</v>
      </c>
      <c r="IL177" t="e">
        <f>AND(#REF!,"AAAAAHfMt/U=")</f>
        <v>#REF!</v>
      </c>
      <c r="IM177" t="e">
        <f>AND(#REF!,"AAAAAHfMt/Y=")</f>
        <v>#REF!</v>
      </c>
      <c r="IN177" t="e">
        <f>AND(#REF!,"AAAAAHfMt/c=")</f>
        <v>#REF!</v>
      </c>
      <c r="IO177" t="e">
        <f>AND(#REF!,"AAAAAHfMt/g=")</f>
        <v>#REF!</v>
      </c>
      <c r="IP177" t="e">
        <f>AND(#REF!,"AAAAAHfMt/k=")</f>
        <v>#REF!</v>
      </c>
      <c r="IQ177" t="e">
        <f>AND(#REF!,"AAAAAHfMt/o=")</f>
        <v>#REF!</v>
      </c>
      <c r="IR177" t="e">
        <f>AND(#REF!,"AAAAAHfMt/s=")</f>
        <v>#REF!</v>
      </c>
      <c r="IS177" t="e">
        <f>AND(#REF!,"AAAAAHfMt/w=")</f>
        <v>#REF!</v>
      </c>
      <c r="IT177" t="e">
        <f>AND(#REF!,"AAAAAHfMt/0=")</f>
        <v>#REF!</v>
      </c>
      <c r="IU177" t="e">
        <f>AND(#REF!,"AAAAAHfMt/4=")</f>
        <v>#REF!</v>
      </c>
      <c r="IV177" t="e">
        <f>AND(#REF!,"AAAAAHfMt/8=")</f>
        <v>#REF!</v>
      </c>
    </row>
    <row r="178" spans="1:256" x14ac:dyDescent="0.25">
      <c r="A178" t="e">
        <f>AND(#REF!,"AAAAAD/7vwA=")</f>
        <v>#REF!</v>
      </c>
      <c r="B178" t="e">
        <f>AND(#REF!,"AAAAAD/7vwE=")</f>
        <v>#REF!</v>
      </c>
      <c r="C178" t="e">
        <f>AND(#REF!,"AAAAAD/7vwI=")</f>
        <v>#REF!</v>
      </c>
      <c r="D178" t="e">
        <f>IF(#REF!,"AAAAAD/7vwM=",0)</f>
        <v>#REF!</v>
      </c>
      <c r="E178" t="e">
        <f>AND(#REF!,"AAAAAD/7vwQ=")</f>
        <v>#REF!</v>
      </c>
      <c r="F178" t="e">
        <f>AND(#REF!,"AAAAAD/7vwU=")</f>
        <v>#REF!</v>
      </c>
      <c r="G178" t="e">
        <f>AND(#REF!,"AAAAAD/7vwY=")</f>
        <v>#REF!</v>
      </c>
      <c r="H178" t="e">
        <f>AND(#REF!,"AAAAAD/7vwc=")</f>
        <v>#REF!</v>
      </c>
      <c r="I178" t="e">
        <f>AND(#REF!,"AAAAAD/7vwg=")</f>
        <v>#REF!</v>
      </c>
      <c r="J178" t="e">
        <f>AND(#REF!,"AAAAAD/7vwk=")</f>
        <v>#REF!</v>
      </c>
      <c r="K178" t="e">
        <f>AND(#REF!,"AAAAAD/7vwo=")</f>
        <v>#REF!</v>
      </c>
      <c r="L178" t="e">
        <f>AND(#REF!,"AAAAAD/7vws=")</f>
        <v>#REF!</v>
      </c>
      <c r="M178" t="e">
        <f>AND(#REF!,"AAAAAD/7vww=")</f>
        <v>#REF!</v>
      </c>
      <c r="N178" t="e">
        <f>AND(#REF!,"AAAAAD/7vw0=")</f>
        <v>#REF!</v>
      </c>
      <c r="O178" t="e">
        <f>AND(#REF!,"AAAAAD/7vw4=")</f>
        <v>#REF!</v>
      </c>
      <c r="P178" t="e">
        <f>AND(#REF!,"AAAAAD/7vw8=")</f>
        <v>#REF!</v>
      </c>
      <c r="Q178" t="e">
        <f>AND(#REF!,"AAAAAD/7vxA=")</f>
        <v>#REF!</v>
      </c>
      <c r="R178" t="e">
        <f>AND(#REF!,"AAAAAD/7vxE=")</f>
        <v>#REF!</v>
      </c>
      <c r="S178" t="e">
        <f>AND(#REF!,"AAAAAD/7vxI=")</f>
        <v>#REF!</v>
      </c>
      <c r="T178" t="e">
        <f>AND(#REF!,"AAAAAD/7vxM=")</f>
        <v>#REF!</v>
      </c>
      <c r="U178" t="e">
        <f>AND(#REF!,"AAAAAD/7vxQ=")</f>
        <v>#REF!</v>
      </c>
      <c r="V178" t="e">
        <f>AND(#REF!,"AAAAAD/7vxU=")</f>
        <v>#REF!</v>
      </c>
      <c r="W178" t="e">
        <f>AND(#REF!,"AAAAAD/7vxY=")</f>
        <v>#REF!</v>
      </c>
      <c r="X178" t="e">
        <f>AND(#REF!,"AAAAAD/7vxc=")</f>
        <v>#REF!</v>
      </c>
      <c r="Y178" t="e">
        <f>AND(#REF!,"AAAAAD/7vxg=")</f>
        <v>#REF!</v>
      </c>
      <c r="Z178" t="e">
        <f>AND(#REF!,"AAAAAD/7vxk=")</f>
        <v>#REF!</v>
      </c>
      <c r="AA178" t="e">
        <f>AND(#REF!,"AAAAAD/7vxo=")</f>
        <v>#REF!</v>
      </c>
      <c r="AB178" t="e">
        <f>AND(#REF!,"AAAAAD/7vxs=")</f>
        <v>#REF!</v>
      </c>
      <c r="AC178" t="e">
        <f>AND(#REF!,"AAAAAD/7vxw=")</f>
        <v>#REF!</v>
      </c>
      <c r="AD178" t="e">
        <f>AND(#REF!,"AAAAAD/7vx0=")</f>
        <v>#REF!</v>
      </c>
      <c r="AE178" t="e">
        <f>AND(#REF!,"AAAAAD/7vx4=")</f>
        <v>#REF!</v>
      </c>
      <c r="AF178" t="e">
        <f>AND(#REF!,"AAAAAD/7vx8=")</f>
        <v>#REF!</v>
      </c>
      <c r="AG178" t="e">
        <f>AND(#REF!,"AAAAAD/7vyA=")</f>
        <v>#REF!</v>
      </c>
      <c r="AH178" t="e">
        <f>AND(#REF!,"AAAAAD/7vyE=")</f>
        <v>#REF!</v>
      </c>
      <c r="AI178" t="e">
        <f>AND(#REF!,"AAAAAD/7vyI=")</f>
        <v>#REF!</v>
      </c>
      <c r="AJ178" t="e">
        <f>AND(#REF!,"AAAAAD/7vyM=")</f>
        <v>#REF!</v>
      </c>
      <c r="AK178" t="e">
        <f>AND(#REF!,"AAAAAD/7vyQ=")</f>
        <v>#REF!</v>
      </c>
      <c r="AL178" t="e">
        <f>AND(#REF!,"AAAAAD/7vyU=")</f>
        <v>#REF!</v>
      </c>
      <c r="AM178" t="e">
        <f>AND(#REF!,"AAAAAD/7vyY=")</f>
        <v>#REF!</v>
      </c>
      <c r="AN178" t="e">
        <f>AND(#REF!,"AAAAAD/7vyc=")</f>
        <v>#REF!</v>
      </c>
      <c r="AO178" t="e">
        <f>AND(#REF!,"AAAAAD/7vyg=")</f>
        <v>#REF!</v>
      </c>
      <c r="AP178" t="e">
        <f>AND(#REF!,"AAAAAD/7vyk=")</f>
        <v>#REF!</v>
      </c>
      <c r="AQ178" t="e">
        <f>AND(#REF!,"AAAAAD/7vyo=")</f>
        <v>#REF!</v>
      </c>
      <c r="AR178" t="e">
        <f>AND(#REF!,"AAAAAD/7vys=")</f>
        <v>#REF!</v>
      </c>
      <c r="AS178" t="e">
        <f>AND(#REF!,"AAAAAD/7vyw=")</f>
        <v>#REF!</v>
      </c>
      <c r="AT178" t="e">
        <f>AND(#REF!,"AAAAAD/7vy0=")</f>
        <v>#REF!</v>
      </c>
      <c r="AU178" t="e">
        <f>AND(#REF!,"AAAAAD/7vy4=")</f>
        <v>#REF!</v>
      </c>
      <c r="AV178" t="e">
        <f>AND(#REF!,"AAAAAD/7vy8=")</f>
        <v>#REF!</v>
      </c>
      <c r="AW178" t="e">
        <f>AND(#REF!,"AAAAAD/7vzA=")</f>
        <v>#REF!</v>
      </c>
      <c r="AX178" t="e">
        <f>AND(#REF!,"AAAAAD/7vzE=")</f>
        <v>#REF!</v>
      </c>
      <c r="AY178" t="e">
        <f>AND(#REF!,"AAAAAD/7vzI=")</f>
        <v>#REF!</v>
      </c>
      <c r="AZ178" t="e">
        <f>AND(#REF!,"AAAAAD/7vzM=")</f>
        <v>#REF!</v>
      </c>
      <c r="BA178" t="e">
        <f>AND(#REF!,"AAAAAD/7vzQ=")</f>
        <v>#REF!</v>
      </c>
      <c r="BB178" t="e">
        <f>AND(#REF!,"AAAAAD/7vzU=")</f>
        <v>#REF!</v>
      </c>
      <c r="BC178" t="e">
        <f>AND(#REF!,"AAAAAD/7vzY=")</f>
        <v>#REF!</v>
      </c>
      <c r="BD178" t="e">
        <f>AND(#REF!,"AAAAAD/7vzc=")</f>
        <v>#REF!</v>
      </c>
      <c r="BE178" t="e">
        <f>AND(#REF!,"AAAAAD/7vzg=")</f>
        <v>#REF!</v>
      </c>
      <c r="BF178" t="e">
        <f>AND(#REF!,"AAAAAD/7vzk=")</f>
        <v>#REF!</v>
      </c>
      <c r="BG178" t="e">
        <f>AND(#REF!,"AAAAAD/7vzo=")</f>
        <v>#REF!</v>
      </c>
      <c r="BH178" t="e">
        <f>AND(#REF!,"AAAAAD/7vzs=")</f>
        <v>#REF!</v>
      </c>
      <c r="BI178" t="e">
        <f>AND(#REF!,"AAAAAD/7vzw=")</f>
        <v>#REF!</v>
      </c>
      <c r="BJ178" t="e">
        <f>AND(#REF!,"AAAAAD/7vz0=")</f>
        <v>#REF!</v>
      </c>
      <c r="BK178" t="e">
        <f>AND(#REF!,"AAAAAD/7vz4=")</f>
        <v>#REF!</v>
      </c>
      <c r="BL178" t="e">
        <f>AND(#REF!,"AAAAAD/7vz8=")</f>
        <v>#REF!</v>
      </c>
      <c r="BM178" t="e">
        <f>AND(#REF!,"AAAAAD/7v0A=")</f>
        <v>#REF!</v>
      </c>
      <c r="BN178" t="e">
        <f>AND(#REF!,"AAAAAD/7v0E=")</f>
        <v>#REF!</v>
      </c>
      <c r="BO178" t="e">
        <f>AND(#REF!,"AAAAAD/7v0I=")</f>
        <v>#REF!</v>
      </c>
      <c r="BP178" t="e">
        <f>AND(#REF!,"AAAAAD/7v0M=")</f>
        <v>#REF!</v>
      </c>
      <c r="BQ178" t="e">
        <f>AND(#REF!,"AAAAAD/7v0Q=")</f>
        <v>#REF!</v>
      </c>
      <c r="BR178" t="e">
        <f>AND(#REF!,"AAAAAD/7v0U=")</f>
        <v>#REF!</v>
      </c>
      <c r="BS178" t="e">
        <f>AND(#REF!,"AAAAAD/7v0Y=")</f>
        <v>#REF!</v>
      </c>
      <c r="BT178" t="e">
        <f>AND(#REF!,"AAAAAD/7v0c=")</f>
        <v>#REF!</v>
      </c>
      <c r="BU178" t="e">
        <f>IF(#REF!,"AAAAAD/7v0g=",0)</f>
        <v>#REF!</v>
      </c>
      <c r="BV178" t="e">
        <f>AND(#REF!,"AAAAAD/7v0k=")</f>
        <v>#REF!</v>
      </c>
      <c r="BW178" t="e">
        <f>AND(#REF!,"AAAAAD/7v0o=")</f>
        <v>#REF!</v>
      </c>
      <c r="BX178" t="e">
        <f>AND(#REF!,"AAAAAD/7v0s=")</f>
        <v>#REF!</v>
      </c>
      <c r="BY178" t="e">
        <f>AND(#REF!,"AAAAAD/7v0w=")</f>
        <v>#REF!</v>
      </c>
      <c r="BZ178" t="e">
        <f>AND(#REF!,"AAAAAD/7v00=")</f>
        <v>#REF!</v>
      </c>
      <c r="CA178" t="e">
        <f>AND(#REF!,"AAAAAD/7v04=")</f>
        <v>#REF!</v>
      </c>
      <c r="CB178" t="e">
        <f>AND(#REF!,"AAAAAD/7v08=")</f>
        <v>#REF!</v>
      </c>
      <c r="CC178" t="e">
        <f>AND(#REF!,"AAAAAD/7v1A=")</f>
        <v>#REF!</v>
      </c>
      <c r="CD178" t="e">
        <f>AND(#REF!,"AAAAAD/7v1E=")</f>
        <v>#REF!</v>
      </c>
      <c r="CE178" t="e">
        <f>AND(#REF!,"AAAAAD/7v1I=")</f>
        <v>#REF!</v>
      </c>
      <c r="CF178" t="e">
        <f>AND(#REF!,"AAAAAD/7v1M=")</f>
        <v>#REF!</v>
      </c>
      <c r="CG178" t="e">
        <f>AND(#REF!,"AAAAAD/7v1Q=")</f>
        <v>#REF!</v>
      </c>
      <c r="CH178" t="e">
        <f>AND(#REF!,"AAAAAD/7v1U=")</f>
        <v>#REF!</v>
      </c>
      <c r="CI178" t="e">
        <f>AND(#REF!,"AAAAAD/7v1Y=")</f>
        <v>#REF!</v>
      </c>
      <c r="CJ178" t="e">
        <f>AND(#REF!,"AAAAAD/7v1c=")</f>
        <v>#REF!</v>
      </c>
      <c r="CK178" t="e">
        <f>AND(#REF!,"AAAAAD/7v1g=")</f>
        <v>#REF!</v>
      </c>
      <c r="CL178" t="e">
        <f>AND(#REF!,"AAAAAD/7v1k=")</f>
        <v>#REF!</v>
      </c>
      <c r="CM178" t="e">
        <f>AND(#REF!,"AAAAAD/7v1o=")</f>
        <v>#REF!</v>
      </c>
      <c r="CN178" t="e">
        <f>AND(#REF!,"AAAAAD/7v1s=")</f>
        <v>#REF!</v>
      </c>
      <c r="CO178" t="e">
        <f>AND(#REF!,"AAAAAD/7v1w=")</f>
        <v>#REF!</v>
      </c>
      <c r="CP178" t="e">
        <f>AND(#REF!,"AAAAAD/7v10=")</f>
        <v>#REF!</v>
      </c>
      <c r="CQ178" t="e">
        <f>AND(#REF!,"AAAAAD/7v14=")</f>
        <v>#REF!</v>
      </c>
      <c r="CR178" t="e">
        <f>AND(#REF!,"AAAAAD/7v18=")</f>
        <v>#REF!</v>
      </c>
      <c r="CS178" t="e">
        <f>AND(#REF!,"AAAAAD/7v2A=")</f>
        <v>#REF!</v>
      </c>
      <c r="CT178" t="e">
        <f>AND(#REF!,"AAAAAD/7v2E=")</f>
        <v>#REF!</v>
      </c>
      <c r="CU178" t="e">
        <f>AND(#REF!,"AAAAAD/7v2I=")</f>
        <v>#REF!</v>
      </c>
      <c r="CV178" t="e">
        <f>AND(#REF!,"AAAAAD/7v2M=")</f>
        <v>#REF!</v>
      </c>
      <c r="CW178" t="e">
        <f>AND(#REF!,"AAAAAD/7v2Q=")</f>
        <v>#REF!</v>
      </c>
      <c r="CX178" t="e">
        <f>AND(#REF!,"AAAAAD/7v2U=")</f>
        <v>#REF!</v>
      </c>
      <c r="CY178" t="e">
        <f>AND(#REF!,"AAAAAD/7v2Y=")</f>
        <v>#REF!</v>
      </c>
      <c r="CZ178" t="e">
        <f>AND(#REF!,"AAAAAD/7v2c=")</f>
        <v>#REF!</v>
      </c>
      <c r="DA178" t="e">
        <f>AND(#REF!,"AAAAAD/7v2g=")</f>
        <v>#REF!</v>
      </c>
      <c r="DB178" t="e">
        <f>AND(#REF!,"AAAAAD/7v2k=")</f>
        <v>#REF!</v>
      </c>
      <c r="DC178" t="e">
        <f>AND(#REF!,"AAAAAD/7v2o=")</f>
        <v>#REF!</v>
      </c>
      <c r="DD178" t="e">
        <f>AND(#REF!,"AAAAAD/7v2s=")</f>
        <v>#REF!</v>
      </c>
      <c r="DE178" t="e">
        <f>AND(#REF!,"AAAAAD/7v2w=")</f>
        <v>#REF!</v>
      </c>
      <c r="DF178" t="e">
        <f>AND(#REF!,"AAAAAD/7v20=")</f>
        <v>#REF!</v>
      </c>
      <c r="DG178" t="e">
        <f>AND(#REF!,"AAAAAD/7v24=")</f>
        <v>#REF!</v>
      </c>
      <c r="DH178" t="e">
        <f>AND(#REF!,"AAAAAD/7v28=")</f>
        <v>#REF!</v>
      </c>
      <c r="DI178" t="e">
        <f>AND(#REF!,"AAAAAD/7v3A=")</f>
        <v>#REF!</v>
      </c>
      <c r="DJ178" t="e">
        <f>AND(#REF!,"AAAAAD/7v3E=")</f>
        <v>#REF!</v>
      </c>
      <c r="DK178" t="e">
        <f>AND(#REF!,"AAAAAD/7v3I=")</f>
        <v>#REF!</v>
      </c>
      <c r="DL178" t="e">
        <f>AND(#REF!,"AAAAAD/7v3M=")</f>
        <v>#REF!</v>
      </c>
      <c r="DM178" t="e">
        <f>AND(#REF!,"AAAAAD/7v3Q=")</f>
        <v>#REF!</v>
      </c>
      <c r="DN178" t="e">
        <f>AND(#REF!,"AAAAAD/7v3U=")</f>
        <v>#REF!</v>
      </c>
      <c r="DO178" t="e">
        <f>AND(#REF!,"AAAAAD/7v3Y=")</f>
        <v>#REF!</v>
      </c>
      <c r="DP178" t="e">
        <f>AND(#REF!,"AAAAAD/7v3c=")</f>
        <v>#REF!</v>
      </c>
      <c r="DQ178" t="e">
        <f>AND(#REF!,"AAAAAD/7v3g=")</f>
        <v>#REF!</v>
      </c>
      <c r="DR178" t="e">
        <f>AND(#REF!,"AAAAAD/7v3k=")</f>
        <v>#REF!</v>
      </c>
      <c r="DS178" t="e">
        <f>AND(#REF!,"AAAAAD/7v3o=")</f>
        <v>#REF!</v>
      </c>
      <c r="DT178" t="e">
        <f>AND(#REF!,"AAAAAD/7v3s=")</f>
        <v>#REF!</v>
      </c>
      <c r="DU178" t="e">
        <f>AND(#REF!,"AAAAAD/7v3w=")</f>
        <v>#REF!</v>
      </c>
      <c r="DV178" t="e">
        <f>AND(#REF!,"AAAAAD/7v30=")</f>
        <v>#REF!</v>
      </c>
      <c r="DW178" t="e">
        <f>AND(#REF!,"AAAAAD/7v34=")</f>
        <v>#REF!</v>
      </c>
      <c r="DX178" t="e">
        <f>AND(#REF!,"AAAAAD/7v38=")</f>
        <v>#REF!</v>
      </c>
      <c r="DY178" t="e">
        <f>AND(#REF!,"AAAAAD/7v4A=")</f>
        <v>#REF!</v>
      </c>
      <c r="DZ178" t="e">
        <f>AND(#REF!,"AAAAAD/7v4E=")</f>
        <v>#REF!</v>
      </c>
      <c r="EA178" t="e">
        <f>AND(#REF!,"AAAAAD/7v4I=")</f>
        <v>#REF!</v>
      </c>
      <c r="EB178" t="e">
        <f>AND(#REF!,"AAAAAD/7v4M=")</f>
        <v>#REF!</v>
      </c>
      <c r="EC178" t="e">
        <f>AND(#REF!,"AAAAAD/7v4Q=")</f>
        <v>#REF!</v>
      </c>
      <c r="ED178" t="e">
        <f>AND(#REF!,"AAAAAD/7v4U=")</f>
        <v>#REF!</v>
      </c>
      <c r="EE178" t="e">
        <f>AND(#REF!,"AAAAAD/7v4Y=")</f>
        <v>#REF!</v>
      </c>
      <c r="EF178" t="e">
        <f>AND(#REF!,"AAAAAD/7v4c=")</f>
        <v>#REF!</v>
      </c>
      <c r="EG178" t="e">
        <f>AND(#REF!,"AAAAAD/7v4g=")</f>
        <v>#REF!</v>
      </c>
      <c r="EH178" t="e">
        <f>AND(#REF!,"AAAAAD/7v4k=")</f>
        <v>#REF!</v>
      </c>
      <c r="EI178" t="e">
        <f>AND(#REF!,"AAAAAD/7v4o=")</f>
        <v>#REF!</v>
      </c>
      <c r="EJ178" t="e">
        <f>AND(#REF!,"AAAAAD/7v4s=")</f>
        <v>#REF!</v>
      </c>
      <c r="EK178" t="e">
        <f>AND(#REF!,"AAAAAD/7v4w=")</f>
        <v>#REF!</v>
      </c>
      <c r="EL178" t="e">
        <f>IF(#REF!,"AAAAAD/7v40=",0)</f>
        <v>#REF!</v>
      </c>
      <c r="EM178" t="e">
        <f>AND(#REF!,"AAAAAD/7v44=")</f>
        <v>#REF!</v>
      </c>
      <c r="EN178" t="e">
        <f>AND(#REF!,"AAAAAD/7v48=")</f>
        <v>#REF!</v>
      </c>
      <c r="EO178" t="e">
        <f>AND(#REF!,"AAAAAD/7v5A=")</f>
        <v>#REF!</v>
      </c>
      <c r="EP178" t="e">
        <f>AND(#REF!,"AAAAAD/7v5E=")</f>
        <v>#REF!</v>
      </c>
      <c r="EQ178" t="e">
        <f>AND(#REF!,"AAAAAD/7v5I=")</f>
        <v>#REF!</v>
      </c>
      <c r="ER178" t="e">
        <f>AND(#REF!,"AAAAAD/7v5M=")</f>
        <v>#REF!</v>
      </c>
      <c r="ES178" t="e">
        <f>AND(#REF!,"AAAAAD/7v5Q=")</f>
        <v>#REF!</v>
      </c>
      <c r="ET178" t="e">
        <f>AND(#REF!,"AAAAAD/7v5U=")</f>
        <v>#REF!</v>
      </c>
      <c r="EU178" t="e">
        <f>AND(#REF!,"AAAAAD/7v5Y=")</f>
        <v>#REF!</v>
      </c>
      <c r="EV178" t="e">
        <f>AND(#REF!,"AAAAAD/7v5c=")</f>
        <v>#REF!</v>
      </c>
      <c r="EW178" t="e">
        <f>AND(#REF!,"AAAAAD/7v5g=")</f>
        <v>#REF!</v>
      </c>
      <c r="EX178" t="e">
        <f>AND(#REF!,"AAAAAD/7v5k=")</f>
        <v>#REF!</v>
      </c>
      <c r="EY178" t="e">
        <f>AND(#REF!,"AAAAAD/7v5o=")</f>
        <v>#REF!</v>
      </c>
      <c r="EZ178" t="e">
        <f>AND(#REF!,"AAAAAD/7v5s=")</f>
        <v>#REF!</v>
      </c>
      <c r="FA178" t="e">
        <f>AND(#REF!,"AAAAAD/7v5w=")</f>
        <v>#REF!</v>
      </c>
      <c r="FB178" t="e">
        <f>AND(#REF!,"AAAAAD/7v50=")</f>
        <v>#REF!</v>
      </c>
      <c r="FC178" t="e">
        <f>AND(#REF!,"AAAAAD/7v54=")</f>
        <v>#REF!</v>
      </c>
      <c r="FD178" t="e">
        <f>AND(#REF!,"AAAAAD/7v58=")</f>
        <v>#REF!</v>
      </c>
      <c r="FE178" t="e">
        <f>AND(#REF!,"AAAAAD/7v6A=")</f>
        <v>#REF!</v>
      </c>
      <c r="FF178" t="e">
        <f>AND(#REF!,"AAAAAD/7v6E=")</f>
        <v>#REF!</v>
      </c>
      <c r="FG178" t="e">
        <f>AND(#REF!,"AAAAAD/7v6I=")</f>
        <v>#REF!</v>
      </c>
      <c r="FH178" t="e">
        <f>AND(#REF!,"AAAAAD/7v6M=")</f>
        <v>#REF!</v>
      </c>
      <c r="FI178" t="e">
        <f>AND(#REF!,"AAAAAD/7v6Q=")</f>
        <v>#REF!</v>
      </c>
      <c r="FJ178" t="e">
        <f>AND(#REF!,"AAAAAD/7v6U=")</f>
        <v>#REF!</v>
      </c>
      <c r="FK178" t="e">
        <f>AND(#REF!,"AAAAAD/7v6Y=")</f>
        <v>#REF!</v>
      </c>
      <c r="FL178" t="e">
        <f>AND(#REF!,"AAAAAD/7v6c=")</f>
        <v>#REF!</v>
      </c>
      <c r="FM178" t="e">
        <f>AND(#REF!,"AAAAAD/7v6g=")</f>
        <v>#REF!</v>
      </c>
      <c r="FN178" t="e">
        <f>AND(#REF!,"AAAAAD/7v6k=")</f>
        <v>#REF!</v>
      </c>
      <c r="FO178" t="e">
        <f>AND(#REF!,"AAAAAD/7v6o=")</f>
        <v>#REF!</v>
      </c>
      <c r="FP178" t="e">
        <f>AND(#REF!,"AAAAAD/7v6s=")</f>
        <v>#REF!</v>
      </c>
      <c r="FQ178" t="e">
        <f>AND(#REF!,"AAAAAD/7v6w=")</f>
        <v>#REF!</v>
      </c>
      <c r="FR178" t="e">
        <f>AND(#REF!,"AAAAAD/7v60=")</f>
        <v>#REF!</v>
      </c>
      <c r="FS178" t="e">
        <f>AND(#REF!,"AAAAAD/7v64=")</f>
        <v>#REF!</v>
      </c>
      <c r="FT178" t="e">
        <f>AND(#REF!,"AAAAAD/7v68=")</f>
        <v>#REF!</v>
      </c>
      <c r="FU178" t="e">
        <f>AND(#REF!,"AAAAAD/7v7A=")</f>
        <v>#REF!</v>
      </c>
      <c r="FV178" t="e">
        <f>AND(#REF!,"AAAAAD/7v7E=")</f>
        <v>#REF!</v>
      </c>
      <c r="FW178" t="e">
        <f>AND(#REF!,"AAAAAD/7v7I=")</f>
        <v>#REF!</v>
      </c>
      <c r="FX178" t="e">
        <f>AND(#REF!,"AAAAAD/7v7M=")</f>
        <v>#REF!</v>
      </c>
      <c r="FY178" t="e">
        <f>AND(#REF!,"AAAAAD/7v7Q=")</f>
        <v>#REF!</v>
      </c>
      <c r="FZ178" t="e">
        <f>AND(#REF!,"AAAAAD/7v7U=")</f>
        <v>#REF!</v>
      </c>
      <c r="GA178" t="e">
        <f>AND(#REF!,"AAAAAD/7v7Y=")</f>
        <v>#REF!</v>
      </c>
      <c r="GB178" t="e">
        <f>AND(#REF!,"AAAAAD/7v7c=")</f>
        <v>#REF!</v>
      </c>
      <c r="GC178" t="e">
        <f>AND(#REF!,"AAAAAD/7v7g=")</f>
        <v>#REF!</v>
      </c>
      <c r="GD178" t="e">
        <f>AND(#REF!,"AAAAAD/7v7k=")</f>
        <v>#REF!</v>
      </c>
      <c r="GE178" t="e">
        <f>AND(#REF!,"AAAAAD/7v7o=")</f>
        <v>#REF!</v>
      </c>
      <c r="GF178" t="e">
        <f>AND(#REF!,"AAAAAD/7v7s=")</f>
        <v>#REF!</v>
      </c>
      <c r="GG178" t="e">
        <f>AND(#REF!,"AAAAAD/7v7w=")</f>
        <v>#REF!</v>
      </c>
      <c r="GH178" t="e">
        <f>AND(#REF!,"AAAAAD/7v70=")</f>
        <v>#REF!</v>
      </c>
      <c r="GI178" t="e">
        <f>AND(#REF!,"AAAAAD/7v74=")</f>
        <v>#REF!</v>
      </c>
      <c r="GJ178" t="e">
        <f>AND(#REF!,"AAAAAD/7v78=")</f>
        <v>#REF!</v>
      </c>
      <c r="GK178" t="e">
        <f>AND(#REF!,"AAAAAD/7v8A=")</f>
        <v>#REF!</v>
      </c>
      <c r="GL178" t="e">
        <f>AND(#REF!,"AAAAAD/7v8E=")</f>
        <v>#REF!</v>
      </c>
      <c r="GM178" t="e">
        <f>AND(#REF!,"AAAAAD/7v8I=")</f>
        <v>#REF!</v>
      </c>
      <c r="GN178" t="e">
        <f>AND(#REF!,"AAAAAD/7v8M=")</f>
        <v>#REF!</v>
      </c>
      <c r="GO178" t="e">
        <f>AND(#REF!,"AAAAAD/7v8Q=")</f>
        <v>#REF!</v>
      </c>
      <c r="GP178" t="e">
        <f>AND(#REF!,"AAAAAD/7v8U=")</f>
        <v>#REF!</v>
      </c>
      <c r="GQ178" t="e">
        <f>AND(#REF!,"AAAAAD/7v8Y=")</f>
        <v>#REF!</v>
      </c>
      <c r="GR178" t="e">
        <f>AND(#REF!,"AAAAAD/7v8c=")</f>
        <v>#REF!</v>
      </c>
      <c r="GS178" t="e">
        <f>AND(#REF!,"AAAAAD/7v8g=")</f>
        <v>#REF!</v>
      </c>
      <c r="GT178" t="e">
        <f>AND(#REF!,"AAAAAD/7v8k=")</f>
        <v>#REF!</v>
      </c>
      <c r="GU178" t="e">
        <f>AND(#REF!,"AAAAAD/7v8o=")</f>
        <v>#REF!</v>
      </c>
      <c r="GV178" t="e">
        <f>AND(#REF!,"AAAAAD/7v8s=")</f>
        <v>#REF!</v>
      </c>
      <c r="GW178" t="e">
        <f>AND(#REF!,"AAAAAD/7v8w=")</f>
        <v>#REF!</v>
      </c>
      <c r="GX178" t="e">
        <f>AND(#REF!,"AAAAAD/7v80=")</f>
        <v>#REF!</v>
      </c>
      <c r="GY178" t="e">
        <f>AND(#REF!,"AAAAAD/7v84=")</f>
        <v>#REF!</v>
      </c>
      <c r="GZ178" t="e">
        <f>AND(#REF!,"AAAAAD/7v88=")</f>
        <v>#REF!</v>
      </c>
      <c r="HA178" t="e">
        <f>AND(#REF!,"AAAAAD/7v9A=")</f>
        <v>#REF!</v>
      </c>
      <c r="HB178" t="e">
        <f>AND(#REF!,"AAAAAD/7v9E=")</f>
        <v>#REF!</v>
      </c>
      <c r="HC178" t="e">
        <f>IF(#REF!,"AAAAAD/7v9I=",0)</f>
        <v>#REF!</v>
      </c>
      <c r="HD178" t="e">
        <f>AND(#REF!,"AAAAAD/7v9M=")</f>
        <v>#REF!</v>
      </c>
      <c r="HE178" t="e">
        <f>AND(#REF!,"AAAAAD/7v9Q=")</f>
        <v>#REF!</v>
      </c>
      <c r="HF178" t="e">
        <f>AND(#REF!,"AAAAAD/7v9U=")</f>
        <v>#REF!</v>
      </c>
      <c r="HG178" t="e">
        <f>AND(#REF!,"AAAAAD/7v9Y=")</f>
        <v>#REF!</v>
      </c>
      <c r="HH178" t="e">
        <f>AND(#REF!,"AAAAAD/7v9c=")</f>
        <v>#REF!</v>
      </c>
      <c r="HI178" t="e">
        <f>AND(#REF!,"AAAAAD/7v9g=")</f>
        <v>#REF!</v>
      </c>
      <c r="HJ178" t="e">
        <f>AND(#REF!,"AAAAAD/7v9k=")</f>
        <v>#REF!</v>
      </c>
      <c r="HK178" t="e">
        <f>AND(#REF!,"AAAAAD/7v9o=")</f>
        <v>#REF!</v>
      </c>
      <c r="HL178" t="e">
        <f>AND(#REF!,"AAAAAD/7v9s=")</f>
        <v>#REF!</v>
      </c>
      <c r="HM178" t="e">
        <f>AND(#REF!,"AAAAAD/7v9w=")</f>
        <v>#REF!</v>
      </c>
      <c r="HN178" t="e">
        <f>AND(#REF!,"AAAAAD/7v90=")</f>
        <v>#REF!</v>
      </c>
      <c r="HO178" t="e">
        <f>AND(#REF!,"AAAAAD/7v94=")</f>
        <v>#REF!</v>
      </c>
      <c r="HP178" t="e">
        <f>AND(#REF!,"AAAAAD/7v98=")</f>
        <v>#REF!</v>
      </c>
      <c r="HQ178" t="e">
        <f>AND(#REF!,"AAAAAD/7v+A=")</f>
        <v>#REF!</v>
      </c>
      <c r="HR178" t="e">
        <f>AND(#REF!,"AAAAAD/7v+E=")</f>
        <v>#REF!</v>
      </c>
      <c r="HS178" t="e">
        <f>AND(#REF!,"AAAAAD/7v+I=")</f>
        <v>#REF!</v>
      </c>
      <c r="HT178" t="e">
        <f>AND(#REF!,"AAAAAD/7v+M=")</f>
        <v>#REF!</v>
      </c>
      <c r="HU178" t="e">
        <f>AND(#REF!,"AAAAAD/7v+Q=")</f>
        <v>#REF!</v>
      </c>
      <c r="HV178" t="e">
        <f>AND(#REF!,"AAAAAD/7v+U=")</f>
        <v>#REF!</v>
      </c>
      <c r="HW178" t="e">
        <f>AND(#REF!,"AAAAAD/7v+Y=")</f>
        <v>#REF!</v>
      </c>
      <c r="HX178" t="e">
        <f>AND(#REF!,"AAAAAD/7v+c=")</f>
        <v>#REF!</v>
      </c>
      <c r="HY178" t="e">
        <f>AND(#REF!,"AAAAAD/7v+g=")</f>
        <v>#REF!</v>
      </c>
      <c r="HZ178" t="e">
        <f>AND(#REF!,"AAAAAD/7v+k=")</f>
        <v>#REF!</v>
      </c>
      <c r="IA178" t="e">
        <f>AND(#REF!,"AAAAAD/7v+o=")</f>
        <v>#REF!</v>
      </c>
      <c r="IB178" t="e">
        <f>AND(#REF!,"AAAAAD/7v+s=")</f>
        <v>#REF!</v>
      </c>
      <c r="IC178" t="e">
        <f>AND(#REF!,"AAAAAD/7v+w=")</f>
        <v>#REF!</v>
      </c>
      <c r="ID178" t="e">
        <f>AND(#REF!,"AAAAAD/7v+0=")</f>
        <v>#REF!</v>
      </c>
      <c r="IE178" t="e">
        <f>AND(#REF!,"AAAAAD/7v+4=")</f>
        <v>#REF!</v>
      </c>
      <c r="IF178" t="e">
        <f>AND(#REF!,"AAAAAD/7v+8=")</f>
        <v>#REF!</v>
      </c>
      <c r="IG178" t="e">
        <f>AND(#REF!,"AAAAAD/7v/A=")</f>
        <v>#REF!</v>
      </c>
      <c r="IH178" t="e">
        <f>AND(#REF!,"AAAAAD/7v/E=")</f>
        <v>#REF!</v>
      </c>
      <c r="II178" t="e">
        <f>AND(#REF!,"AAAAAD/7v/I=")</f>
        <v>#REF!</v>
      </c>
      <c r="IJ178" t="e">
        <f>AND(#REF!,"AAAAAD/7v/M=")</f>
        <v>#REF!</v>
      </c>
      <c r="IK178" t="e">
        <f>AND(#REF!,"AAAAAD/7v/Q=")</f>
        <v>#REF!</v>
      </c>
      <c r="IL178" t="e">
        <f>AND(#REF!,"AAAAAD/7v/U=")</f>
        <v>#REF!</v>
      </c>
      <c r="IM178" t="e">
        <f>AND(#REF!,"AAAAAD/7v/Y=")</f>
        <v>#REF!</v>
      </c>
      <c r="IN178" t="e">
        <f>AND(#REF!,"AAAAAD/7v/c=")</f>
        <v>#REF!</v>
      </c>
      <c r="IO178" t="e">
        <f>AND(#REF!,"AAAAAD/7v/g=")</f>
        <v>#REF!</v>
      </c>
      <c r="IP178" t="e">
        <f>AND(#REF!,"AAAAAD/7v/k=")</f>
        <v>#REF!</v>
      </c>
      <c r="IQ178" t="e">
        <f>AND(#REF!,"AAAAAD/7v/o=")</f>
        <v>#REF!</v>
      </c>
      <c r="IR178" t="e">
        <f>AND(#REF!,"AAAAAD/7v/s=")</f>
        <v>#REF!</v>
      </c>
      <c r="IS178" t="e">
        <f>AND(#REF!,"AAAAAD/7v/w=")</f>
        <v>#REF!</v>
      </c>
      <c r="IT178" t="e">
        <f>AND(#REF!,"AAAAAD/7v/0=")</f>
        <v>#REF!</v>
      </c>
      <c r="IU178" t="e">
        <f>AND(#REF!,"AAAAAD/7v/4=")</f>
        <v>#REF!</v>
      </c>
      <c r="IV178" t="e">
        <f>AND(#REF!,"AAAAAD/7v/8=")</f>
        <v>#REF!</v>
      </c>
    </row>
    <row r="179" spans="1:256" x14ac:dyDescent="0.25">
      <c r="A179" t="e">
        <f>AND(#REF!,"AAAAAG+16wA=")</f>
        <v>#REF!</v>
      </c>
      <c r="B179" t="e">
        <f>AND(#REF!,"AAAAAG+16wE=")</f>
        <v>#REF!</v>
      </c>
      <c r="C179" t="e">
        <f>AND(#REF!,"AAAAAG+16wI=")</f>
        <v>#REF!</v>
      </c>
      <c r="D179" t="e">
        <f>AND(#REF!,"AAAAAG+16wM=")</f>
        <v>#REF!</v>
      </c>
      <c r="E179" t="e">
        <f>AND(#REF!,"AAAAAG+16wQ=")</f>
        <v>#REF!</v>
      </c>
      <c r="F179" t="e">
        <f>AND(#REF!,"AAAAAG+16wU=")</f>
        <v>#REF!</v>
      </c>
      <c r="G179" t="e">
        <f>AND(#REF!,"AAAAAG+16wY=")</f>
        <v>#REF!</v>
      </c>
      <c r="H179" t="e">
        <f>AND(#REF!,"AAAAAG+16wc=")</f>
        <v>#REF!</v>
      </c>
      <c r="I179" t="e">
        <f>AND(#REF!,"AAAAAG+16wg=")</f>
        <v>#REF!</v>
      </c>
      <c r="J179" t="e">
        <f>AND(#REF!,"AAAAAG+16wk=")</f>
        <v>#REF!</v>
      </c>
      <c r="K179" t="e">
        <f>AND(#REF!,"AAAAAG+16wo=")</f>
        <v>#REF!</v>
      </c>
      <c r="L179" t="e">
        <f>AND(#REF!,"AAAAAG+16ws=")</f>
        <v>#REF!</v>
      </c>
      <c r="M179" t="e">
        <f>AND(#REF!,"AAAAAG+16ww=")</f>
        <v>#REF!</v>
      </c>
      <c r="N179" t="e">
        <f>AND(#REF!,"AAAAAG+16w0=")</f>
        <v>#REF!</v>
      </c>
      <c r="O179" t="e">
        <f>AND(#REF!,"AAAAAG+16w4=")</f>
        <v>#REF!</v>
      </c>
      <c r="P179" t="e">
        <f>AND(#REF!,"AAAAAG+16w8=")</f>
        <v>#REF!</v>
      </c>
      <c r="Q179" t="e">
        <f>AND(#REF!,"AAAAAG+16xA=")</f>
        <v>#REF!</v>
      </c>
      <c r="R179" t="e">
        <f>AND(#REF!,"AAAAAG+16xE=")</f>
        <v>#REF!</v>
      </c>
      <c r="S179" t="e">
        <f>AND(#REF!,"AAAAAG+16xI=")</f>
        <v>#REF!</v>
      </c>
      <c r="T179" t="e">
        <f>AND(#REF!,"AAAAAG+16xM=")</f>
        <v>#REF!</v>
      </c>
      <c r="U179" t="e">
        <f>AND(#REF!,"AAAAAG+16xQ=")</f>
        <v>#REF!</v>
      </c>
      <c r="V179" t="e">
        <f>AND(#REF!,"AAAAAG+16xU=")</f>
        <v>#REF!</v>
      </c>
      <c r="W179" t="e">
        <f>AND(#REF!,"AAAAAG+16xY=")</f>
        <v>#REF!</v>
      </c>
      <c r="X179" t="e">
        <f>IF(#REF!,"AAAAAG+16xc=",0)</f>
        <v>#REF!</v>
      </c>
      <c r="Y179" t="e">
        <f>AND(#REF!,"AAAAAG+16xg=")</f>
        <v>#REF!</v>
      </c>
      <c r="Z179" t="e">
        <f>AND(#REF!,"AAAAAG+16xk=")</f>
        <v>#REF!</v>
      </c>
      <c r="AA179" t="e">
        <f>AND(#REF!,"AAAAAG+16xo=")</f>
        <v>#REF!</v>
      </c>
      <c r="AB179" t="e">
        <f>AND(#REF!,"AAAAAG+16xs=")</f>
        <v>#REF!</v>
      </c>
      <c r="AC179" t="e">
        <f>AND(#REF!,"AAAAAG+16xw=")</f>
        <v>#REF!</v>
      </c>
      <c r="AD179" t="e">
        <f>AND(#REF!,"AAAAAG+16x0=")</f>
        <v>#REF!</v>
      </c>
      <c r="AE179" t="e">
        <f>AND(#REF!,"AAAAAG+16x4=")</f>
        <v>#REF!</v>
      </c>
      <c r="AF179" t="e">
        <f>AND(#REF!,"AAAAAG+16x8=")</f>
        <v>#REF!</v>
      </c>
      <c r="AG179" t="e">
        <f>AND(#REF!,"AAAAAG+16yA=")</f>
        <v>#REF!</v>
      </c>
      <c r="AH179" t="e">
        <f>AND(#REF!,"AAAAAG+16yE=")</f>
        <v>#REF!</v>
      </c>
      <c r="AI179" t="e">
        <f>AND(#REF!,"AAAAAG+16yI=")</f>
        <v>#REF!</v>
      </c>
      <c r="AJ179" t="e">
        <f>AND(#REF!,"AAAAAG+16yM=")</f>
        <v>#REF!</v>
      </c>
      <c r="AK179" t="e">
        <f>AND(#REF!,"AAAAAG+16yQ=")</f>
        <v>#REF!</v>
      </c>
      <c r="AL179" t="e">
        <f>AND(#REF!,"AAAAAG+16yU=")</f>
        <v>#REF!</v>
      </c>
      <c r="AM179" t="e">
        <f>AND(#REF!,"AAAAAG+16yY=")</f>
        <v>#REF!</v>
      </c>
      <c r="AN179" t="e">
        <f>AND(#REF!,"AAAAAG+16yc=")</f>
        <v>#REF!</v>
      </c>
      <c r="AO179" t="e">
        <f>AND(#REF!,"AAAAAG+16yg=")</f>
        <v>#REF!</v>
      </c>
      <c r="AP179" t="e">
        <f>AND(#REF!,"AAAAAG+16yk=")</f>
        <v>#REF!</v>
      </c>
      <c r="AQ179" t="e">
        <f>AND(#REF!,"AAAAAG+16yo=")</f>
        <v>#REF!</v>
      </c>
      <c r="AR179" t="e">
        <f>AND(#REF!,"AAAAAG+16ys=")</f>
        <v>#REF!</v>
      </c>
      <c r="AS179" t="e">
        <f>AND(#REF!,"AAAAAG+16yw=")</f>
        <v>#REF!</v>
      </c>
      <c r="AT179" t="e">
        <f>AND(#REF!,"AAAAAG+16y0=")</f>
        <v>#REF!</v>
      </c>
      <c r="AU179" t="e">
        <f>AND(#REF!,"AAAAAG+16y4=")</f>
        <v>#REF!</v>
      </c>
      <c r="AV179" t="e">
        <f>AND(#REF!,"AAAAAG+16y8=")</f>
        <v>#REF!</v>
      </c>
      <c r="AW179" t="e">
        <f>AND(#REF!,"AAAAAG+16zA=")</f>
        <v>#REF!</v>
      </c>
      <c r="AX179" t="e">
        <f>AND(#REF!,"AAAAAG+16zE=")</f>
        <v>#REF!</v>
      </c>
      <c r="AY179" t="e">
        <f>AND(#REF!,"AAAAAG+16zI=")</f>
        <v>#REF!</v>
      </c>
      <c r="AZ179" t="e">
        <f>AND(#REF!,"AAAAAG+16zM=")</f>
        <v>#REF!</v>
      </c>
      <c r="BA179" t="e">
        <f>AND(#REF!,"AAAAAG+16zQ=")</f>
        <v>#REF!</v>
      </c>
      <c r="BB179" t="e">
        <f>AND(#REF!,"AAAAAG+16zU=")</f>
        <v>#REF!</v>
      </c>
      <c r="BC179" t="e">
        <f>AND(#REF!,"AAAAAG+16zY=")</f>
        <v>#REF!</v>
      </c>
      <c r="BD179" t="e">
        <f>AND(#REF!,"AAAAAG+16zc=")</f>
        <v>#REF!</v>
      </c>
      <c r="BE179" t="e">
        <f>AND(#REF!,"AAAAAG+16zg=")</f>
        <v>#REF!</v>
      </c>
      <c r="BF179" t="e">
        <f>AND(#REF!,"AAAAAG+16zk=")</f>
        <v>#REF!</v>
      </c>
      <c r="BG179" t="e">
        <f>AND(#REF!,"AAAAAG+16zo=")</f>
        <v>#REF!</v>
      </c>
      <c r="BH179" t="e">
        <f>AND(#REF!,"AAAAAG+16zs=")</f>
        <v>#REF!</v>
      </c>
      <c r="BI179" t="e">
        <f>AND(#REF!,"AAAAAG+16zw=")</f>
        <v>#REF!</v>
      </c>
      <c r="BJ179" t="e">
        <f>AND(#REF!,"AAAAAG+16z0=")</f>
        <v>#REF!</v>
      </c>
      <c r="BK179" t="e">
        <f>AND(#REF!,"AAAAAG+16z4=")</f>
        <v>#REF!</v>
      </c>
      <c r="BL179" t="e">
        <f>AND(#REF!,"AAAAAG+16z8=")</f>
        <v>#REF!</v>
      </c>
      <c r="BM179" t="e">
        <f>AND(#REF!,"AAAAAG+160A=")</f>
        <v>#REF!</v>
      </c>
      <c r="BN179" t="e">
        <f>AND(#REF!,"AAAAAG+160E=")</f>
        <v>#REF!</v>
      </c>
      <c r="BO179" t="e">
        <f>AND(#REF!,"AAAAAG+160I=")</f>
        <v>#REF!</v>
      </c>
      <c r="BP179" t="e">
        <f>AND(#REF!,"AAAAAG+160M=")</f>
        <v>#REF!</v>
      </c>
      <c r="BQ179" t="e">
        <f>AND(#REF!,"AAAAAG+160Q=")</f>
        <v>#REF!</v>
      </c>
      <c r="BR179" t="e">
        <f>AND(#REF!,"AAAAAG+160U=")</f>
        <v>#REF!</v>
      </c>
      <c r="BS179" t="e">
        <f>AND(#REF!,"AAAAAG+160Y=")</f>
        <v>#REF!</v>
      </c>
      <c r="BT179" t="e">
        <f>AND(#REF!,"AAAAAG+160c=")</f>
        <v>#REF!</v>
      </c>
      <c r="BU179" t="e">
        <f>AND(#REF!,"AAAAAG+160g=")</f>
        <v>#REF!</v>
      </c>
      <c r="BV179" t="e">
        <f>AND(#REF!,"AAAAAG+160k=")</f>
        <v>#REF!</v>
      </c>
      <c r="BW179" t="e">
        <f>AND(#REF!,"AAAAAG+160o=")</f>
        <v>#REF!</v>
      </c>
      <c r="BX179" t="e">
        <f>AND(#REF!,"AAAAAG+160s=")</f>
        <v>#REF!</v>
      </c>
      <c r="BY179" t="e">
        <f>AND(#REF!,"AAAAAG+160w=")</f>
        <v>#REF!</v>
      </c>
      <c r="BZ179" t="e">
        <f>AND(#REF!,"AAAAAG+1600=")</f>
        <v>#REF!</v>
      </c>
      <c r="CA179" t="e">
        <f>AND(#REF!,"AAAAAG+1604=")</f>
        <v>#REF!</v>
      </c>
      <c r="CB179" t="e">
        <f>AND(#REF!,"AAAAAG+1608=")</f>
        <v>#REF!</v>
      </c>
      <c r="CC179" t="e">
        <f>AND(#REF!,"AAAAAG+161A=")</f>
        <v>#REF!</v>
      </c>
      <c r="CD179" t="e">
        <f>AND(#REF!,"AAAAAG+161E=")</f>
        <v>#REF!</v>
      </c>
      <c r="CE179" t="e">
        <f>AND(#REF!,"AAAAAG+161I=")</f>
        <v>#REF!</v>
      </c>
      <c r="CF179" t="e">
        <f>AND(#REF!,"AAAAAG+161M=")</f>
        <v>#REF!</v>
      </c>
      <c r="CG179" t="e">
        <f>AND(#REF!,"AAAAAG+161Q=")</f>
        <v>#REF!</v>
      </c>
      <c r="CH179" t="e">
        <f>AND(#REF!,"AAAAAG+161U=")</f>
        <v>#REF!</v>
      </c>
      <c r="CI179" t="e">
        <f>AND(#REF!,"AAAAAG+161Y=")</f>
        <v>#REF!</v>
      </c>
      <c r="CJ179" t="e">
        <f>AND(#REF!,"AAAAAG+161c=")</f>
        <v>#REF!</v>
      </c>
      <c r="CK179" t="e">
        <f>AND(#REF!,"AAAAAG+161g=")</f>
        <v>#REF!</v>
      </c>
      <c r="CL179" t="e">
        <f>AND(#REF!,"AAAAAG+161k=")</f>
        <v>#REF!</v>
      </c>
      <c r="CM179" t="e">
        <f>AND(#REF!,"AAAAAG+161o=")</f>
        <v>#REF!</v>
      </c>
      <c r="CN179" t="e">
        <f>AND(#REF!,"AAAAAG+161s=")</f>
        <v>#REF!</v>
      </c>
      <c r="CO179" t="e">
        <f>IF(#REF!,"AAAAAG+161w=",0)</f>
        <v>#REF!</v>
      </c>
      <c r="CP179" t="e">
        <f>AND(#REF!,"AAAAAG+1610=")</f>
        <v>#REF!</v>
      </c>
      <c r="CQ179" t="e">
        <f>AND(#REF!,"AAAAAG+1614=")</f>
        <v>#REF!</v>
      </c>
      <c r="CR179" t="e">
        <f>AND(#REF!,"AAAAAG+1618=")</f>
        <v>#REF!</v>
      </c>
      <c r="CS179" t="e">
        <f>AND(#REF!,"AAAAAG+162A=")</f>
        <v>#REF!</v>
      </c>
      <c r="CT179" t="e">
        <f>AND(#REF!,"AAAAAG+162E=")</f>
        <v>#REF!</v>
      </c>
      <c r="CU179" t="e">
        <f>AND(#REF!,"AAAAAG+162I=")</f>
        <v>#REF!</v>
      </c>
      <c r="CV179" t="e">
        <f>AND(#REF!,"AAAAAG+162M=")</f>
        <v>#REF!</v>
      </c>
      <c r="CW179" t="e">
        <f>AND(#REF!,"AAAAAG+162Q=")</f>
        <v>#REF!</v>
      </c>
      <c r="CX179" t="e">
        <f>AND(#REF!,"AAAAAG+162U=")</f>
        <v>#REF!</v>
      </c>
      <c r="CY179" t="e">
        <f>AND(#REF!,"AAAAAG+162Y=")</f>
        <v>#REF!</v>
      </c>
      <c r="CZ179" t="e">
        <f>AND(#REF!,"AAAAAG+162c=")</f>
        <v>#REF!</v>
      </c>
      <c r="DA179" t="e">
        <f>AND(#REF!,"AAAAAG+162g=")</f>
        <v>#REF!</v>
      </c>
      <c r="DB179" t="e">
        <f>AND(#REF!,"AAAAAG+162k=")</f>
        <v>#REF!</v>
      </c>
      <c r="DC179" t="e">
        <f>AND(#REF!,"AAAAAG+162o=")</f>
        <v>#REF!</v>
      </c>
      <c r="DD179" t="e">
        <f>AND(#REF!,"AAAAAG+162s=")</f>
        <v>#REF!</v>
      </c>
      <c r="DE179" t="e">
        <f>AND(#REF!,"AAAAAG+162w=")</f>
        <v>#REF!</v>
      </c>
      <c r="DF179" t="e">
        <f>AND(#REF!,"AAAAAG+1620=")</f>
        <v>#REF!</v>
      </c>
      <c r="DG179" t="e">
        <f>AND(#REF!,"AAAAAG+1624=")</f>
        <v>#REF!</v>
      </c>
      <c r="DH179" t="e">
        <f>AND(#REF!,"AAAAAG+1628=")</f>
        <v>#REF!</v>
      </c>
      <c r="DI179" t="e">
        <f>AND(#REF!,"AAAAAG+163A=")</f>
        <v>#REF!</v>
      </c>
      <c r="DJ179" t="e">
        <f>AND(#REF!,"AAAAAG+163E=")</f>
        <v>#REF!</v>
      </c>
      <c r="DK179" t="e">
        <f>AND(#REF!,"AAAAAG+163I=")</f>
        <v>#REF!</v>
      </c>
      <c r="DL179" t="e">
        <f>AND(#REF!,"AAAAAG+163M=")</f>
        <v>#REF!</v>
      </c>
      <c r="DM179" t="e">
        <f>AND(#REF!,"AAAAAG+163Q=")</f>
        <v>#REF!</v>
      </c>
      <c r="DN179" t="e">
        <f>AND(#REF!,"AAAAAG+163U=")</f>
        <v>#REF!</v>
      </c>
      <c r="DO179" t="e">
        <f>AND(#REF!,"AAAAAG+163Y=")</f>
        <v>#REF!</v>
      </c>
      <c r="DP179" t="e">
        <f>AND(#REF!,"AAAAAG+163c=")</f>
        <v>#REF!</v>
      </c>
      <c r="DQ179" t="e">
        <f>AND(#REF!,"AAAAAG+163g=")</f>
        <v>#REF!</v>
      </c>
      <c r="DR179" t="e">
        <f>AND(#REF!,"AAAAAG+163k=")</f>
        <v>#REF!</v>
      </c>
      <c r="DS179" t="e">
        <f>AND(#REF!,"AAAAAG+163o=")</f>
        <v>#REF!</v>
      </c>
      <c r="DT179" t="e">
        <f>AND(#REF!,"AAAAAG+163s=")</f>
        <v>#REF!</v>
      </c>
      <c r="DU179" t="e">
        <f>AND(#REF!,"AAAAAG+163w=")</f>
        <v>#REF!</v>
      </c>
      <c r="DV179" t="e">
        <f>AND(#REF!,"AAAAAG+1630=")</f>
        <v>#REF!</v>
      </c>
      <c r="DW179" t="e">
        <f>AND(#REF!,"AAAAAG+1634=")</f>
        <v>#REF!</v>
      </c>
      <c r="DX179" t="e">
        <f>AND(#REF!,"AAAAAG+1638=")</f>
        <v>#REF!</v>
      </c>
      <c r="DY179" t="e">
        <f>AND(#REF!,"AAAAAG+164A=")</f>
        <v>#REF!</v>
      </c>
      <c r="DZ179" t="e">
        <f>AND(#REF!,"AAAAAG+164E=")</f>
        <v>#REF!</v>
      </c>
      <c r="EA179" t="e">
        <f>AND(#REF!,"AAAAAG+164I=")</f>
        <v>#REF!</v>
      </c>
      <c r="EB179" t="e">
        <f>AND(#REF!,"AAAAAG+164M=")</f>
        <v>#REF!</v>
      </c>
      <c r="EC179" t="e">
        <f>AND(#REF!,"AAAAAG+164Q=")</f>
        <v>#REF!</v>
      </c>
      <c r="ED179" t="e">
        <f>AND(#REF!,"AAAAAG+164U=")</f>
        <v>#REF!</v>
      </c>
      <c r="EE179" t="e">
        <f>AND(#REF!,"AAAAAG+164Y=")</f>
        <v>#REF!</v>
      </c>
      <c r="EF179" t="e">
        <f>AND(#REF!,"AAAAAG+164c=")</f>
        <v>#REF!</v>
      </c>
      <c r="EG179" t="e">
        <f>AND(#REF!,"AAAAAG+164g=")</f>
        <v>#REF!</v>
      </c>
      <c r="EH179" t="e">
        <f>AND(#REF!,"AAAAAG+164k=")</f>
        <v>#REF!</v>
      </c>
      <c r="EI179" t="e">
        <f>AND(#REF!,"AAAAAG+164o=")</f>
        <v>#REF!</v>
      </c>
      <c r="EJ179" t="e">
        <f>AND(#REF!,"AAAAAG+164s=")</f>
        <v>#REF!</v>
      </c>
      <c r="EK179" t="e">
        <f>AND(#REF!,"AAAAAG+164w=")</f>
        <v>#REF!</v>
      </c>
      <c r="EL179" t="e">
        <f>AND(#REF!,"AAAAAG+1640=")</f>
        <v>#REF!</v>
      </c>
      <c r="EM179" t="e">
        <f>AND(#REF!,"AAAAAG+1644=")</f>
        <v>#REF!</v>
      </c>
      <c r="EN179" t="e">
        <f>AND(#REF!,"AAAAAG+1648=")</f>
        <v>#REF!</v>
      </c>
      <c r="EO179" t="e">
        <f>AND(#REF!,"AAAAAG+165A=")</f>
        <v>#REF!</v>
      </c>
      <c r="EP179" t="e">
        <f>AND(#REF!,"AAAAAG+165E=")</f>
        <v>#REF!</v>
      </c>
      <c r="EQ179" t="e">
        <f>AND(#REF!,"AAAAAG+165I=")</f>
        <v>#REF!</v>
      </c>
      <c r="ER179" t="e">
        <f>AND(#REF!,"AAAAAG+165M=")</f>
        <v>#REF!</v>
      </c>
      <c r="ES179" t="e">
        <f>AND(#REF!,"AAAAAG+165Q=")</f>
        <v>#REF!</v>
      </c>
      <c r="ET179" t="e">
        <f>AND(#REF!,"AAAAAG+165U=")</f>
        <v>#REF!</v>
      </c>
      <c r="EU179" t="e">
        <f>AND(#REF!,"AAAAAG+165Y=")</f>
        <v>#REF!</v>
      </c>
      <c r="EV179" t="e">
        <f>AND(#REF!,"AAAAAG+165c=")</f>
        <v>#REF!</v>
      </c>
      <c r="EW179" t="e">
        <f>AND(#REF!,"AAAAAG+165g=")</f>
        <v>#REF!</v>
      </c>
      <c r="EX179" t="e">
        <f>AND(#REF!,"AAAAAG+165k=")</f>
        <v>#REF!</v>
      </c>
      <c r="EY179" t="e">
        <f>AND(#REF!,"AAAAAG+165o=")</f>
        <v>#REF!</v>
      </c>
      <c r="EZ179" t="e">
        <f>AND(#REF!,"AAAAAG+165s=")</f>
        <v>#REF!</v>
      </c>
      <c r="FA179" t="e">
        <f>AND(#REF!,"AAAAAG+165w=")</f>
        <v>#REF!</v>
      </c>
      <c r="FB179" t="e">
        <f>AND(#REF!,"AAAAAG+1650=")</f>
        <v>#REF!</v>
      </c>
      <c r="FC179" t="e">
        <f>AND(#REF!,"AAAAAG+1654=")</f>
        <v>#REF!</v>
      </c>
      <c r="FD179" t="e">
        <f>AND(#REF!,"AAAAAG+1658=")</f>
        <v>#REF!</v>
      </c>
      <c r="FE179" t="e">
        <f>AND(#REF!,"AAAAAG+166A=")</f>
        <v>#REF!</v>
      </c>
      <c r="FF179" t="e">
        <f>IF(#REF!,"AAAAAG+166E=",0)</f>
        <v>#REF!</v>
      </c>
      <c r="FG179" t="e">
        <f>AND(#REF!,"AAAAAG+166I=")</f>
        <v>#REF!</v>
      </c>
      <c r="FH179" t="e">
        <f>AND(#REF!,"AAAAAG+166M=")</f>
        <v>#REF!</v>
      </c>
      <c r="FI179" t="e">
        <f>AND(#REF!,"AAAAAG+166Q=")</f>
        <v>#REF!</v>
      </c>
      <c r="FJ179" t="e">
        <f>AND(#REF!,"AAAAAG+166U=")</f>
        <v>#REF!</v>
      </c>
      <c r="FK179" t="e">
        <f>AND(#REF!,"AAAAAG+166Y=")</f>
        <v>#REF!</v>
      </c>
      <c r="FL179" t="e">
        <f>AND(#REF!,"AAAAAG+166c=")</f>
        <v>#REF!</v>
      </c>
      <c r="FM179" t="e">
        <f>AND(#REF!,"AAAAAG+166g=")</f>
        <v>#REF!</v>
      </c>
      <c r="FN179" t="e">
        <f>AND(#REF!,"AAAAAG+166k=")</f>
        <v>#REF!</v>
      </c>
      <c r="FO179" t="e">
        <f>AND(#REF!,"AAAAAG+166o=")</f>
        <v>#REF!</v>
      </c>
      <c r="FP179" t="e">
        <f>AND(#REF!,"AAAAAG+166s=")</f>
        <v>#REF!</v>
      </c>
      <c r="FQ179" t="e">
        <f>AND(#REF!,"AAAAAG+166w=")</f>
        <v>#REF!</v>
      </c>
      <c r="FR179" t="e">
        <f>AND(#REF!,"AAAAAG+1660=")</f>
        <v>#REF!</v>
      </c>
      <c r="FS179" t="e">
        <f>AND(#REF!,"AAAAAG+1664=")</f>
        <v>#REF!</v>
      </c>
      <c r="FT179" t="e">
        <f>AND(#REF!,"AAAAAG+1668=")</f>
        <v>#REF!</v>
      </c>
      <c r="FU179" t="e">
        <f>AND(#REF!,"AAAAAG+167A=")</f>
        <v>#REF!</v>
      </c>
      <c r="FV179" t="e">
        <f>AND(#REF!,"AAAAAG+167E=")</f>
        <v>#REF!</v>
      </c>
      <c r="FW179" t="e">
        <f>AND(#REF!,"AAAAAG+167I=")</f>
        <v>#REF!</v>
      </c>
      <c r="FX179" t="e">
        <f>AND(#REF!,"AAAAAG+167M=")</f>
        <v>#REF!</v>
      </c>
      <c r="FY179" t="e">
        <f>AND(#REF!,"AAAAAG+167Q=")</f>
        <v>#REF!</v>
      </c>
      <c r="FZ179" t="e">
        <f>AND(#REF!,"AAAAAG+167U=")</f>
        <v>#REF!</v>
      </c>
      <c r="GA179" t="e">
        <f>AND(#REF!,"AAAAAG+167Y=")</f>
        <v>#REF!</v>
      </c>
      <c r="GB179" t="e">
        <f>AND(#REF!,"AAAAAG+167c=")</f>
        <v>#REF!</v>
      </c>
      <c r="GC179" t="e">
        <f>AND(#REF!,"AAAAAG+167g=")</f>
        <v>#REF!</v>
      </c>
      <c r="GD179" t="e">
        <f>AND(#REF!,"AAAAAG+167k=")</f>
        <v>#REF!</v>
      </c>
      <c r="GE179" t="e">
        <f>AND(#REF!,"AAAAAG+167o=")</f>
        <v>#REF!</v>
      </c>
      <c r="GF179" t="e">
        <f>AND(#REF!,"AAAAAG+167s=")</f>
        <v>#REF!</v>
      </c>
      <c r="GG179" t="e">
        <f>AND(#REF!,"AAAAAG+167w=")</f>
        <v>#REF!</v>
      </c>
      <c r="GH179" t="e">
        <f>AND(#REF!,"AAAAAG+1670=")</f>
        <v>#REF!</v>
      </c>
      <c r="GI179" t="e">
        <f>AND(#REF!,"AAAAAG+1674=")</f>
        <v>#REF!</v>
      </c>
      <c r="GJ179" t="e">
        <f>AND(#REF!,"AAAAAG+1678=")</f>
        <v>#REF!</v>
      </c>
      <c r="GK179" t="e">
        <f>AND(#REF!,"AAAAAG+168A=")</f>
        <v>#REF!</v>
      </c>
      <c r="GL179" t="e">
        <f>AND(#REF!,"AAAAAG+168E=")</f>
        <v>#REF!</v>
      </c>
      <c r="GM179" t="e">
        <f>AND(#REF!,"AAAAAG+168I=")</f>
        <v>#REF!</v>
      </c>
      <c r="GN179" t="e">
        <f>AND(#REF!,"AAAAAG+168M=")</f>
        <v>#REF!</v>
      </c>
      <c r="GO179" t="e">
        <f>AND(#REF!,"AAAAAG+168Q=")</f>
        <v>#REF!</v>
      </c>
      <c r="GP179" t="e">
        <f>AND(#REF!,"AAAAAG+168U=")</f>
        <v>#REF!</v>
      </c>
      <c r="GQ179" t="e">
        <f>AND(#REF!,"AAAAAG+168Y=")</f>
        <v>#REF!</v>
      </c>
      <c r="GR179" t="e">
        <f>AND(#REF!,"AAAAAG+168c=")</f>
        <v>#REF!</v>
      </c>
      <c r="GS179" t="e">
        <f>AND(#REF!,"AAAAAG+168g=")</f>
        <v>#REF!</v>
      </c>
      <c r="GT179" t="e">
        <f>AND(#REF!,"AAAAAG+168k=")</f>
        <v>#REF!</v>
      </c>
      <c r="GU179" t="e">
        <f>AND(#REF!,"AAAAAG+168o=")</f>
        <v>#REF!</v>
      </c>
      <c r="GV179" t="e">
        <f>AND(#REF!,"AAAAAG+168s=")</f>
        <v>#REF!</v>
      </c>
      <c r="GW179" t="e">
        <f>AND(#REF!,"AAAAAG+168w=")</f>
        <v>#REF!</v>
      </c>
      <c r="GX179" t="e">
        <f>AND(#REF!,"AAAAAG+1680=")</f>
        <v>#REF!</v>
      </c>
      <c r="GY179" t="e">
        <f>AND(#REF!,"AAAAAG+1684=")</f>
        <v>#REF!</v>
      </c>
      <c r="GZ179" t="e">
        <f>AND(#REF!,"AAAAAG+1688=")</f>
        <v>#REF!</v>
      </c>
      <c r="HA179" t="e">
        <f>AND(#REF!,"AAAAAG+169A=")</f>
        <v>#REF!</v>
      </c>
      <c r="HB179" t="e">
        <f>AND(#REF!,"AAAAAG+169E=")</f>
        <v>#REF!</v>
      </c>
      <c r="HC179" t="e">
        <f>AND(#REF!,"AAAAAG+169I=")</f>
        <v>#REF!</v>
      </c>
      <c r="HD179" t="e">
        <f>AND(#REF!,"AAAAAG+169M=")</f>
        <v>#REF!</v>
      </c>
      <c r="HE179" t="e">
        <f>AND(#REF!,"AAAAAG+169Q=")</f>
        <v>#REF!</v>
      </c>
      <c r="HF179" t="e">
        <f>AND(#REF!,"AAAAAG+169U=")</f>
        <v>#REF!</v>
      </c>
      <c r="HG179" t="e">
        <f>AND(#REF!,"AAAAAG+169Y=")</f>
        <v>#REF!</v>
      </c>
      <c r="HH179" t="e">
        <f>AND(#REF!,"AAAAAG+169c=")</f>
        <v>#REF!</v>
      </c>
      <c r="HI179" t="e">
        <f>AND(#REF!,"AAAAAG+169g=")</f>
        <v>#REF!</v>
      </c>
      <c r="HJ179" t="e">
        <f>AND(#REF!,"AAAAAG+169k=")</f>
        <v>#REF!</v>
      </c>
      <c r="HK179" t="e">
        <f>AND(#REF!,"AAAAAG+169o=")</f>
        <v>#REF!</v>
      </c>
      <c r="HL179" t="e">
        <f>AND(#REF!,"AAAAAG+169s=")</f>
        <v>#REF!</v>
      </c>
      <c r="HM179" t="e">
        <f>AND(#REF!,"AAAAAG+169w=")</f>
        <v>#REF!</v>
      </c>
      <c r="HN179" t="e">
        <f>AND(#REF!,"AAAAAG+1690=")</f>
        <v>#REF!</v>
      </c>
      <c r="HO179" t="e">
        <f>AND(#REF!,"AAAAAG+1694=")</f>
        <v>#REF!</v>
      </c>
      <c r="HP179" t="e">
        <f>AND(#REF!,"AAAAAG+1698=")</f>
        <v>#REF!</v>
      </c>
      <c r="HQ179" t="e">
        <f>AND(#REF!,"AAAAAG+16+A=")</f>
        <v>#REF!</v>
      </c>
      <c r="HR179" t="e">
        <f>AND(#REF!,"AAAAAG+16+E=")</f>
        <v>#REF!</v>
      </c>
      <c r="HS179" t="e">
        <f>AND(#REF!,"AAAAAG+16+I=")</f>
        <v>#REF!</v>
      </c>
      <c r="HT179" t="e">
        <f>AND(#REF!,"AAAAAG+16+M=")</f>
        <v>#REF!</v>
      </c>
      <c r="HU179" t="e">
        <f>AND(#REF!,"AAAAAG+16+Q=")</f>
        <v>#REF!</v>
      </c>
      <c r="HV179" t="e">
        <f>AND(#REF!,"AAAAAG+16+U=")</f>
        <v>#REF!</v>
      </c>
      <c r="HW179" t="e">
        <f>IF(#REF!,"AAAAAG+16+Y=",0)</f>
        <v>#REF!</v>
      </c>
      <c r="HX179" t="e">
        <f>AND(#REF!,"AAAAAG+16+c=")</f>
        <v>#REF!</v>
      </c>
      <c r="HY179" t="e">
        <f>AND(#REF!,"AAAAAG+16+g=")</f>
        <v>#REF!</v>
      </c>
      <c r="HZ179" t="e">
        <f>AND(#REF!,"AAAAAG+16+k=")</f>
        <v>#REF!</v>
      </c>
      <c r="IA179" t="e">
        <f>AND(#REF!,"AAAAAG+16+o=")</f>
        <v>#REF!</v>
      </c>
      <c r="IB179" t="e">
        <f>AND(#REF!,"AAAAAG+16+s=")</f>
        <v>#REF!</v>
      </c>
      <c r="IC179" t="e">
        <f>AND(#REF!,"AAAAAG+16+w=")</f>
        <v>#REF!</v>
      </c>
      <c r="ID179" t="e">
        <f>AND(#REF!,"AAAAAG+16+0=")</f>
        <v>#REF!</v>
      </c>
      <c r="IE179" t="e">
        <f>AND(#REF!,"AAAAAG+16+4=")</f>
        <v>#REF!</v>
      </c>
      <c r="IF179" t="e">
        <f>AND(#REF!,"AAAAAG+16+8=")</f>
        <v>#REF!</v>
      </c>
      <c r="IG179" t="e">
        <f>AND(#REF!,"AAAAAG+16/A=")</f>
        <v>#REF!</v>
      </c>
      <c r="IH179" t="e">
        <f>AND(#REF!,"AAAAAG+16/E=")</f>
        <v>#REF!</v>
      </c>
      <c r="II179" t="e">
        <f>AND(#REF!,"AAAAAG+16/I=")</f>
        <v>#REF!</v>
      </c>
      <c r="IJ179" t="e">
        <f>AND(#REF!,"AAAAAG+16/M=")</f>
        <v>#REF!</v>
      </c>
      <c r="IK179" t="e">
        <f>AND(#REF!,"AAAAAG+16/Q=")</f>
        <v>#REF!</v>
      </c>
      <c r="IL179" t="e">
        <f>AND(#REF!,"AAAAAG+16/U=")</f>
        <v>#REF!</v>
      </c>
      <c r="IM179" t="e">
        <f>AND(#REF!,"AAAAAG+16/Y=")</f>
        <v>#REF!</v>
      </c>
      <c r="IN179" t="e">
        <f>AND(#REF!,"AAAAAG+16/c=")</f>
        <v>#REF!</v>
      </c>
      <c r="IO179" t="e">
        <f>AND(#REF!,"AAAAAG+16/g=")</f>
        <v>#REF!</v>
      </c>
      <c r="IP179" t="e">
        <f>AND(#REF!,"AAAAAG+16/k=")</f>
        <v>#REF!</v>
      </c>
      <c r="IQ179" t="e">
        <f>AND(#REF!,"AAAAAG+16/o=")</f>
        <v>#REF!</v>
      </c>
      <c r="IR179" t="e">
        <f>AND(#REF!,"AAAAAG+16/s=")</f>
        <v>#REF!</v>
      </c>
      <c r="IS179" t="e">
        <f>AND(#REF!,"AAAAAG+16/w=")</f>
        <v>#REF!</v>
      </c>
      <c r="IT179" t="e">
        <f>AND(#REF!,"AAAAAG+16/0=")</f>
        <v>#REF!</v>
      </c>
      <c r="IU179" t="e">
        <f>AND(#REF!,"AAAAAG+16/4=")</f>
        <v>#REF!</v>
      </c>
      <c r="IV179" t="e">
        <f>AND(#REF!,"AAAAAG+16/8=")</f>
        <v>#REF!</v>
      </c>
    </row>
    <row r="180" spans="1:256" x14ac:dyDescent="0.25">
      <c r="A180" t="e">
        <f>AND(#REF!,"AAAAAHn/3wA=")</f>
        <v>#REF!</v>
      </c>
      <c r="B180" t="e">
        <f>AND(#REF!,"AAAAAHn/3wE=")</f>
        <v>#REF!</v>
      </c>
      <c r="C180" t="e">
        <f>AND(#REF!,"AAAAAHn/3wI=")</f>
        <v>#REF!</v>
      </c>
      <c r="D180" t="e">
        <f>AND(#REF!,"AAAAAHn/3wM=")</f>
        <v>#REF!</v>
      </c>
      <c r="E180" t="e">
        <f>AND(#REF!,"AAAAAHn/3wQ=")</f>
        <v>#REF!</v>
      </c>
      <c r="F180" t="e">
        <f>AND(#REF!,"AAAAAHn/3wU=")</f>
        <v>#REF!</v>
      </c>
      <c r="G180" t="e">
        <f>AND(#REF!,"AAAAAHn/3wY=")</f>
        <v>#REF!</v>
      </c>
      <c r="H180" t="e">
        <f>AND(#REF!,"AAAAAHn/3wc=")</f>
        <v>#REF!</v>
      </c>
      <c r="I180" t="e">
        <f>AND(#REF!,"AAAAAHn/3wg=")</f>
        <v>#REF!</v>
      </c>
      <c r="J180" t="e">
        <f>AND(#REF!,"AAAAAHn/3wk=")</f>
        <v>#REF!</v>
      </c>
      <c r="K180" t="e">
        <f>AND(#REF!,"AAAAAHn/3wo=")</f>
        <v>#REF!</v>
      </c>
      <c r="L180" t="e">
        <f>AND(#REF!,"AAAAAHn/3ws=")</f>
        <v>#REF!</v>
      </c>
      <c r="M180" t="e">
        <f>AND(#REF!,"AAAAAHn/3ww=")</f>
        <v>#REF!</v>
      </c>
      <c r="N180" t="e">
        <f>AND(#REF!,"AAAAAHn/3w0=")</f>
        <v>#REF!</v>
      </c>
      <c r="O180" t="e">
        <f>AND(#REF!,"AAAAAHn/3w4=")</f>
        <v>#REF!</v>
      </c>
      <c r="P180" t="e">
        <f>AND(#REF!,"AAAAAHn/3w8=")</f>
        <v>#REF!</v>
      </c>
      <c r="Q180" t="e">
        <f>AND(#REF!,"AAAAAHn/3xA=")</f>
        <v>#REF!</v>
      </c>
      <c r="R180" t="e">
        <f>AND(#REF!,"AAAAAHn/3xE=")</f>
        <v>#REF!</v>
      </c>
      <c r="S180" t="e">
        <f>AND(#REF!,"AAAAAHn/3xI=")</f>
        <v>#REF!</v>
      </c>
      <c r="T180" t="e">
        <f>AND(#REF!,"AAAAAHn/3xM=")</f>
        <v>#REF!</v>
      </c>
      <c r="U180" t="e">
        <f>AND(#REF!,"AAAAAHn/3xQ=")</f>
        <v>#REF!</v>
      </c>
      <c r="V180" t="e">
        <f>AND(#REF!,"AAAAAHn/3xU=")</f>
        <v>#REF!</v>
      </c>
      <c r="W180" t="e">
        <f>AND(#REF!,"AAAAAHn/3xY=")</f>
        <v>#REF!</v>
      </c>
      <c r="X180" t="e">
        <f>AND(#REF!,"AAAAAHn/3xc=")</f>
        <v>#REF!</v>
      </c>
      <c r="Y180" t="e">
        <f>AND(#REF!,"AAAAAHn/3xg=")</f>
        <v>#REF!</v>
      </c>
      <c r="Z180" t="e">
        <f>AND(#REF!,"AAAAAHn/3xk=")</f>
        <v>#REF!</v>
      </c>
      <c r="AA180" t="e">
        <f>AND(#REF!,"AAAAAHn/3xo=")</f>
        <v>#REF!</v>
      </c>
      <c r="AB180" t="e">
        <f>AND(#REF!,"AAAAAHn/3xs=")</f>
        <v>#REF!</v>
      </c>
      <c r="AC180" t="e">
        <f>AND(#REF!,"AAAAAHn/3xw=")</f>
        <v>#REF!</v>
      </c>
      <c r="AD180" t="e">
        <f>AND(#REF!,"AAAAAHn/3x0=")</f>
        <v>#REF!</v>
      </c>
      <c r="AE180" t="e">
        <f>AND(#REF!,"AAAAAHn/3x4=")</f>
        <v>#REF!</v>
      </c>
      <c r="AF180" t="e">
        <f>AND(#REF!,"AAAAAHn/3x8=")</f>
        <v>#REF!</v>
      </c>
      <c r="AG180" t="e">
        <f>AND(#REF!,"AAAAAHn/3yA=")</f>
        <v>#REF!</v>
      </c>
      <c r="AH180" t="e">
        <f>AND(#REF!,"AAAAAHn/3yE=")</f>
        <v>#REF!</v>
      </c>
      <c r="AI180" t="e">
        <f>AND(#REF!,"AAAAAHn/3yI=")</f>
        <v>#REF!</v>
      </c>
      <c r="AJ180" t="e">
        <f>AND(#REF!,"AAAAAHn/3yM=")</f>
        <v>#REF!</v>
      </c>
      <c r="AK180" t="e">
        <f>AND(#REF!,"AAAAAHn/3yQ=")</f>
        <v>#REF!</v>
      </c>
      <c r="AL180" t="e">
        <f>AND(#REF!,"AAAAAHn/3yU=")</f>
        <v>#REF!</v>
      </c>
      <c r="AM180" t="e">
        <f>AND(#REF!,"AAAAAHn/3yY=")</f>
        <v>#REF!</v>
      </c>
      <c r="AN180" t="e">
        <f>AND(#REF!,"AAAAAHn/3yc=")</f>
        <v>#REF!</v>
      </c>
      <c r="AO180" t="e">
        <f>AND(#REF!,"AAAAAHn/3yg=")</f>
        <v>#REF!</v>
      </c>
      <c r="AP180" t="e">
        <f>AND(#REF!,"AAAAAHn/3yk=")</f>
        <v>#REF!</v>
      </c>
      <c r="AQ180" t="e">
        <f>AND(#REF!,"AAAAAHn/3yo=")</f>
        <v>#REF!</v>
      </c>
      <c r="AR180" t="e">
        <f>IF(#REF!,"AAAAAHn/3ys=",0)</f>
        <v>#REF!</v>
      </c>
      <c r="AS180" t="e">
        <f>AND(#REF!,"AAAAAHn/3yw=")</f>
        <v>#REF!</v>
      </c>
      <c r="AT180" t="e">
        <f>AND(#REF!,"AAAAAHn/3y0=")</f>
        <v>#REF!</v>
      </c>
      <c r="AU180" t="e">
        <f>AND(#REF!,"AAAAAHn/3y4=")</f>
        <v>#REF!</v>
      </c>
      <c r="AV180" t="e">
        <f>AND(#REF!,"AAAAAHn/3y8=")</f>
        <v>#REF!</v>
      </c>
      <c r="AW180" t="e">
        <f>AND(#REF!,"AAAAAHn/3zA=")</f>
        <v>#REF!</v>
      </c>
      <c r="AX180" t="e">
        <f>AND(#REF!,"AAAAAHn/3zE=")</f>
        <v>#REF!</v>
      </c>
      <c r="AY180" t="e">
        <f>AND(#REF!,"AAAAAHn/3zI=")</f>
        <v>#REF!</v>
      </c>
      <c r="AZ180" t="e">
        <f>AND(#REF!,"AAAAAHn/3zM=")</f>
        <v>#REF!</v>
      </c>
      <c r="BA180" t="e">
        <f>AND(#REF!,"AAAAAHn/3zQ=")</f>
        <v>#REF!</v>
      </c>
      <c r="BB180" t="e">
        <f>AND(#REF!,"AAAAAHn/3zU=")</f>
        <v>#REF!</v>
      </c>
      <c r="BC180" t="e">
        <f>AND(#REF!,"AAAAAHn/3zY=")</f>
        <v>#REF!</v>
      </c>
      <c r="BD180" t="e">
        <f>AND(#REF!,"AAAAAHn/3zc=")</f>
        <v>#REF!</v>
      </c>
      <c r="BE180" t="e">
        <f>AND(#REF!,"AAAAAHn/3zg=")</f>
        <v>#REF!</v>
      </c>
      <c r="BF180" t="e">
        <f>AND(#REF!,"AAAAAHn/3zk=")</f>
        <v>#REF!</v>
      </c>
      <c r="BG180" t="e">
        <f>AND(#REF!,"AAAAAHn/3zo=")</f>
        <v>#REF!</v>
      </c>
      <c r="BH180" t="e">
        <f>AND(#REF!,"AAAAAHn/3zs=")</f>
        <v>#REF!</v>
      </c>
      <c r="BI180" t="e">
        <f>AND(#REF!,"AAAAAHn/3zw=")</f>
        <v>#REF!</v>
      </c>
      <c r="BJ180" t="e">
        <f>AND(#REF!,"AAAAAHn/3z0=")</f>
        <v>#REF!</v>
      </c>
      <c r="BK180" t="e">
        <f>AND(#REF!,"AAAAAHn/3z4=")</f>
        <v>#REF!</v>
      </c>
      <c r="BL180" t="e">
        <f>AND(#REF!,"AAAAAHn/3z8=")</f>
        <v>#REF!</v>
      </c>
      <c r="BM180" t="e">
        <f>AND(#REF!,"AAAAAHn/30A=")</f>
        <v>#REF!</v>
      </c>
      <c r="BN180" t="e">
        <f>AND(#REF!,"AAAAAHn/30E=")</f>
        <v>#REF!</v>
      </c>
      <c r="BO180" t="e">
        <f>AND(#REF!,"AAAAAHn/30I=")</f>
        <v>#REF!</v>
      </c>
      <c r="BP180" t="e">
        <f>AND(#REF!,"AAAAAHn/30M=")</f>
        <v>#REF!</v>
      </c>
      <c r="BQ180" t="e">
        <f>AND(#REF!,"AAAAAHn/30Q=")</f>
        <v>#REF!</v>
      </c>
      <c r="BR180" t="e">
        <f>AND(#REF!,"AAAAAHn/30U=")</f>
        <v>#REF!</v>
      </c>
      <c r="BS180" t="e">
        <f>AND(#REF!,"AAAAAHn/30Y=")</f>
        <v>#REF!</v>
      </c>
      <c r="BT180" t="e">
        <f>AND(#REF!,"AAAAAHn/30c=")</f>
        <v>#REF!</v>
      </c>
      <c r="BU180" t="e">
        <f>AND(#REF!,"AAAAAHn/30g=")</f>
        <v>#REF!</v>
      </c>
      <c r="BV180" t="e">
        <f>AND(#REF!,"AAAAAHn/30k=")</f>
        <v>#REF!</v>
      </c>
      <c r="BW180" t="e">
        <f>AND(#REF!,"AAAAAHn/30o=")</f>
        <v>#REF!</v>
      </c>
      <c r="BX180" t="e">
        <f>AND(#REF!,"AAAAAHn/30s=")</f>
        <v>#REF!</v>
      </c>
      <c r="BY180" t="e">
        <f>AND(#REF!,"AAAAAHn/30w=")</f>
        <v>#REF!</v>
      </c>
      <c r="BZ180" t="e">
        <f>AND(#REF!,"AAAAAHn/300=")</f>
        <v>#REF!</v>
      </c>
      <c r="CA180" t="e">
        <f>AND(#REF!,"AAAAAHn/304=")</f>
        <v>#REF!</v>
      </c>
      <c r="CB180" t="e">
        <f>AND(#REF!,"AAAAAHn/308=")</f>
        <v>#REF!</v>
      </c>
      <c r="CC180" t="e">
        <f>AND(#REF!,"AAAAAHn/31A=")</f>
        <v>#REF!</v>
      </c>
      <c r="CD180" t="e">
        <f>AND(#REF!,"AAAAAHn/31E=")</f>
        <v>#REF!</v>
      </c>
      <c r="CE180" t="e">
        <f>AND(#REF!,"AAAAAHn/31I=")</f>
        <v>#REF!</v>
      </c>
      <c r="CF180" t="e">
        <f>AND(#REF!,"AAAAAHn/31M=")</f>
        <v>#REF!</v>
      </c>
      <c r="CG180" t="e">
        <f>AND(#REF!,"AAAAAHn/31Q=")</f>
        <v>#REF!</v>
      </c>
      <c r="CH180" t="e">
        <f>AND(#REF!,"AAAAAHn/31U=")</f>
        <v>#REF!</v>
      </c>
      <c r="CI180" t="e">
        <f>AND(#REF!,"AAAAAHn/31Y=")</f>
        <v>#REF!</v>
      </c>
      <c r="CJ180" t="e">
        <f>AND(#REF!,"AAAAAHn/31c=")</f>
        <v>#REF!</v>
      </c>
      <c r="CK180" t="e">
        <f>AND(#REF!,"AAAAAHn/31g=")</f>
        <v>#REF!</v>
      </c>
      <c r="CL180" t="e">
        <f>AND(#REF!,"AAAAAHn/31k=")</f>
        <v>#REF!</v>
      </c>
      <c r="CM180" t="e">
        <f>AND(#REF!,"AAAAAHn/31o=")</f>
        <v>#REF!</v>
      </c>
      <c r="CN180" t="e">
        <f>AND(#REF!,"AAAAAHn/31s=")</f>
        <v>#REF!</v>
      </c>
      <c r="CO180" t="e">
        <f>AND(#REF!,"AAAAAHn/31w=")</f>
        <v>#REF!</v>
      </c>
      <c r="CP180" t="e">
        <f>AND(#REF!,"AAAAAHn/310=")</f>
        <v>#REF!</v>
      </c>
      <c r="CQ180" t="e">
        <f>AND(#REF!,"AAAAAHn/314=")</f>
        <v>#REF!</v>
      </c>
      <c r="CR180" t="e">
        <f>AND(#REF!,"AAAAAHn/318=")</f>
        <v>#REF!</v>
      </c>
      <c r="CS180" t="e">
        <f>AND(#REF!,"AAAAAHn/32A=")</f>
        <v>#REF!</v>
      </c>
      <c r="CT180" t="e">
        <f>AND(#REF!,"AAAAAHn/32E=")</f>
        <v>#REF!</v>
      </c>
      <c r="CU180" t="e">
        <f>AND(#REF!,"AAAAAHn/32I=")</f>
        <v>#REF!</v>
      </c>
      <c r="CV180" t="e">
        <f>AND(#REF!,"AAAAAHn/32M=")</f>
        <v>#REF!</v>
      </c>
      <c r="CW180" t="e">
        <f>AND(#REF!,"AAAAAHn/32Q=")</f>
        <v>#REF!</v>
      </c>
      <c r="CX180" t="e">
        <f>AND(#REF!,"AAAAAHn/32U=")</f>
        <v>#REF!</v>
      </c>
      <c r="CY180" t="e">
        <f>AND(#REF!,"AAAAAHn/32Y=")</f>
        <v>#REF!</v>
      </c>
      <c r="CZ180" t="e">
        <f>AND(#REF!,"AAAAAHn/32c=")</f>
        <v>#REF!</v>
      </c>
      <c r="DA180" t="e">
        <f>AND(#REF!,"AAAAAHn/32g=")</f>
        <v>#REF!</v>
      </c>
      <c r="DB180" t="e">
        <f>AND(#REF!,"AAAAAHn/32k=")</f>
        <v>#REF!</v>
      </c>
      <c r="DC180" t="e">
        <f>AND(#REF!,"AAAAAHn/32o=")</f>
        <v>#REF!</v>
      </c>
      <c r="DD180" t="e">
        <f>AND(#REF!,"AAAAAHn/32s=")</f>
        <v>#REF!</v>
      </c>
      <c r="DE180" t="e">
        <f>AND(#REF!,"AAAAAHn/32w=")</f>
        <v>#REF!</v>
      </c>
      <c r="DF180" t="e">
        <f>AND(#REF!,"AAAAAHn/320=")</f>
        <v>#REF!</v>
      </c>
      <c r="DG180" t="e">
        <f>AND(#REF!,"AAAAAHn/324=")</f>
        <v>#REF!</v>
      </c>
      <c r="DH180" t="e">
        <f>AND(#REF!,"AAAAAHn/328=")</f>
        <v>#REF!</v>
      </c>
      <c r="DI180" t="e">
        <f>IF(#REF!,"AAAAAHn/33A=",0)</f>
        <v>#REF!</v>
      </c>
      <c r="DJ180" t="e">
        <f>AND(#REF!,"AAAAAHn/33E=")</f>
        <v>#REF!</v>
      </c>
      <c r="DK180" t="e">
        <f>AND(#REF!,"AAAAAHn/33I=")</f>
        <v>#REF!</v>
      </c>
      <c r="DL180" t="e">
        <f>AND(#REF!,"AAAAAHn/33M=")</f>
        <v>#REF!</v>
      </c>
      <c r="DM180" t="e">
        <f>AND(#REF!,"AAAAAHn/33Q=")</f>
        <v>#REF!</v>
      </c>
      <c r="DN180" t="e">
        <f>AND(#REF!,"AAAAAHn/33U=")</f>
        <v>#REF!</v>
      </c>
      <c r="DO180" t="e">
        <f>AND(#REF!,"AAAAAHn/33Y=")</f>
        <v>#REF!</v>
      </c>
      <c r="DP180" t="e">
        <f>AND(#REF!,"AAAAAHn/33c=")</f>
        <v>#REF!</v>
      </c>
      <c r="DQ180" t="e">
        <f>AND(#REF!,"AAAAAHn/33g=")</f>
        <v>#REF!</v>
      </c>
      <c r="DR180" t="e">
        <f>AND(#REF!,"AAAAAHn/33k=")</f>
        <v>#REF!</v>
      </c>
      <c r="DS180" t="e">
        <f>AND(#REF!,"AAAAAHn/33o=")</f>
        <v>#REF!</v>
      </c>
      <c r="DT180" t="e">
        <f>AND(#REF!,"AAAAAHn/33s=")</f>
        <v>#REF!</v>
      </c>
      <c r="DU180" t="e">
        <f>AND(#REF!,"AAAAAHn/33w=")</f>
        <v>#REF!</v>
      </c>
      <c r="DV180" t="e">
        <f>AND(#REF!,"AAAAAHn/330=")</f>
        <v>#REF!</v>
      </c>
      <c r="DW180" t="e">
        <f>AND(#REF!,"AAAAAHn/334=")</f>
        <v>#REF!</v>
      </c>
      <c r="DX180" t="e">
        <f>AND(#REF!,"AAAAAHn/338=")</f>
        <v>#REF!</v>
      </c>
      <c r="DY180" t="e">
        <f>AND(#REF!,"AAAAAHn/34A=")</f>
        <v>#REF!</v>
      </c>
      <c r="DZ180" t="e">
        <f>AND(#REF!,"AAAAAHn/34E=")</f>
        <v>#REF!</v>
      </c>
      <c r="EA180" t="e">
        <f>AND(#REF!,"AAAAAHn/34I=")</f>
        <v>#REF!</v>
      </c>
      <c r="EB180" t="e">
        <f>AND(#REF!,"AAAAAHn/34M=")</f>
        <v>#REF!</v>
      </c>
      <c r="EC180" t="e">
        <f>AND(#REF!,"AAAAAHn/34Q=")</f>
        <v>#REF!</v>
      </c>
      <c r="ED180" t="e">
        <f>AND(#REF!,"AAAAAHn/34U=")</f>
        <v>#REF!</v>
      </c>
      <c r="EE180" t="e">
        <f>AND(#REF!,"AAAAAHn/34Y=")</f>
        <v>#REF!</v>
      </c>
      <c r="EF180" t="e">
        <f>AND(#REF!,"AAAAAHn/34c=")</f>
        <v>#REF!</v>
      </c>
      <c r="EG180" t="e">
        <f>AND(#REF!,"AAAAAHn/34g=")</f>
        <v>#REF!</v>
      </c>
      <c r="EH180" t="e">
        <f>AND(#REF!,"AAAAAHn/34k=")</f>
        <v>#REF!</v>
      </c>
      <c r="EI180" t="e">
        <f>AND(#REF!,"AAAAAHn/34o=")</f>
        <v>#REF!</v>
      </c>
      <c r="EJ180" t="e">
        <f>AND(#REF!,"AAAAAHn/34s=")</f>
        <v>#REF!</v>
      </c>
      <c r="EK180" t="e">
        <f>AND(#REF!,"AAAAAHn/34w=")</f>
        <v>#REF!</v>
      </c>
      <c r="EL180" t="e">
        <f>AND(#REF!,"AAAAAHn/340=")</f>
        <v>#REF!</v>
      </c>
      <c r="EM180" t="e">
        <f>AND(#REF!,"AAAAAHn/344=")</f>
        <v>#REF!</v>
      </c>
      <c r="EN180" t="e">
        <f>AND(#REF!,"AAAAAHn/348=")</f>
        <v>#REF!</v>
      </c>
      <c r="EO180" t="e">
        <f>AND(#REF!,"AAAAAHn/35A=")</f>
        <v>#REF!</v>
      </c>
      <c r="EP180" t="e">
        <f>AND(#REF!,"AAAAAHn/35E=")</f>
        <v>#REF!</v>
      </c>
      <c r="EQ180" t="e">
        <f>AND(#REF!,"AAAAAHn/35I=")</f>
        <v>#REF!</v>
      </c>
      <c r="ER180" t="e">
        <f>AND(#REF!,"AAAAAHn/35M=")</f>
        <v>#REF!</v>
      </c>
      <c r="ES180" t="e">
        <f>AND(#REF!,"AAAAAHn/35Q=")</f>
        <v>#REF!</v>
      </c>
      <c r="ET180" t="e">
        <f>AND(#REF!,"AAAAAHn/35U=")</f>
        <v>#REF!</v>
      </c>
      <c r="EU180" t="e">
        <f>AND(#REF!,"AAAAAHn/35Y=")</f>
        <v>#REF!</v>
      </c>
      <c r="EV180" t="e">
        <f>AND(#REF!,"AAAAAHn/35c=")</f>
        <v>#REF!</v>
      </c>
      <c r="EW180" t="e">
        <f>AND(#REF!,"AAAAAHn/35g=")</f>
        <v>#REF!</v>
      </c>
      <c r="EX180" t="e">
        <f>AND(#REF!,"AAAAAHn/35k=")</f>
        <v>#REF!</v>
      </c>
      <c r="EY180" t="e">
        <f>AND(#REF!,"AAAAAHn/35o=")</f>
        <v>#REF!</v>
      </c>
      <c r="EZ180" t="e">
        <f>AND(#REF!,"AAAAAHn/35s=")</f>
        <v>#REF!</v>
      </c>
      <c r="FA180" t="e">
        <f>AND(#REF!,"AAAAAHn/35w=")</f>
        <v>#REF!</v>
      </c>
      <c r="FB180" t="e">
        <f>AND(#REF!,"AAAAAHn/350=")</f>
        <v>#REF!</v>
      </c>
      <c r="FC180" t="e">
        <f>AND(#REF!,"AAAAAHn/354=")</f>
        <v>#REF!</v>
      </c>
      <c r="FD180" t="e">
        <f>AND(#REF!,"AAAAAHn/358=")</f>
        <v>#REF!</v>
      </c>
      <c r="FE180" t="e">
        <f>AND(#REF!,"AAAAAHn/36A=")</f>
        <v>#REF!</v>
      </c>
      <c r="FF180" t="e">
        <f>AND(#REF!,"AAAAAHn/36E=")</f>
        <v>#REF!</v>
      </c>
      <c r="FG180" t="e">
        <f>AND(#REF!,"AAAAAHn/36I=")</f>
        <v>#REF!</v>
      </c>
      <c r="FH180" t="e">
        <f>AND(#REF!,"AAAAAHn/36M=")</f>
        <v>#REF!</v>
      </c>
      <c r="FI180" t="e">
        <f>AND(#REF!,"AAAAAHn/36Q=")</f>
        <v>#REF!</v>
      </c>
      <c r="FJ180" t="e">
        <f>AND(#REF!,"AAAAAHn/36U=")</f>
        <v>#REF!</v>
      </c>
      <c r="FK180" t="e">
        <f>AND(#REF!,"AAAAAHn/36Y=")</f>
        <v>#REF!</v>
      </c>
      <c r="FL180" t="e">
        <f>AND(#REF!,"AAAAAHn/36c=")</f>
        <v>#REF!</v>
      </c>
      <c r="FM180" t="e">
        <f>AND(#REF!,"AAAAAHn/36g=")</f>
        <v>#REF!</v>
      </c>
      <c r="FN180" t="e">
        <f>AND(#REF!,"AAAAAHn/36k=")</f>
        <v>#REF!</v>
      </c>
      <c r="FO180" t="e">
        <f>AND(#REF!,"AAAAAHn/36o=")</f>
        <v>#REF!</v>
      </c>
      <c r="FP180" t="e">
        <f>AND(#REF!,"AAAAAHn/36s=")</f>
        <v>#REF!</v>
      </c>
      <c r="FQ180" t="e">
        <f>AND(#REF!,"AAAAAHn/36w=")</f>
        <v>#REF!</v>
      </c>
      <c r="FR180" t="e">
        <f>AND(#REF!,"AAAAAHn/360=")</f>
        <v>#REF!</v>
      </c>
      <c r="FS180" t="e">
        <f>AND(#REF!,"AAAAAHn/364=")</f>
        <v>#REF!</v>
      </c>
      <c r="FT180" t="e">
        <f>AND(#REF!,"AAAAAHn/368=")</f>
        <v>#REF!</v>
      </c>
      <c r="FU180" t="e">
        <f>AND(#REF!,"AAAAAHn/37A=")</f>
        <v>#REF!</v>
      </c>
      <c r="FV180" t="e">
        <f>AND(#REF!,"AAAAAHn/37E=")</f>
        <v>#REF!</v>
      </c>
      <c r="FW180" t="e">
        <f>AND(#REF!,"AAAAAHn/37I=")</f>
        <v>#REF!</v>
      </c>
      <c r="FX180" t="e">
        <f>AND(#REF!,"AAAAAHn/37M=")</f>
        <v>#REF!</v>
      </c>
      <c r="FY180" t="e">
        <f>AND(#REF!,"AAAAAHn/37Q=")</f>
        <v>#REF!</v>
      </c>
      <c r="FZ180" t="e">
        <f>IF(#REF!,"AAAAAHn/37U=",0)</f>
        <v>#REF!</v>
      </c>
      <c r="GA180" t="e">
        <f>AND(#REF!,"AAAAAHn/37Y=")</f>
        <v>#REF!</v>
      </c>
      <c r="GB180" t="e">
        <f>AND(#REF!,"AAAAAHn/37c=")</f>
        <v>#REF!</v>
      </c>
      <c r="GC180" t="e">
        <f>AND(#REF!,"AAAAAHn/37g=")</f>
        <v>#REF!</v>
      </c>
      <c r="GD180" t="e">
        <f>AND(#REF!,"AAAAAHn/37k=")</f>
        <v>#REF!</v>
      </c>
      <c r="GE180" t="e">
        <f>AND(#REF!,"AAAAAHn/37o=")</f>
        <v>#REF!</v>
      </c>
      <c r="GF180" t="e">
        <f>AND(#REF!,"AAAAAHn/37s=")</f>
        <v>#REF!</v>
      </c>
      <c r="GG180" t="e">
        <f>AND(#REF!,"AAAAAHn/37w=")</f>
        <v>#REF!</v>
      </c>
      <c r="GH180" t="e">
        <f>AND(#REF!,"AAAAAHn/370=")</f>
        <v>#REF!</v>
      </c>
      <c r="GI180" t="e">
        <f>AND(#REF!,"AAAAAHn/374=")</f>
        <v>#REF!</v>
      </c>
      <c r="GJ180" t="e">
        <f>AND(#REF!,"AAAAAHn/378=")</f>
        <v>#REF!</v>
      </c>
      <c r="GK180" t="e">
        <f>AND(#REF!,"AAAAAHn/38A=")</f>
        <v>#REF!</v>
      </c>
      <c r="GL180" t="e">
        <f>AND(#REF!,"AAAAAHn/38E=")</f>
        <v>#REF!</v>
      </c>
      <c r="GM180" t="e">
        <f>AND(#REF!,"AAAAAHn/38I=")</f>
        <v>#REF!</v>
      </c>
      <c r="GN180" t="e">
        <f>AND(#REF!,"AAAAAHn/38M=")</f>
        <v>#REF!</v>
      </c>
      <c r="GO180" t="e">
        <f>AND(#REF!,"AAAAAHn/38Q=")</f>
        <v>#REF!</v>
      </c>
      <c r="GP180" t="e">
        <f>AND(#REF!,"AAAAAHn/38U=")</f>
        <v>#REF!</v>
      </c>
      <c r="GQ180" t="e">
        <f>AND(#REF!,"AAAAAHn/38Y=")</f>
        <v>#REF!</v>
      </c>
      <c r="GR180" t="e">
        <f>AND(#REF!,"AAAAAHn/38c=")</f>
        <v>#REF!</v>
      </c>
      <c r="GS180" t="e">
        <f>AND(#REF!,"AAAAAHn/38g=")</f>
        <v>#REF!</v>
      </c>
      <c r="GT180" t="e">
        <f>AND(#REF!,"AAAAAHn/38k=")</f>
        <v>#REF!</v>
      </c>
      <c r="GU180" t="e">
        <f>AND(#REF!,"AAAAAHn/38o=")</f>
        <v>#REF!</v>
      </c>
      <c r="GV180" t="e">
        <f>AND(#REF!,"AAAAAHn/38s=")</f>
        <v>#REF!</v>
      </c>
      <c r="GW180" t="e">
        <f>AND(#REF!,"AAAAAHn/38w=")</f>
        <v>#REF!</v>
      </c>
      <c r="GX180" t="e">
        <f>AND(#REF!,"AAAAAHn/380=")</f>
        <v>#REF!</v>
      </c>
      <c r="GY180" t="e">
        <f>AND(#REF!,"AAAAAHn/384=")</f>
        <v>#REF!</v>
      </c>
      <c r="GZ180" t="e">
        <f>AND(#REF!,"AAAAAHn/388=")</f>
        <v>#REF!</v>
      </c>
      <c r="HA180" t="e">
        <f>AND(#REF!,"AAAAAHn/39A=")</f>
        <v>#REF!</v>
      </c>
      <c r="HB180" t="e">
        <f>AND(#REF!,"AAAAAHn/39E=")</f>
        <v>#REF!</v>
      </c>
      <c r="HC180" t="e">
        <f>AND(#REF!,"AAAAAHn/39I=")</f>
        <v>#REF!</v>
      </c>
      <c r="HD180" t="e">
        <f>AND(#REF!,"AAAAAHn/39M=")</f>
        <v>#REF!</v>
      </c>
      <c r="HE180" t="e">
        <f>AND(#REF!,"AAAAAHn/39Q=")</f>
        <v>#REF!</v>
      </c>
      <c r="HF180" t="e">
        <f>AND(#REF!,"AAAAAHn/39U=")</f>
        <v>#REF!</v>
      </c>
      <c r="HG180" t="e">
        <f>AND(#REF!,"AAAAAHn/39Y=")</f>
        <v>#REF!</v>
      </c>
      <c r="HH180" t="e">
        <f>AND(#REF!,"AAAAAHn/39c=")</f>
        <v>#REF!</v>
      </c>
      <c r="HI180" t="e">
        <f>AND(#REF!,"AAAAAHn/39g=")</f>
        <v>#REF!</v>
      </c>
      <c r="HJ180" t="e">
        <f>AND(#REF!,"AAAAAHn/39k=")</f>
        <v>#REF!</v>
      </c>
      <c r="HK180" t="e">
        <f>AND(#REF!,"AAAAAHn/39o=")</f>
        <v>#REF!</v>
      </c>
      <c r="HL180" t="e">
        <f>AND(#REF!,"AAAAAHn/39s=")</f>
        <v>#REF!</v>
      </c>
      <c r="HM180" t="e">
        <f>AND(#REF!,"AAAAAHn/39w=")</f>
        <v>#REF!</v>
      </c>
      <c r="HN180" t="e">
        <f>AND(#REF!,"AAAAAHn/390=")</f>
        <v>#REF!</v>
      </c>
      <c r="HO180" t="e">
        <f>AND(#REF!,"AAAAAHn/394=")</f>
        <v>#REF!</v>
      </c>
      <c r="HP180" t="e">
        <f>AND(#REF!,"AAAAAHn/398=")</f>
        <v>#REF!</v>
      </c>
      <c r="HQ180" t="e">
        <f>AND(#REF!,"AAAAAHn/3+A=")</f>
        <v>#REF!</v>
      </c>
      <c r="HR180" t="e">
        <f>AND(#REF!,"AAAAAHn/3+E=")</f>
        <v>#REF!</v>
      </c>
      <c r="HS180" t="e">
        <f>AND(#REF!,"AAAAAHn/3+I=")</f>
        <v>#REF!</v>
      </c>
      <c r="HT180" t="e">
        <f>AND(#REF!,"AAAAAHn/3+M=")</f>
        <v>#REF!</v>
      </c>
      <c r="HU180" t="e">
        <f>AND(#REF!,"AAAAAHn/3+Q=")</f>
        <v>#REF!</v>
      </c>
      <c r="HV180" t="e">
        <f>AND(#REF!,"AAAAAHn/3+U=")</f>
        <v>#REF!</v>
      </c>
      <c r="HW180" t="e">
        <f>AND(#REF!,"AAAAAHn/3+Y=")</f>
        <v>#REF!</v>
      </c>
      <c r="HX180" t="e">
        <f>AND(#REF!,"AAAAAHn/3+c=")</f>
        <v>#REF!</v>
      </c>
      <c r="HY180" t="e">
        <f>AND(#REF!,"AAAAAHn/3+g=")</f>
        <v>#REF!</v>
      </c>
      <c r="HZ180" t="e">
        <f>AND(#REF!,"AAAAAHn/3+k=")</f>
        <v>#REF!</v>
      </c>
      <c r="IA180" t="e">
        <f>AND(#REF!,"AAAAAHn/3+o=")</f>
        <v>#REF!</v>
      </c>
      <c r="IB180" t="e">
        <f>AND(#REF!,"AAAAAHn/3+s=")</f>
        <v>#REF!</v>
      </c>
      <c r="IC180" t="e">
        <f>AND(#REF!,"AAAAAHn/3+w=")</f>
        <v>#REF!</v>
      </c>
      <c r="ID180" t="e">
        <f>AND(#REF!,"AAAAAHn/3+0=")</f>
        <v>#REF!</v>
      </c>
      <c r="IE180" t="e">
        <f>AND(#REF!,"AAAAAHn/3+4=")</f>
        <v>#REF!</v>
      </c>
      <c r="IF180" t="e">
        <f>AND(#REF!,"AAAAAHn/3+8=")</f>
        <v>#REF!</v>
      </c>
      <c r="IG180" t="e">
        <f>AND(#REF!,"AAAAAHn/3/A=")</f>
        <v>#REF!</v>
      </c>
      <c r="IH180" t="e">
        <f>AND(#REF!,"AAAAAHn/3/E=")</f>
        <v>#REF!</v>
      </c>
      <c r="II180" t="e">
        <f>AND(#REF!,"AAAAAHn/3/I=")</f>
        <v>#REF!</v>
      </c>
      <c r="IJ180" t="e">
        <f>AND(#REF!,"AAAAAHn/3/M=")</f>
        <v>#REF!</v>
      </c>
      <c r="IK180" t="e">
        <f>AND(#REF!,"AAAAAHn/3/Q=")</f>
        <v>#REF!</v>
      </c>
      <c r="IL180" t="e">
        <f>AND(#REF!,"AAAAAHn/3/U=")</f>
        <v>#REF!</v>
      </c>
      <c r="IM180" t="e">
        <f>AND(#REF!,"AAAAAHn/3/Y=")</f>
        <v>#REF!</v>
      </c>
      <c r="IN180" t="e">
        <f>AND(#REF!,"AAAAAHn/3/c=")</f>
        <v>#REF!</v>
      </c>
      <c r="IO180" t="e">
        <f>AND(#REF!,"AAAAAHn/3/g=")</f>
        <v>#REF!</v>
      </c>
      <c r="IP180" t="e">
        <f>AND(#REF!,"AAAAAHn/3/k=")</f>
        <v>#REF!</v>
      </c>
      <c r="IQ180" t="e">
        <f>IF(#REF!,"AAAAAHn/3/o=",0)</f>
        <v>#REF!</v>
      </c>
      <c r="IR180" t="e">
        <f>AND(#REF!,"AAAAAHn/3/s=")</f>
        <v>#REF!</v>
      </c>
      <c r="IS180" t="e">
        <f>AND(#REF!,"AAAAAHn/3/w=")</f>
        <v>#REF!</v>
      </c>
      <c r="IT180" t="e">
        <f>AND(#REF!,"AAAAAHn/3/0=")</f>
        <v>#REF!</v>
      </c>
      <c r="IU180" t="e">
        <f>AND(#REF!,"AAAAAHn/3/4=")</f>
        <v>#REF!</v>
      </c>
      <c r="IV180" t="e">
        <f>AND(#REF!,"AAAAAHn/3/8=")</f>
        <v>#REF!</v>
      </c>
    </row>
    <row r="181" spans="1:256" x14ac:dyDescent="0.25">
      <c r="A181" t="e">
        <f>AND(#REF!,"AAAAAH6GfwA=")</f>
        <v>#REF!</v>
      </c>
      <c r="B181" t="e">
        <f>AND(#REF!,"AAAAAH6GfwE=")</f>
        <v>#REF!</v>
      </c>
      <c r="C181" t="e">
        <f>AND(#REF!,"AAAAAH6GfwI=")</f>
        <v>#REF!</v>
      </c>
      <c r="D181" t="e">
        <f>AND(#REF!,"AAAAAH6GfwM=")</f>
        <v>#REF!</v>
      </c>
      <c r="E181" t="e">
        <f>AND(#REF!,"AAAAAH6GfwQ=")</f>
        <v>#REF!</v>
      </c>
      <c r="F181" t="e">
        <f>AND(#REF!,"AAAAAH6GfwU=")</f>
        <v>#REF!</v>
      </c>
      <c r="G181" t="e">
        <f>AND(#REF!,"AAAAAH6GfwY=")</f>
        <v>#REF!</v>
      </c>
      <c r="H181" t="e">
        <f>AND(#REF!,"AAAAAH6Gfwc=")</f>
        <v>#REF!</v>
      </c>
      <c r="I181" t="e">
        <f>AND(#REF!,"AAAAAH6Gfwg=")</f>
        <v>#REF!</v>
      </c>
      <c r="J181" t="e">
        <f>AND(#REF!,"AAAAAH6Gfwk=")</f>
        <v>#REF!</v>
      </c>
      <c r="K181" t="e">
        <f>AND(#REF!,"AAAAAH6Gfwo=")</f>
        <v>#REF!</v>
      </c>
      <c r="L181" t="e">
        <f>AND(#REF!,"AAAAAH6Gfws=")</f>
        <v>#REF!</v>
      </c>
      <c r="M181" t="e">
        <f>AND(#REF!,"AAAAAH6Gfww=")</f>
        <v>#REF!</v>
      </c>
      <c r="N181" t="e">
        <f>AND(#REF!,"AAAAAH6Gfw0=")</f>
        <v>#REF!</v>
      </c>
      <c r="O181" t="e">
        <f>AND(#REF!,"AAAAAH6Gfw4=")</f>
        <v>#REF!</v>
      </c>
      <c r="P181" t="e">
        <f>AND(#REF!,"AAAAAH6Gfw8=")</f>
        <v>#REF!</v>
      </c>
      <c r="Q181" t="e">
        <f>AND(#REF!,"AAAAAH6GfxA=")</f>
        <v>#REF!</v>
      </c>
      <c r="R181" t="e">
        <f>AND(#REF!,"AAAAAH6GfxE=")</f>
        <v>#REF!</v>
      </c>
      <c r="S181" t="e">
        <f>AND(#REF!,"AAAAAH6GfxI=")</f>
        <v>#REF!</v>
      </c>
      <c r="T181" t="e">
        <f>AND(#REF!,"AAAAAH6GfxM=")</f>
        <v>#REF!</v>
      </c>
      <c r="U181" t="e">
        <f>AND(#REF!,"AAAAAH6GfxQ=")</f>
        <v>#REF!</v>
      </c>
      <c r="V181" t="e">
        <f>AND(#REF!,"AAAAAH6GfxU=")</f>
        <v>#REF!</v>
      </c>
      <c r="W181" t="e">
        <f>AND(#REF!,"AAAAAH6GfxY=")</f>
        <v>#REF!</v>
      </c>
      <c r="X181" t="e">
        <f>AND(#REF!,"AAAAAH6Gfxc=")</f>
        <v>#REF!</v>
      </c>
      <c r="Y181" t="e">
        <f>AND(#REF!,"AAAAAH6Gfxg=")</f>
        <v>#REF!</v>
      </c>
      <c r="Z181" t="e">
        <f>AND(#REF!,"AAAAAH6Gfxk=")</f>
        <v>#REF!</v>
      </c>
      <c r="AA181" t="e">
        <f>AND(#REF!,"AAAAAH6Gfxo=")</f>
        <v>#REF!</v>
      </c>
      <c r="AB181" t="e">
        <f>AND(#REF!,"AAAAAH6Gfxs=")</f>
        <v>#REF!</v>
      </c>
      <c r="AC181" t="e">
        <f>AND(#REF!,"AAAAAH6Gfxw=")</f>
        <v>#REF!</v>
      </c>
      <c r="AD181" t="e">
        <f>AND(#REF!,"AAAAAH6Gfx0=")</f>
        <v>#REF!</v>
      </c>
      <c r="AE181" t="e">
        <f>AND(#REF!,"AAAAAH6Gfx4=")</f>
        <v>#REF!</v>
      </c>
      <c r="AF181" t="e">
        <f>AND(#REF!,"AAAAAH6Gfx8=")</f>
        <v>#REF!</v>
      </c>
      <c r="AG181" t="e">
        <f>AND(#REF!,"AAAAAH6GfyA=")</f>
        <v>#REF!</v>
      </c>
      <c r="AH181" t="e">
        <f>AND(#REF!,"AAAAAH6GfyE=")</f>
        <v>#REF!</v>
      </c>
      <c r="AI181" t="e">
        <f>AND(#REF!,"AAAAAH6GfyI=")</f>
        <v>#REF!</v>
      </c>
      <c r="AJ181" t="e">
        <f>AND(#REF!,"AAAAAH6GfyM=")</f>
        <v>#REF!</v>
      </c>
      <c r="AK181" t="e">
        <f>AND(#REF!,"AAAAAH6GfyQ=")</f>
        <v>#REF!</v>
      </c>
      <c r="AL181" t="e">
        <f>AND(#REF!,"AAAAAH6GfyU=")</f>
        <v>#REF!</v>
      </c>
      <c r="AM181" t="e">
        <f>AND(#REF!,"AAAAAH6GfyY=")</f>
        <v>#REF!</v>
      </c>
      <c r="AN181" t="e">
        <f>AND(#REF!,"AAAAAH6Gfyc=")</f>
        <v>#REF!</v>
      </c>
      <c r="AO181" t="e">
        <f>AND(#REF!,"AAAAAH6Gfyg=")</f>
        <v>#REF!</v>
      </c>
      <c r="AP181" t="e">
        <f>AND(#REF!,"AAAAAH6Gfyk=")</f>
        <v>#REF!</v>
      </c>
      <c r="AQ181" t="e">
        <f>AND(#REF!,"AAAAAH6Gfyo=")</f>
        <v>#REF!</v>
      </c>
      <c r="AR181" t="e">
        <f>AND(#REF!,"AAAAAH6Gfys=")</f>
        <v>#REF!</v>
      </c>
      <c r="AS181" t="e">
        <f>AND(#REF!,"AAAAAH6Gfyw=")</f>
        <v>#REF!</v>
      </c>
      <c r="AT181" t="e">
        <f>AND(#REF!,"AAAAAH6Gfy0=")</f>
        <v>#REF!</v>
      </c>
      <c r="AU181" t="e">
        <f>AND(#REF!,"AAAAAH6Gfy4=")</f>
        <v>#REF!</v>
      </c>
      <c r="AV181" t="e">
        <f>AND(#REF!,"AAAAAH6Gfy8=")</f>
        <v>#REF!</v>
      </c>
      <c r="AW181" t="e">
        <f>AND(#REF!,"AAAAAH6GfzA=")</f>
        <v>#REF!</v>
      </c>
      <c r="AX181" t="e">
        <f>AND(#REF!,"AAAAAH6GfzE=")</f>
        <v>#REF!</v>
      </c>
      <c r="AY181" t="e">
        <f>AND(#REF!,"AAAAAH6GfzI=")</f>
        <v>#REF!</v>
      </c>
      <c r="AZ181" t="e">
        <f>AND(#REF!,"AAAAAH6GfzM=")</f>
        <v>#REF!</v>
      </c>
      <c r="BA181" t="e">
        <f>AND(#REF!,"AAAAAH6GfzQ=")</f>
        <v>#REF!</v>
      </c>
      <c r="BB181" t="e">
        <f>AND(#REF!,"AAAAAH6GfzU=")</f>
        <v>#REF!</v>
      </c>
      <c r="BC181" t="e">
        <f>AND(#REF!,"AAAAAH6GfzY=")</f>
        <v>#REF!</v>
      </c>
      <c r="BD181" t="e">
        <f>AND(#REF!,"AAAAAH6Gfzc=")</f>
        <v>#REF!</v>
      </c>
      <c r="BE181" t="e">
        <f>AND(#REF!,"AAAAAH6Gfzg=")</f>
        <v>#REF!</v>
      </c>
      <c r="BF181" t="e">
        <f>AND(#REF!,"AAAAAH6Gfzk=")</f>
        <v>#REF!</v>
      </c>
      <c r="BG181" t="e">
        <f>AND(#REF!,"AAAAAH6Gfzo=")</f>
        <v>#REF!</v>
      </c>
      <c r="BH181" t="e">
        <f>AND(#REF!,"AAAAAH6Gfzs=")</f>
        <v>#REF!</v>
      </c>
      <c r="BI181" t="e">
        <f>AND(#REF!,"AAAAAH6Gfzw=")</f>
        <v>#REF!</v>
      </c>
      <c r="BJ181" t="e">
        <f>AND(#REF!,"AAAAAH6Gfz0=")</f>
        <v>#REF!</v>
      </c>
      <c r="BK181" t="e">
        <f>AND(#REF!,"AAAAAH6Gfz4=")</f>
        <v>#REF!</v>
      </c>
      <c r="BL181" t="e">
        <f>IF(#REF!,"AAAAAH6Gfz8=",0)</f>
        <v>#REF!</v>
      </c>
      <c r="BM181" t="e">
        <f>AND(#REF!,"AAAAAH6Gf0A=")</f>
        <v>#REF!</v>
      </c>
      <c r="BN181" t="e">
        <f>AND(#REF!,"AAAAAH6Gf0E=")</f>
        <v>#REF!</v>
      </c>
      <c r="BO181" t="e">
        <f>AND(#REF!,"AAAAAH6Gf0I=")</f>
        <v>#REF!</v>
      </c>
      <c r="BP181" t="e">
        <f>AND(#REF!,"AAAAAH6Gf0M=")</f>
        <v>#REF!</v>
      </c>
      <c r="BQ181" t="e">
        <f>AND(#REF!,"AAAAAH6Gf0Q=")</f>
        <v>#REF!</v>
      </c>
      <c r="BR181" t="e">
        <f>AND(#REF!,"AAAAAH6Gf0U=")</f>
        <v>#REF!</v>
      </c>
      <c r="BS181" t="e">
        <f>AND(#REF!,"AAAAAH6Gf0Y=")</f>
        <v>#REF!</v>
      </c>
      <c r="BT181" t="e">
        <f>AND(#REF!,"AAAAAH6Gf0c=")</f>
        <v>#REF!</v>
      </c>
      <c r="BU181" t="e">
        <f>AND(#REF!,"AAAAAH6Gf0g=")</f>
        <v>#REF!</v>
      </c>
      <c r="BV181" t="e">
        <f>AND(#REF!,"AAAAAH6Gf0k=")</f>
        <v>#REF!</v>
      </c>
      <c r="BW181" t="e">
        <f>AND(#REF!,"AAAAAH6Gf0o=")</f>
        <v>#REF!</v>
      </c>
      <c r="BX181" t="e">
        <f>AND(#REF!,"AAAAAH6Gf0s=")</f>
        <v>#REF!</v>
      </c>
      <c r="BY181" t="e">
        <f>AND(#REF!,"AAAAAH6Gf0w=")</f>
        <v>#REF!</v>
      </c>
      <c r="BZ181" t="e">
        <f>AND(#REF!,"AAAAAH6Gf00=")</f>
        <v>#REF!</v>
      </c>
      <c r="CA181" t="e">
        <f>AND(#REF!,"AAAAAH6Gf04=")</f>
        <v>#REF!</v>
      </c>
      <c r="CB181" t="e">
        <f>AND(#REF!,"AAAAAH6Gf08=")</f>
        <v>#REF!</v>
      </c>
      <c r="CC181" t="e">
        <f>AND(#REF!,"AAAAAH6Gf1A=")</f>
        <v>#REF!</v>
      </c>
      <c r="CD181" t="e">
        <f>AND(#REF!,"AAAAAH6Gf1E=")</f>
        <v>#REF!</v>
      </c>
      <c r="CE181" t="e">
        <f>AND(#REF!,"AAAAAH6Gf1I=")</f>
        <v>#REF!</v>
      </c>
      <c r="CF181" t="e">
        <f>AND(#REF!,"AAAAAH6Gf1M=")</f>
        <v>#REF!</v>
      </c>
      <c r="CG181" t="e">
        <f>AND(#REF!,"AAAAAH6Gf1Q=")</f>
        <v>#REF!</v>
      </c>
      <c r="CH181" t="e">
        <f>AND(#REF!,"AAAAAH6Gf1U=")</f>
        <v>#REF!</v>
      </c>
      <c r="CI181" t="e">
        <f>AND(#REF!,"AAAAAH6Gf1Y=")</f>
        <v>#REF!</v>
      </c>
      <c r="CJ181" t="e">
        <f>AND(#REF!,"AAAAAH6Gf1c=")</f>
        <v>#REF!</v>
      </c>
      <c r="CK181" t="e">
        <f>AND(#REF!,"AAAAAH6Gf1g=")</f>
        <v>#REF!</v>
      </c>
      <c r="CL181" t="e">
        <f>AND(#REF!,"AAAAAH6Gf1k=")</f>
        <v>#REF!</v>
      </c>
      <c r="CM181" t="e">
        <f>AND(#REF!,"AAAAAH6Gf1o=")</f>
        <v>#REF!</v>
      </c>
      <c r="CN181" t="e">
        <f>AND(#REF!,"AAAAAH6Gf1s=")</f>
        <v>#REF!</v>
      </c>
      <c r="CO181" t="e">
        <f>AND(#REF!,"AAAAAH6Gf1w=")</f>
        <v>#REF!</v>
      </c>
      <c r="CP181" t="e">
        <f>AND(#REF!,"AAAAAH6Gf10=")</f>
        <v>#REF!</v>
      </c>
      <c r="CQ181" t="e">
        <f>AND(#REF!,"AAAAAH6Gf14=")</f>
        <v>#REF!</v>
      </c>
      <c r="CR181" t="e">
        <f>AND(#REF!,"AAAAAH6Gf18=")</f>
        <v>#REF!</v>
      </c>
      <c r="CS181" t="e">
        <f>AND(#REF!,"AAAAAH6Gf2A=")</f>
        <v>#REF!</v>
      </c>
      <c r="CT181" t="e">
        <f>AND(#REF!,"AAAAAH6Gf2E=")</f>
        <v>#REF!</v>
      </c>
      <c r="CU181" t="e">
        <f>AND(#REF!,"AAAAAH6Gf2I=")</f>
        <v>#REF!</v>
      </c>
      <c r="CV181" t="e">
        <f>AND(#REF!,"AAAAAH6Gf2M=")</f>
        <v>#REF!</v>
      </c>
      <c r="CW181" t="e">
        <f>AND(#REF!,"AAAAAH6Gf2Q=")</f>
        <v>#REF!</v>
      </c>
      <c r="CX181" t="e">
        <f>AND(#REF!,"AAAAAH6Gf2U=")</f>
        <v>#REF!</v>
      </c>
      <c r="CY181" t="e">
        <f>AND(#REF!,"AAAAAH6Gf2Y=")</f>
        <v>#REF!</v>
      </c>
      <c r="CZ181" t="e">
        <f>AND(#REF!,"AAAAAH6Gf2c=")</f>
        <v>#REF!</v>
      </c>
      <c r="DA181" t="e">
        <f>AND(#REF!,"AAAAAH6Gf2g=")</f>
        <v>#REF!</v>
      </c>
      <c r="DB181" t="e">
        <f>AND(#REF!,"AAAAAH6Gf2k=")</f>
        <v>#REF!</v>
      </c>
      <c r="DC181" t="e">
        <f>AND(#REF!,"AAAAAH6Gf2o=")</f>
        <v>#REF!</v>
      </c>
      <c r="DD181" t="e">
        <f>AND(#REF!,"AAAAAH6Gf2s=")</f>
        <v>#REF!</v>
      </c>
      <c r="DE181" t="e">
        <f>AND(#REF!,"AAAAAH6Gf2w=")</f>
        <v>#REF!</v>
      </c>
      <c r="DF181" t="e">
        <f>AND(#REF!,"AAAAAH6Gf20=")</f>
        <v>#REF!</v>
      </c>
      <c r="DG181" t="e">
        <f>AND(#REF!,"AAAAAH6Gf24=")</f>
        <v>#REF!</v>
      </c>
      <c r="DH181" t="e">
        <f>AND(#REF!,"AAAAAH6Gf28=")</f>
        <v>#REF!</v>
      </c>
      <c r="DI181" t="e">
        <f>AND(#REF!,"AAAAAH6Gf3A=")</f>
        <v>#REF!</v>
      </c>
      <c r="DJ181" t="e">
        <f>AND(#REF!,"AAAAAH6Gf3E=")</f>
        <v>#REF!</v>
      </c>
      <c r="DK181" t="e">
        <f>AND(#REF!,"AAAAAH6Gf3I=")</f>
        <v>#REF!</v>
      </c>
      <c r="DL181" t="e">
        <f>AND(#REF!,"AAAAAH6Gf3M=")</f>
        <v>#REF!</v>
      </c>
      <c r="DM181" t="e">
        <f>AND(#REF!,"AAAAAH6Gf3Q=")</f>
        <v>#REF!</v>
      </c>
      <c r="DN181" t="e">
        <f>AND(#REF!,"AAAAAH6Gf3U=")</f>
        <v>#REF!</v>
      </c>
      <c r="DO181" t="e">
        <f>AND(#REF!,"AAAAAH6Gf3Y=")</f>
        <v>#REF!</v>
      </c>
      <c r="DP181" t="e">
        <f>AND(#REF!,"AAAAAH6Gf3c=")</f>
        <v>#REF!</v>
      </c>
      <c r="DQ181" t="e">
        <f>AND(#REF!,"AAAAAH6Gf3g=")</f>
        <v>#REF!</v>
      </c>
      <c r="DR181" t="e">
        <f>AND(#REF!,"AAAAAH6Gf3k=")</f>
        <v>#REF!</v>
      </c>
      <c r="DS181" t="e">
        <f>AND(#REF!,"AAAAAH6Gf3o=")</f>
        <v>#REF!</v>
      </c>
      <c r="DT181" t="e">
        <f>AND(#REF!,"AAAAAH6Gf3s=")</f>
        <v>#REF!</v>
      </c>
      <c r="DU181" t="e">
        <f>AND(#REF!,"AAAAAH6Gf3w=")</f>
        <v>#REF!</v>
      </c>
      <c r="DV181" t="e">
        <f>AND(#REF!,"AAAAAH6Gf30=")</f>
        <v>#REF!</v>
      </c>
      <c r="DW181" t="e">
        <f>AND(#REF!,"AAAAAH6Gf34=")</f>
        <v>#REF!</v>
      </c>
      <c r="DX181" t="e">
        <f>AND(#REF!,"AAAAAH6Gf38=")</f>
        <v>#REF!</v>
      </c>
      <c r="DY181" t="e">
        <f>AND(#REF!,"AAAAAH6Gf4A=")</f>
        <v>#REF!</v>
      </c>
      <c r="DZ181" t="e">
        <f>AND(#REF!,"AAAAAH6Gf4E=")</f>
        <v>#REF!</v>
      </c>
      <c r="EA181" t="e">
        <f>AND(#REF!,"AAAAAH6Gf4I=")</f>
        <v>#REF!</v>
      </c>
      <c r="EB181" t="e">
        <f>AND(#REF!,"AAAAAH6Gf4M=")</f>
        <v>#REF!</v>
      </c>
      <c r="EC181" t="e">
        <f>IF(#REF!,"AAAAAH6Gf4Q=",0)</f>
        <v>#REF!</v>
      </c>
      <c r="ED181" t="e">
        <f>AND(#REF!,"AAAAAH6Gf4U=")</f>
        <v>#REF!</v>
      </c>
      <c r="EE181" t="e">
        <f>AND(#REF!,"AAAAAH6Gf4Y=")</f>
        <v>#REF!</v>
      </c>
      <c r="EF181" t="e">
        <f>AND(#REF!,"AAAAAH6Gf4c=")</f>
        <v>#REF!</v>
      </c>
      <c r="EG181" t="e">
        <f>AND(#REF!,"AAAAAH6Gf4g=")</f>
        <v>#REF!</v>
      </c>
      <c r="EH181" t="e">
        <f>AND(#REF!,"AAAAAH6Gf4k=")</f>
        <v>#REF!</v>
      </c>
      <c r="EI181" t="e">
        <f>AND(#REF!,"AAAAAH6Gf4o=")</f>
        <v>#REF!</v>
      </c>
      <c r="EJ181" t="e">
        <f>AND(#REF!,"AAAAAH6Gf4s=")</f>
        <v>#REF!</v>
      </c>
      <c r="EK181" t="e">
        <f>AND(#REF!,"AAAAAH6Gf4w=")</f>
        <v>#REF!</v>
      </c>
      <c r="EL181" t="e">
        <f>AND(#REF!,"AAAAAH6Gf40=")</f>
        <v>#REF!</v>
      </c>
      <c r="EM181" t="e">
        <f>AND(#REF!,"AAAAAH6Gf44=")</f>
        <v>#REF!</v>
      </c>
      <c r="EN181" t="e">
        <f>AND(#REF!,"AAAAAH6Gf48=")</f>
        <v>#REF!</v>
      </c>
      <c r="EO181" t="e">
        <f>AND(#REF!,"AAAAAH6Gf5A=")</f>
        <v>#REF!</v>
      </c>
      <c r="EP181" t="e">
        <f>AND(#REF!,"AAAAAH6Gf5E=")</f>
        <v>#REF!</v>
      </c>
      <c r="EQ181" t="e">
        <f>AND(#REF!,"AAAAAH6Gf5I=")</f>
        <v>#REF!</v>
      </c>
      <c r="ER181" t="e">
        <f>AND(#REF!,"AAAAAH6Gf5M=")</f>
        <v>#REF!</v>
      </c>
      <c r="ES181" t="e">
        <f>AND(#REF!,"AAAAAH6Gf5Q=")</f>
        <v>#REF!</v>
      </c>
      <c r="ET181" t="e">
        <f>AND(#REF!,"AAAAAH6Gf5U=")</f>
        <v>#REF!</v>
      </c>
      <c r="EU181" t="e">
        <f>AND(#REF!,"AAAAAH6Gf5Y=")</f>
        <v>#REF!</v>
      </c>
      <c r="EV181" t="e">
        <f>AND(#REF!,"AAAAAH6Gf5c=")</f>
        <v>#REF!</v>
      </c>
      <c r="EW181" t="e">
        <f>AND(#REF!,"AAAAAH6Gf5g=")</f>
        <v>#REF!</v>
      </c>
      <c r="EX181" t="e">
        <f>AND(#REF!,"AAAAAH6Gf5k=")</f>
        <v>#REF!</v>
      </c>
      <c r="EY181" t="e">
        <f>AND(#REF!,"AAAAAH6Gf5o=")</f>
        <v>#REF!</v>
      </c>
      <c r="EZ181" t="e">
        <f>AND(#REF!,"AAAAAH6Gf5s=")</f>
        <v>#REF!</v>
      </c>
      <c r="FA181" t="e">
        <f>AND(#REF!,"AAAAAH6Gf5w=")</f>
        <v>#REF!</v>
      </c>
      <c r="FB181" t="e">
        <f>AND(#REF!,"AAAAAH6Gf50=")</f>
        <v>#REF!</v>
      </c>
      <c r="FC181" t="e">
        <f>AND(#REF!,"AAAAAH6Gf54=")</f>
        <v>#REF!</v>
      </c>
      <c r="FD181" t="e">
        <f>AND(#REF!,"AAAAAH6Gf58=")</f>
        <v>#REF!</v>
      </c>
      <c r="FE181" t="e">
        <f>AND(#REF!,"AAAAAH6Gf6A=")</f>
        <v>#REF!</v>
      </c>
      <c r="FF181" t="e">
        <f>AND(#REF!,"AAAAAH6Gf6E=")</f>
        <v>#REF!</v>
      </c>
      <c r="FG181" t="e">
        <f>AND(#REF!,"AAAAAH6Gf6I=")</f>
        <v>#REF!</v>
      </c>
      <c r="FH181" t="e">
        <f>AND(#REF!,"AAAAAH6Gf6M=")</f>
        <v>#REF!</v>
      </c>
      <c r="FI181" t="e">
        <f>AND(#REF!,"AAAAAH6Gf6Q=")</f>
        <v>#REF!</v>
      </c>
      <c r="FJ181" t="e">
        <f>AND(#REF!,"AAAAAH6Gf6U=")</f>
        <v>#REF!</v>
      </c>
      <c r="FK181" t="e">
        <f>AND(#REF!,"AAAAAH6Gf6Y=")</f>
        <v>#REF!</v>
      </c>
      <c r="FL181" t="e">
        <f>AND(#REF!,"AAAAAH6Gf6c=")</f>
        <v>#REF!</v>
      </c>
      <c r="FM181" t="e">
        <f>AND(#REF!,"AAAAAH6Gf6g=")</f>
        <v>#REF!</v>
      </c>
      <c r="FN181" t="e">
        <f>AND(#REF!,"AAAAAH6Gf6k=")</f>
        <v>#REF!</v>
      </c>
      <c r="FO181" t="e">
        <f>AND(#REF!,"AAAAAH6Gf6o=")</f>
        <v>#REF!</v>
      </c>
      <c r="FP181" t="e">
        <f>AND(#REF!,"AAAAAH6Gf6s=")</f>
        <v>#REF!</v>
      </c>
      <c r="FQ181" t="e">
        <f>AND(#REF!,"AAAAAH6Gf6w=")</f>
        <v>#REF!</v>
      </c>
      <c r="FR181" t="e">
        <f>AND(#REF!,"AAAAAH6Gf60=")</f>
        <v>#REF!</v>
      </c>
      <c r="FS181" t="e">
        <f>AND(#REF!,"AAAAAH6Gf64=")</f>
        <v>#REF!</v>
      </c>
      <c r="FT181" t="e">
        <f>AND(#REF!,"AAAAAH6Gf68=")</f>
        <v>#REF!</v>
      </c>
      <c r="FU181" t="e">
        <f>AND(#REF!,"AAAAAH6Gf7A=")</f>
        <v>#REF!</v>
      </c>
      <c r="FV181" t="e">
        <f>AND(#REF!,"AAAAAH6Gf7E=")</f>
        <v>#REF!</v>
      </c>
      <c r="FW181" t="e">
        <f>AND(#REF!,"AAAAAH6Gf7I=")</f>
        <v>#REF!</v>
      </c>
      <c r="FX181" t="e">
        <f>AND(#REF!,"AAAAAH6Gf7M=")</f>
        <v>#REF!</v>
      </c>
      <c r="FY181" t="e">
        <f>AND(#REF!,"AAAAAH6Gf7Q=")</f>
        <v>#REF!</v>
      </c>
      <c r="FZ181" t="e">
        <f>AND(#REF!,"AAAAAH6Gf7U=")</f>
        <v>#REF!</v>
      </c>
      <c r="GA181" t="e">
        <f>AND(#REF!,"AAAAAH6Gf7Y=")</f>
        <v>#REF!</v>
      </c>
      <c r="GB181" t="e">
        <f>AND(#REF!,"AAAAAH6Gf7c=")</f>
        <v>#REF!</v>
      </c>
      <c r="GC181" t="e">
        <f>AND(#REF!,"AAAAAH6Gf7g=")</f>
        <v>#REF!</v>
      </c>
      <c r="GD181" t="e">
        <f>AND(#REF!,"AAAAAH6Gf7k=")</f>
        <v>#REF!</v>
      </c>
      <c r="GE181" t="e">
        <f>AND(#REF!,"AAAAAH6Gf7o=")</f>
        <v>#REF!</v>
      </c>
      <c r="GF181" t="e">
        <f>AND(#REF!,"AAAAAH6Gf7s=")</f>
        <v>#REF!</v>
      </c>
      <c r="GG181" t="e">
        <f>AND(#REF!,"AAAAAH6Gf7w=")</f>
        <v>#REF!</v>
      </c>
      <c r="GH181" t="e">
        <f>AND(#REF!,"AAAAAH6Gf70=")</f>
        <v>#REF!</v>
      </c>
      <c r="GI181" t="e">
        <f>AND(#REF!,"AAAAAH6Gf74=")</f>
        <v>#REF!</v>
      </c>
      <c r="GJ181" t="e">
        <f>AND(#REF!,"AAAAAH6Gf78=")</f>
        <v>#REF!</v>
      </c>
      <c r="GK181" t="e">
        <f>AND(#REF!,"AAAAAH6Gf8A=")</f>
        <v>#REF!</v>
      </c>
      <c r="GL181" t="e">
        <f>AND(#REF!,"AAAAAH6Gf8E=")</f>
        <v>#REF!</v>
      </c>
      <c r="GM181" t="e">
        <f>AND(#REF!,"AAAAAH6Gf8I=")</f>
        <v>#REF!</v>
      </c>
      <c r="GN181" t="e">
        <f>AND(#REF!,"AAAAAH6Gf8M=")</f>
        <v>#REF!</v>
      </c>
      <c r="GO181" t="e">
        <f>AND(#REF!,"AAAAAH6Gf8Q=")</f>
        <v>#REF!</v>
      </c>
      <c r="GP181" t="e">
        <f>AND(#REF!,"AAAAAH6Gf8U=")</f>
        <v>#REF!</v>
      </c>
      <c r="GQ181" t="e">
        <f>AND(#REF!,"AAAAAH6Gf8Y=")</f>
        <v>#REF!</v>
      </c>
      <c r="GR181" t="e">
        <f>AND(#REF!,"AAAAAH6Gf8c=")</f>
        <v>#REF!</v>
      </c>
      <c r="GS181" t="e">
        <f>AND(#REF!,"AAAAAH6Gf8g=")</f>
        <v>#REF!</v>
      </c>
      <c r="GT181" t="e">
        <f>IF(#REF!,"AAAAAH6Gf8k=",0)</f>
        <v>#REF!</v>
      </c>
      <c r="GU181" t="e">
        <f>AND(#REF!,"AAAAAH6Gf8o=")</f>
        <v>#REF!</v>
      </c>
      <c r="GV181" t="e">
        <f>AND(#REF!,"AAAAAH6Gf8s=")</f>
        <v>#REF!</v>
      </c>
      <c r="GW181" t="e">
        <f>AND(#REF!,"AAAAAH6Gf8w=")</f>
        <v>#REF!</v>
      </c>
      <c r="GX181" t="e">
        <f>AND(#REF!,"AAAAAH6Gf80=")</f>
        <v>#REF!</v>
      </c>
      <c r="GY181" t="e">
        <f>AND(#REF!,"AAAAAH6Gf84=")</f>
        <v>#REF!</v>
      </c>
      <c r="GZ181" t="e">
        <f>AND(#REF!,"AAAAAH6Gf88=")</f>
        <v>#REF!</v>
      </c>
      <c r="HA181" t="e">
        <f>AND(#REF!,"AAAAAH6Gf9A=")</f>
        <v>#REF!</v>
      </c>
      <c r="HB181" t="e">
        <f>AND(#REF!,"AAAAAH6Gf9E=")</f>
        <v>#REF!</v>
      </c>
      <c r="HC181" t="e">
        <f>AND(#REF!,"AAAAAH6Gf9I=")</f>
        <v>#REF!</v>
      </c>
      <c r="HD181" t="e">
        <f>AND(#REF!,"AAAAAH6Gf9M=")</f>
        <v>#REF!</v>
      </c>
      <c r="HE181" t="e">
        <f>AND(#REF!,"AAAAAH6Gf9Q=")</f>
        <v>#REF!</v>
      </c>
      <c r="HF181" t="e">
        <f>AND(#REF!,"AAAAAH6Gf9U=")</f>
        <v>#REF!</v>
      </c>
      <c r="HG181" t="e">
        <f>AND(#REF!,"AAAAAH6Gf9Y=")</f>
        <v>#REF!</v>
      </c>
      <c r="HH181" t="e">
        <f>AND(#REF!,"AAAAAH6Gf9c=")</f>
        <v>#REF!</v>
      </c>
      <c r="HI181" t="e">
        <f>AND(#REF!,"AAAAAH6Gf9g=")</f>
        <v>#REF!</v>
      </c>
      <c r="HJ181" t="e">
        <f>AND(#REF!,"AAAAAH6Gf9k=")</f>
        <v>#REF!</v>
      </c>
      <c r="HK181" t="e">
        <f>AND(#REF!,"AAAAAH6Gf9o=")</f>
        <v>#REF!</v>
      </c>
      <c r="HL181" t="e">
        <f>AND(#REF!,"AAAAAH6Gf9s=")</f>
        <v>#REF!</v>
      </c>
      <c r="HM181" t="e">
        <f>AND(#REF!,"AAAAAH6Gf9w=")</f>
        <v>#REF!</v>
      </c>
      <c r="HN181" t="e">
        <f>AND(#REF!,"AAAAAH6Gf90=")</f>
        <v>#REF!</v>
      </c>
      <c r="HO181" t="e">
        <f>AND(#REF!,"AAAAAH6Gf94=")</f>
        <v>#REF!</v>
      </c>
      <c r="HP181" t="e">
        <f>AND(#REF!,"AAAAAH6Gf98=")</f>
        <v>#REF!</v>
      </c>
      <c r="HQ181" t="e">
        <f>AND(#REF!,"AAAAAH6Gf+A=")</f>
        <v>#REF!</v>
      </c>
      <c r="HR181" t="e">
        <f>AND(#REF!,"AAAAAH6Gf+E=")</f>
        <v>#REF!</v>
      </c>
      <c r="HS181" t="e">
        <f>AND(#REF!,"AAAAAH6Gf+I=")</f>
        <v>#REF!</v>
      </c>
      <c r="HT181" t="e">
        <f>AND(#REF!,"AAAAAH6Gf+M=")</f>
        <v>#REF!</v>
      </c>
      <c r="HU181" t="e">
        <f>AND(#REF!,"AAAAAH6Gf+Q=")</f>
        <v>#REF!</v>
      </c>
      <c r="HV181" t="e">
        <f>AND(#REF!,"AAAAAH6Gf+U=")</f>
        <v>#REF!</v>
      </c>
      <c r="HW181" t="e">
        <f>AND(#REF!,"AAAAAH6Gf+Y=")</f>
        <v>#REF!</v>
      </c>
      <c r="HX181" t="e">
        <f>AND(#REF!,"AAAAAH6Gf+c=")</f>
        <v>#REF!</v>
      </c>
      <c r="HY181" t="e">
        <f>AND(#REF!,"AAAAAH6Gf+g=")</f>
        <v>#REF!</v>
      </c>
      <c r="HZ181" t="e">
        <f>AND(#REF!,"AAAAAH6Gf+k=")</f>
        <v>#REF!</v>
      </c>
      <c r="IA181" t="e">
        <f>AND(#REF!,"AAAAAH6Gf+o=")</f>
        <v>#REF!</v>
      </c>
      <c r="IB181" t="e">
        <f>AND(#REF!,"AAAAAH6Gf+s=")</f>
        <v>#REF!</v>
      </c>
      <c r="IC181" t="e">
        <f>AND(#REF!,"AAAAAH6Gf+w=")</f>
        <v>#REF!</v>
      </c>
      <c r="ID181" t="e">
        <f>AND(#REF!,"AAAAAH6Gf+0=")</f>
        <v>#REF!</v>
      </c>
      <c r="IE181" t="e">
        <f>AND(#REF!,"AAAAAH6Gf+4=")</f>
        <v>#REF!</v>
      </c>
      <c r="IF181" t="e">
        <f>AND(#REF!,"AAAAAH6Gf+8=")</f>
        <v>#REF!</v>
      </c>
      <c r="IG181" t="e">
        <f>AND(#REF!,"AAAAAH6Gf/A=")</f>
        <v>#REF!</v>
      </c>
      <c r="IH181" t="e">
        <f>AND(#REF!,"AAAAAH6Gf/E=")</f>
        <v>#REF!</v>
      </c>
      <c r="II181" t="e">
        <f>AND(#REF!,"AAAAAH6Gf/I=")</f>
        <v>#REF!</v>
      </c>
      <c r="IJ181" t="e">
        <f>AND(#REF!,"AAAAAH6Gf/M=")</f>
        <v>#REF!</v>
      </c>
      <c r="IK181" t="e">
        <f>AND(#REF!,"AAAAAH6Gf/Q=")</f>
        <v>#REF!</v>
      </c>
      <c r="IL181" t="e">
        <f>AND(#REF!,"AAAAAH6Gf/U=")</f>
        <v>#REF!</v>
      </c>
      <c r="IM181" t="e">
        <f>AND(#REF!,"AAAAAH6Gf/Y=")</f>
        <v>#REF!</v>
      </c>
      <c r="IN181" t="e">
        <f>AND(#REF!,"AAAAAH6Gf/c=")</f>
        <v>#REF!</v>
      </c>
      <c r="IO181" t="e">
        <f>AND(#REF!,"AAAAAH6Gf/g=")</f>
        <v>#REF!</v>
      </c>
      <c r="IP181" t="e">
        <f>AND(#REF!,"AAAAAH6Gf/k=")</f>
        <v>#REF!</v>
      </c>
      <c r="IQ181" t="e">
        <f>AND(#REF!,"AAAAAH6Gf/o=")</f>
        <v>#REF!</v>
      </c>
      <c r="IR181" t="e">
        <f>AND(#REF!,"AAAAAH6Gf/s=")</f>
        <v>#REF!</v>
      </c>
      <c r="IS181" t="e">
        <f>AND(#REF!,"AAAAAH6Gf/w=")</f>
        <v>#REF!</v>
      </c>
      <c r="IT181" t="e">
        <f>AND(#REF!,"AAAAAH6Gf/0=")</f>
        <v>#REF!</v>
      </c>
      <c r="IU181" t="e">
        <f>AND(#REF!,"AAAAAH6Gf/4=")</f>
        <v>#REF!</v>
      </c>
      <c r="IV181" t="e">
        <f>AND(#REF!,"AAAAAH6Gf/8=")</f>
        <v>#REF!</v>
      </c>
    </row>
    <row r="182" spans="1:256" x14ac:dyDescent="0.25">
      <c r="A182" t="e">
        <f>AND(#REF!,"AAAAAHvH9wA=")</f>
        <v>#REF!</v>
      </c>
      <c r="B182" t="e">
        <f>AND(#REF!,"AAAAAHvH9wE=")</f>
        <v>#REF!</v>
      </c>
      <c r="C182" t="e">
        <f>AND(#REF!,"AAAAAHvH9wI=")</f>
        <v>#REF!</v>
      </c>
      <c r="D182" t="e">
        <f>AND(#REF!,"AAAAAHvH9wM=")</f>
        <v>#REF!</v>
      </c>
      <c r="E182" t="e">
        <f>AND(#REF!,"AAAAAHvH9wQ=")</f>
        <v>#REF!</v>
      </c>
      <c r="F182" t="e">
        <f>AND(#REF!,"AAAAAHvH9wU=")</f>
        <v>#REF!</v>
      </c>
      <c r="G182" t="e">
        <f>AND(#REF!,"AAAAAHvH9wY=")</f>
        <v>#REF!</v>
      </c>
      <c r="H182" t="e">
        <f>AND(#REF!,"AAAAAHvH9wc=")</f>
        <v>#REF!</v>
      </c>
      <c r="I182" t="e">
        <f>AND(#REF!,"AAAAAHvH9wg=")</f>
        <v>#REF!</v>
      </c>
      <c r="J182" t="e">
        <f>AND(#REF!,"AAAAAHvH9wk=")</f>
        <v>#REF!</v>
      </c>
      <c r="K182" t="e">
        <f>AND(#REF!,"AAAAAHvH9wo=")</f>
        <v>#REF!</v>
      </c>
      <c r="L182" t="e">
        <f>AND(#REF!,"AAAAAHvH9ws=")</f>
        <v>#REF!</v>
      </c>
      <c r="M182" t="e">
        <f>AND(#REF!,"AAAAAHvH9ww=")</f>
        <v>#REF!</v>
      </c>
      <c r="N182" t="e">
        <f>AND(#REF!,"AAAAAHvH9w0=")</f>
        <v>#REF!</v>
      </c>
      <c r="O182" t="e">
        <f>IF(#REF!,"AAAAAHvH9w4=",0)</f>
        <v>#REF!</v>
      </c>
      <c r="P182" t="e">
        <f>AND(#REF!,"AAAAAHvH9w8=")</f>
        <v>#REF!</v>
      </c>
      <c r="Q182" t="e">
        <f>AND(#REF!,"AAAAAHvH9xA=")</f>
        <v>#REF!</v>
      </c>
      <c r="R182" t="e">
        <f>AND(#REF!,"AAAAAHvH9xE=")</f>
        <v>#REF!</v>
      </c>
      <c r="S182" t="e">
        <f>AND(#REF!,"AAAAAHvH9xI=")</f>
        <v>#REF!</v>
      </c>
      <c r="T182" t="e">
        <f>AND(#REF!,"AAAAAHvH9xM=")</f>
        <v>#REF!</v>
      </c>
      <c r="U182" t="e">
        <f>AND(#REF!,"AAAAAHvH9xQ=")</f>
        <v>#REF!</v>
      </c>
      <c r="V182" t="e">
        <f>AND(#REF!,"AAAAAHvH9xU=")</f>
        <v>#REF!</v>
      </c>
      <c r="W182" t="e">
        <f>AND(#REF!,"AAAAAHvH9xY=")</f>
        <v>#REF!</v>
      </c>
      <c r="X182" t="e">
        <f>AND(#REF!,"AAAAAHvH9xc=")</f>
        <v>#REF!</v>
      </c>
      <c r="Y182" t="e">
        <f>AND(#REF!,"AAAAAHvH9xg=")</f>
        <v>#REF!</v>
      </c>
      <c r="Z182" t="e">
        <f>AND(#REF!,"AAAAAHvH9xk=")</f>
        <v>#REF!</v>
      </c>
      <c r="AA182" t="e">
        <f>AND(#REF!,"AAAAAHvH9xo=")</f>
        <v>#REF!</v>
      </c>
      <c r="AB182" t="e">
        <f>AND(#REF!,"AAAAAHvH9xs=")</f>
        <v>#REF!</v>
      </c>
      <c r="AC182" t="e">
        <f>AND(#REF!,"AAAAAHvH9xw=")</f>
        <v>#REF!</v>
      </c>
      <c r="AD182" t="e">
        <f>AND(#REF!,"AAAAAHvH9x0=")</f>
        <v>#REF!</v>
      </c>
      <c r="AE182" t="e">
        <f>AND(#REF!,"AAAAAHvH9x4=")</f>
        <v>#REF!</v>
      </c>
      <c r="AF182" t="e">
        <f>AND(#REF!,"AAAAAHvH9x8=")</f>
        <v>#REF!</v>
      </c>
      <c r="AG182" t="e">
        <f>AND(#REF!,"AAAAAHvH9yA=")</f>
        <v>#REF!</v>
      </c>
      <c r="AH182" t="e">
        <f>AND(#REF!,"AAAAAHvH9yE=")</f>
        <v>#REF!</v>
      </c>
      <c r="AI182" t="e">
        <f>AND(#REF!,"AAAAAHvH9yI=")</f>
        <v>#REF!</v>
      </c>
      <c r="AJ182" t="e">
        <f>AND(#REF!,"AAAAAHvH9yM=")</f>
        <v>#REF!</v>
      </c>
      <c r="AK182" t="e">
        <f>AND(#REF!,"AAAAAHvH9yQ=")</f>
        <v>#REF!</v>
      </c>
      <c r="AL182" t="e">
        <f>AND(#REF!,"AAAAAHvH9yU=")</f>
        <v>#REF!</v>
      </c>
      <c r="AM182" t="e">
        <f>AND(#REF!,"AAAAAHvH9yY=")</f>
        <v>#REF!</v>
      </c>
      <c r="AN182" t="e">
        <f>AND(#REF!,"AAAAAHvH9yc=")</f>
        <v>#REF!</v>
      </c>
      <c r="AO182" t="e">
        <f>AND(#REF!,"AAAAAHvH9yg=")</f>
        <v>#REF!</v>
      </c>
      <c r="AP182" t="e">
        <f>AND(#REF!,"AAAAAHvH9yk=")</f>
        <v>#REF!</v>
      </c>
      <c r="AQ182" t="e">
        <f>AND(#REF!,"AAAAAHvH9yo=")</f>
        <v>#REF!</v>
      </c>
      <c r="AR182" t="e">
        <f>AND(#REF!,"AAAAAHvH9ys=")</f>
        <v>#REF!</v>
      </c>
      <c r="AS182" t="e">
        <f>AND(#REF!,"AAAAAHvH9yw=")</f>
        <v>#REF!</v>
      </c>
      <c r="AT182" t="e">
        <f>AND(#REF!,"AAAAAHvH9y0=")</f>
        <v>#REF!</v>
      </c>
      <c r="AU182" t="e">
        <f>AND(#REF!,"AAAAAHvH9y4=")</f>
        <v>#REF!</v>
      </c>
      <c r="AV182" t="e">
        <f>AND(#REF!,"AAAAAHvH9y8=")</f>
        <v>#REF!</v>
      </c>
      <c r="AW182" t="e">
        <f>AND(#REF!,"AAAAAHvH9zA=")</f>
        <v>#REF!</v>
      </c>
      <c r="AX182" t="e">
        <f>AND(#REF!,"AAAAAHvH9zE=")</f>
        <v>#REF!</v>
      </c>
      <c r="AY182" t="e">
        <f>AND(#REF!,"AAAAAHvH9zI=")</f>
        <v>#REF!</v>
      </c>
      <c r="AZ182" t="e">
        <f>AND(#REF!,"AAAAAHvH9zM=")</f>
        <v>#REF!</v>
      </c>
      <c r="BA182" t="e">
        <f>AND(#REF!,"AAAAAHvH9zQ=")</f>
        <v>#REF!</v>
      </c>
      <c r="BB182" t="e">
        <f>AND(#REF!,"AAAAAHvH9zU=")</f>
        <v>#REF!</v>
      </c>
      <c r="BC182" t="e">
        <f>AND(#REF!,"AAAAAHvH9zY=")</f>
        <v>#REF!</v>
      </c>
      <c r="BD182" t="e">
        <f>AND(#REF!,"AAAAAHvH9zc=")</f>
        <v>#REF!</v>
      </c>
      <c r="BE182" t="e">
        <f>AND(#REF!,"AAAAAHvH9zg=")</f>
        <v>#REF!</v>
      </c>
      <c r="BF182" t="e">
        <f>AND(#REF!,"AAAAAHvH9zk=")</f>
        <v>#REF!</v>
      </c>
      <c r="BG182" t="e">
        <f>AND(#REF!,"AAAAAHvH9zo=")</f>
        <v>#REF!</v>
      </c>
      <c r="BH182" t="e">
        <f>AND(#REF!,"AAAAAHvH9zs=")</f>
        <v>#REF!</v>
      </c>
      <c r="BI182" t="e">
        <f>AND(#REF!,"AAAAAHvH9zw=")</f>
        <v>#REF!</v>
      </c>
      <c r="BJ182" t="e">
        <f>AND(#REF!,"AAAAAHvH9z0=")</f>
        <v>#REF!</v>
      </c>
      <c r="BK182" t="e">
        <f>AND(#REF!,"AAAAAHvH9z4=")</f>
        <v>#REF!</v>
      </c>
      <c r="BL182" t="e">
        <f>AND(#REF!,"AAAAAHvH9z8=")</f>
        <v>#REF!</v>
      </c>
      <c r="BM182" t="e">
        <f>AND(#REF!,"AAAAAHvH90A=")</f>
        <v>#REF!</v>
      </c>
      <c r="BN182" t="e">
        <f>AND(#REF!,"AAAAAHvH90E=")</f>
        <v>#REF!</v>
      </c>
      <c r="BO182" t="e">
        <f>AND(#REF!,"AAAAAHvH90I=")</f>
        <v>#REF!</v>
      </c>
      <c r="BP182" t="e">
        <f>AND(#REF!,"AAAAAHvH90M=")</f>
        <v>#REF!</v>
      </c>
      <c r="BQ182" t="e">
        <f>AND(#REF!,"AAAAAHvH90Q=")</f>
        <v>#REF!</v>
      </c>
      <c r="BR182" t="e">
        <f>AND(#REF!,"AAAAAHvH90U=")</f>
        <v>#REF!</v>
      </c>
      <c r="BS182" t="e">
        <f>AND(#REF!,"AAAAAHvH90Y=")</f>
        <v>#REF!</v>
      </c>
      <c r="BT182" t="e">
        <f>AND(#REF!,"AAAAAHvH90c=")</f>
        <v>#REF!</v>
      </c>
      <c r="BU182" t="e">
        <f>AND(#REF!,"AAAAAHvH90g=")</f>
        <v>#REF!</v>
      </c>
      <c r="BV182" t="e">
        <f>AND(#REF!,"AAAAAHvH90k=")</f>
        <v>#REF!</v>
      </c>
      <c r="BW182" t="e">
        <f>AND(#REF!,"AAAAAHvH90o=")</f>
        <v>#REF!</v>
      </c>
      <c r="BX182" t="e">
        <f>AND(#REF!,"AAAAAHvH90s=")</f>
        <v>#REF!</v>
      </c>
      <c r="BY182" t="e">
        <f>AND(#REF!,"AAAAAHvH90w=")</f>
        <v>#REF!</v>
      </c>
      <c r="BZ182" t="e">
        <f>AND(#REF!,"AAAAAHvH900=")</f>
        <v>#REF!</v>
      </c>
      <c r="CA182" t="e">
        <f>AND(#REF!,"AAAAAHvH904=")</f>
        <v>#REF!</v>
      </c>
      <c r="CB182" t="e">
        <f>AND(#REF!,"AAAAAHvH908=")</f>
        <v>#REF!</v>
      </c>
      <c r="CC182" t="e">
        <f>AND(#REF!,"AAAAAHvH91A=")</f>
        <v>#REF!</v>
      </c>
      <c r="CD182" t="e">
        <f>AND(#REF!,"AAAAAHvH91E=")</f>
        <v>#REF!</v>
      </c>
      <c r="CE182" t="e">
        <f>AND(#REF!,"AAAAAHvH91I=")</f>
        <v>#REF!</v>
      </c>
      <c r="CF182" t="e">
        <f>IF(#REF!,"AAAAAHvH91M=",0)</f>
        <v>#REF!</v>
      </c>
      <c r="CG182" t="e">
        <f>AND(#REF!,"AAAAAHvH91Q=")</f>
        <v>#REF!</v>
      </c>
      <c r="CH182" t="e">
        <f>AND(#REF!,"AAAAAHvH91U=")</f>
        <v>#REF!</v>
      </c>
      <c r="CI182" t="e">
        <f>AND(#REF!,"AAAAAHvH91Y=")</f>
        <v>#REF!</v>
      </c>
      <c r="CJ182" t="e">
        <f>AND(#REF!,"AAAAAHvH91c=")</f>
        <v>#REF!</v>
      </c>
      <c r="CK182" t="e">
        <f>AND(#REF!,"AAAAAHvH91g=")</f>
        <v>#REF!</v>
      </c>
      <c r="CL182" t="e">
        <f>AND(#REF!,"AAAAAHvH91k=")</f>
        <v>#REF!</v>
      </c>
      <c r="CM182" t="e">
        <f>AND(#REF!,"AAAAAHvH91o=")</f>
        <v>#REF!</v>
      </c>
      <c r="CN182" t="e">
        <f>AND(#REF!,"AAAAAHvH91s=")</f>
        <v>#REF!</v>
      </c>
      <c r="CO182" t="e">
        <f>AND(#REF!,"AAAAAHvH91w=")</f>
        <v>#REF!</v>
      </c>
      <c r="CP182" t="e">
        <f>AND(#REF!,"AAAAAHvH910=")</f>
        <v>#REF!</v>
      </c>
      <c r="CQ182" t="e">
        <f>AND(#REF!,"AAAAAHvH914=")</f>
        <v>#REF!</v>
      </c>
      <c r="CR182" t="e">
        <f>AND(#REF!,"AAAAAHvH918=")</f>
        <v>#REF!</v>
      </c>
      <c r="CS182" t="e">
        <f>AND(#REF!,"AAAAAHvH92A=")</f>
        <v>#REF!</v>
      </c>
      <c r="CT182" t="e">
        <f>AND(#REF!,"AAAAAHvH92E=")</f>
        <v>#REF!</v>
      </c>
      <c r="CU182" t="e">
        <f>AND(#REF!,"AAAAAHvH92I=")</f>
        <v>#REF!</v>
      </c>
      <c r="CV182" t="e">
        <f>AND(#REF!,"AAAAAHvH92M=")</f>
        <v>#REF!</v>
      </c>
      <c r="CW182" t="e">
        <f>AND(#REF!,"AAAAAHvH92Q=")</f>
        <v>#REF!</v>
      </c>
      <c r="CX182" t="e">
        <f>AND(#REF!,"AAAAAHvH92U=")</f>
        <v>#REF!</v>
      </c>
      <c r="CY182" t="e">
        <f>AND(#REF!,"AAAAAHvH92Y=")</f>
        <v>#REF!</v>
      </c>
      <c r="CZ182" t="e">
        <f>AND(#REF!,"AAAAAHvH92c=")</f>
        <v>#REF!</v>
      </c>
      <c r="DA182" t="e">
        <f>AND(#REF!,"AAAAAHvH92g=")</f>
        <v>#REF!</v>
      </c>
      <c r="DB182" t="e">
        <f>AND(#REF!,"AAAAAHvH92k=")</f>
        <v>#REF!</v>
      </c>
      <c r="DC182" t="e">
        <f>AND(#REF!,"AAAAAHvH92o=")</f>
        <v>#REF!</v>
      </c>
      <c r="DD182" t="e">
        <f>AND(#REF!,"AAAAAHvH92s=")</f>
        <v>#REF!</v>
      </c>
      <c r="DE182" t="e">
        <f>AND(#REF!,"AAAAAHvH92w=")</f>
        <v>#REF!</v>
      </c>
      <c r="DF182" t="e">
        <f>AND(#REF!,"AAAAAHvH920=")</f>
        <v>#REF!</v>
      </c>
      <c r="DG182" t="e">
        <f>AND(#REF!,"AAAAAHvH924=")</f>
        <v>#REF!</v>
      </c>
      <c r="DH182" t="e">
        <f>AND(#REF!,"AAAAAHvH928=")</f>
        <v>#REF!</v>
      </c>
      <c r="DI182" t="e">
        <f>AND(#REF!,"AAAAAHvH93A=")</f>
        <v>#REF!</v>
      </c>
      <c r="DJ182" t="e">
        <f>AND(#REF!,"AAAAAHvH93E=")</f>
        <v>#REF!</v>
      </c>
      <c r="DK182" t="e">
        <f>AND(#REF!,"AAAAAHvH93I=")</f>
        <v>#REF!</v>
      </c>
      <c r="DL182" t="e">
        <f>AND(#REF!,"AAAAAHvH93M=")</f>
        <v>#REF!</v>
      </c>
      <c r="DM182" t="e">
        <f>AND(#REF!,"AAAAAHvH93Q=")</f>
        <v>#REF!</v>
      </c>
      <c r="DN182" t="e">
        <f>AND(#REF!,"AAAAAHvH93U=")</f>
        <v>#REF!</v>
      </c>
      <c r="DO182" t="e">
        <f>AND(#REF!,"AAAAAHvH93Y=")</f>
        <v>#REF!</v>
      </c>
      <c r="DP182" t="e">
        <f>AND(#REF!,"AAAAAHvH93c=")</f>
        <v>#REF!</v>
      </c>
      <c r="DQ182" t="e">
        <f>AND(#REF!,"AAAAAHvH93g=")</f>
        <v>#REF!</v>
      </c>
      <c r="DR182" t="e">
        <f>AND(#REF!,"AAAAAHvH93k=")</f>
        <v>#REF!</v>
      </c>
      <c r="DS182" t="e">
        <f>AND(#REF!,"AAAAAHvH93o=")</f>
        <v>#REF!</v>
      </c>
      <c r="DT182" t="e">
        <f>AND(#REF!,"AAAAAHvH93s=")</f>
        <v>#REF!</v>
      </c>
      <c r="DU182" t="e">
        <f>AND(#REF!,"AAAAAHvH93w=")</f>
        <v>#REF!</v>
      </c>
      <c r="DV182" t="e">
        <f>AND(#REF!,"AAAAAHvH930=")</f>
        <v>#REF!</v>
      </c>
      <c r="DW182" t="e">
        <f>AND(#REF!,"AAAAAHvH934=")</f>
        <v>#REF!</v>
      </c>
      <c r="DX182" t="e">
        <f>AND(#REF!,"AAAAAHvH938=")</f>
        <v>#REF!</v>
      </c>
      <c r="DY182" t="e">
        <f>AND(#REF!,"AAAAAHvH94A=")</f>
        <v>#REF!</v>
      </c>
      <c r="DZ182" t="e">
        <f>AND(#REF!,"AAAAAHvH94E=")</f>
        <v>#REF!</v>
      </c>
      <c r="EA182" t="e">
        <f>AND(#REF!,"AAAAAHvH94I=")</f>
        <v>#REF!</v>
      </c>
      <c r="EB182" t="e">
        <f>AND(#REF!,"AAAAAHvH94M=")</f>
        <v>#REF!</v>
      </c>
      <c r="EC182" t="e">
        <f>AND(#REF!,"AAAAAHvH94Q=")</f>
        <v>#REF!</v>
      </c>
      <c r="ED182" t="e">
        <f>AND(#REF!,"AAAAAHvH94U=")</f>
        <v>#REF!</v>
      </c>
      <c r="EE182" t="e">
        <f>AND(#REF!,"AAAAAHvH94Y=")</f>
        <v>#REF!</v>
      </c>
      <c r="EF182" t="e">
        <f>AND(#REF!,"AAAAAHvH94c=")</f>
        <v>#REF!</v>
      </c>
      <c r="EG182" t="e">
        <f>AND(#REF!,"AAAAAHvH94g=")</f>
        <v>#REF!</v>
      </c>
      <c r="EH182" t="e">
        <f>AND(#REF!,"AAAAAHvH94k=")</f>
        <v>#REF!</v>
      </c>
      <c r="EI182" t="e">
        <f>AND(#REF!,"AAAAAHvH94o=")</f>
        <v>#REF!</v>
      </c>
      <c r="EJ182" t="e">
        <f>AND(#REF!,"AAAAAHvH94s=")</f>
        <v>#REF!</v>
      </c>
      <c r="EK182" t="e">
        <f>AND(#REF!,"AAAAAHvH94w=")</f>
        <v>#REF!</v>
      </c>
      <c r="EL182" t="e">
        <f>AND(#REF!,"AAAAAHvH940=")</f>
        <v>#REF!</v>
      </c>
      <c r="EM182" t="e">
        <f>AND(#REF!,"AAAAAHvH944=")</f>
        <v>#REF!</v>
      </c>
      <c r="EN182" t="e">
        <f>AND(#REF!,"AAAAAHvH948=")</f>
        <v>#REF!</v>
      </c>
      <c r="EO182" t="e">
        <f>AND(#REF!,"AAAAAHvH95A=")</f>
        <v>#REF!</v>
      </c>
      <c r="EP182" t="e">
        <f>AND(#REF!,"AAAAAHvH95E=")</f>
        <v>#REF!</v>
      </c>
      <c r="EQ182" t="e">
        <f>AND(#REF!,"AAAAAHvH95I=")</f>
        <v>#REF!</v>
      </c>
      <c r="ER182" t="e">
        <f>AND(#REF!,"AAAAAHvH95M=")</f>
        <v>#REF!</v>
      </c>
      <c r="ES182" t="e">
        <f>AND(#REF!,"AAAAAHvH95Q=")</f>
        <v>#REF!</v>
      </c>
      <c r="ET182" t="e">
        <f>AND(#REF!,"AAAAAHvH95U=")</f>
        <v>#REF!</v>
      </c>
      <c r="EU182" t="e">
        <f>AND(#REF!,"AAAAAHvH95Y=")</f>
        <v>#REF!</v>
      </c>
      <c r="EV182" t="e">
        <f>AND(#REF!,"AAAAAHvH95c=")</f>
        <v>#REF!</v>
      </c>
      <c r="EW182" t="e">
        <f>IF(#REF!,"AAAAAHvH95g=",0)</f>
        <v>#REF!</v>
      </c>
      <c r="EX182" t="e">
        <f>AND(#REF!,"AAAAAHvH95k=")</f>
        <v>#REF!</v>
      </c>
      <c r="EY182" t="e">
        <f>AND(#REF!,"AAAAAHvH95o=")</f>
        <v>#REF!</v>
      </c>
      <c r="EZ182" t="e">
        <f>AND(#REF!,"AAAAAHvH95s=")</f>
        <v>#REF!</v>
      </c>
      <c r="FA182" t="e">
        <f>AND(#REF!,"AAAAAHvH95w=")</f>
        <v>#REF!</v>
      </c>
      <c r="FB182" t="e">
        <f>AND(#REF!,"AAAAAHvH950=")</f>
        <v>#REF!</v>
      </c>
      <c r="FC182" t="e">
        <f>AND(#REF!,"AAAAAHvH954=")</f>
        <v>#REF!</v>
      </c>
      <c r="FD182" t="e">
        <f>AND(#REF!,"AAAAAHvH958=")</f>
        <v>#REF!</v>
      </c>
      <c r="FE182" t="e">
        <f>AND(#REF!,"AAAAAHvH96A=")</f>
        <v>#REF!</v>
      </c>
      <c r="FF182" t="e">
        <f>AND(#REF!,"AAAAAHvH96E=")</f>
        <v>#REF!</v>
      </c>
      <c r="FG182" t="e">
        <f>AND(#REF!,"AAAAAHvH96I=")</f>
        <v>#REF!</v>
      </c>
      <c r="FH182" t="e">
        <f>AND(#REF!,"AAAAAHvH96M=")</f>
        <v>#REF!</v>
      </c>
      <c r="FI182" t="e">
        <f>AND(#REF!,"AAAAAHvH96Q=")</f>
        <v>#REF!</v>
      </c>
      <c r="FJ182" t="e">
        <f>AND(#REF!,"AAAAAHvH96U=")</f>
        <v>#REF!</v>
      </c>
      <c r="FK182" t="e">
        <f>AND(#REF!,"AAAAAHvH96Y=")</f>
        <v>#REF!</v>
      </c>
      <c r="FL182" t="e">
        <f>AND(#REF!,"AAAAAHvH96c=")</f>
        <v>#REF!</v>
      </c>
      <c r="FM182" t="e">
        <f>AND(#REF!,"AAAAAHvH96g=")</f>
        <v>#REF!</v>
      </c>
      <c r="FN182" t="e">
        <f>AND(#REF!,"AAAAAHvH96k=")</f>
        <v>#REF!</v>
      </c>
      <c r="FO182" t="e">
        <f>AND(#REF!,"AAAAAHvH96o=")</f>
        <v>#REF!</v>
      </c>
      <c r="FP182" t="e">
        <f>AND(#REF!,"AAAAAHvH96s=")</f>
        <v>#REF!</v>
      </c>
      <c r="FQ182" t="e">
        <f>AND(#REF!,"AAAAAHvH96w=")</f>
        <v>#REF!</v>
      </c>
      <c r="FR182" t="e">
        <f>AND(#REF!,"AAAAAHvH960=")</f>
        <v>#REF!</v>
      </c>
      <c r="FS182" t="e">
        <f>AND(#REF!,"AAAAAHvH964=")</f>
        <v>#REF!</v>
      </c>
      <c r="FT182" t="e">
        <f>AND(#REF!,"AAAAAHvH968=")</f>
        <v>#REF!</v>
      </c>
      <c r="FU182" t="e">
        <f>AND(#REF!,"AAAAAHvH97A=")</f>
        <v>#REF!</v>
      </c>
      <c r="FV182" t="e">
        <f>AND(#REF!,"AAAAAHvH97E=")</f>
        <v>#REF!</v>
      </c>
      <c r="FW182" t="e">
        <f>AND(#REF!,"AAAAAHvH97I=")</f>
        <v>#REF!</v>
      </c>
      <c r="FX182" t="e">
        <f>AND(#REF!,"AAAAAHvH97M=")</f>
        <v>#REF!</v>
      </c>
      <c r="FY182" t="e">
        <f>AND(#REF!,"AAAAAHvH97Q=")</f>
        <v>#REF!</v>
      </c>
      <c r="FZ182" t="e">
        <f>AND(#REF!,"AAAAAHvH97U=")</f>
        <v>#REF!</v>
      </c>
      <c r="GA182" t="e">
        <f>AND(#REF!,"AAAAAHvH97Y=")</f>
        <v>#REF!</v>
      </c>
      <c r="GB182" t="e">
        <f>AND(#REF!,"AAAAAHvH97c=")</f>
        <v>#REF!</v>
      </c>
      <c r="GC182" t="e">
        <f>AND(#REF!,"AAAAAHvH97g=")</f>
        <v>#REF!</v>
      </c>
      <c r="GD182" t="e">
        <f>AND(#REF!,"AAAAAHvH97k=")</f>
        <v>#REF!</v>
      </c>
      <c r="GE182" t="e">
        <f>AND(#REF!,"AAAAAHvH97o=")</f>
        <v>#REF!</v>
      </c>
      <c r="GF182" t="e">
        <f>AND(#REF!,"AAAAAHvH97s=")</f>
        <v>#REF!</v>
      </c>
      <c r="GG182" t="e">
        <f>AND(#REF!,"AAAAAHvH97w=")</f>
        <v>#REF!</v>
      </c>
      <c r="GH182" t="e">
        <f>AND(#REF!,"AAAAAHvH970=")</f>
        <v>#REF!</v>
      </c>
      <c r="GI182" t="e">
        <f>AND(#REF!,"AAAAAHvH974=")</f>
        <v>#REF!</v>
      </c>
      <c r="GJ182" t="e">
        <f>AND(#REF!,"AAAAAHvH978=")</f>
        <v>#REF!</v>
      </c>
      <c r="GK182" t="e">
        <f>AND(#REF!,"AAAAAHvH98A=")</f>
        <v>#REF!</v>
      </c>
      <c r="GL182" t="e">
        <f>AND(#REF!,"AAAAAHvH98E=")</f>
        <v>#REF!</v>
      </c>
      <c r="GM182" t="e">
        <f>AND(#REF!,"AAAAAHvH98I=")</f>
        <v>#REF!</v>
      </c>
      <c r="GN182" t="e">
        <f>AND(#REF!,"AAAAAHvH98M=")</f>
        <v>#REF!</v>
      </c>
      <c r="GO182" t="e">
        <f>AND(#REF!,"AAAAAHvH98Q=")</f>
        <v>#REF!</v>
      </c>
      <c r="GP182" t="e">
        <f>AND(#REF!,"AAAAAHvH98U=")</f>
        <v>#REF!</v>
      </c>
      <c r="GQ182" t="e">
        <f>AND(#REF!,"AAAAAHvH98Y=")</f>
        <v>#REF!</v>
      </c>
      <c r="GR182" t="e">
        <f>AND(#REF!,"AAAAAHvH98c=")</f>
        <v>#REF!</v>
      </c>
      <c r="GS182" t="e">
        <f>AND(#REF!,"AAAAAHvH98g=")</f>
        <v>#REF!</v>
      </c>
      <c r="GT182" t="e">
        <f>AND(#REF!,"AAAAAHvH98k=")</f>
        <v>#REF!</v>
      </c>
      <c r="GU182" t="e">
        <f>AND(#REF!,"AAAAAHvH98o=")</f>
        <v>#REF!</v>
      </c>
      <c r="GV182" t="e">
        <f>AND(#REF!,"AAAAAHvH98s=")</f>
        <v>#REF!</v>
      </c>
      <c r="GW182" t="e">
        <f>AND(#REF!,"AAAAAHvH98w=")</f>
        <v>#REF!</v>
      </c>
      <c r="GX182" t="e">
        <f>AND(#REF!,"AAAAAHvH980=")</f>
        <v>#REF!</v>
      </c>
      <c r="GY182" t="e">
        <f>AND(#REF!,"AAAAAHvH984=")</f>
        <v>#REF!</v>
      </c>
      <c r="GZ182" t="e">
        <f>AND(#REF!,"AAAAAHvH988=")</f>
        <v>#REF!</v>
      </c>
      <c r="HA182" t="e">
        <f>AND(#REF!,"AAAAAHvH99A=")</f>
        <v>#REF!</v>
      </c>
      <c r="HB182" t="e">
        <f>AND(#REF!,"AAAAAHvH99E=")</f>
        <v>#REF!</v>
      </c>
      <c r="HC182" t="e">
        <f>AND(#REF!,"AAAAAHvH99I=")</f>
        <v>#REF!</v>
      </c>
      <c r="HD182" t="e">
        <f>AND(#REF!,"AAAAAHvH99M=")</f>
        <v>#REF!</v>
      </c>
      <c r="HE182" t="e">
        <f>AND(#REF!,"AAAAAHvH99Q=")</f>
        <v>#REF!</v>
      </c>
      <c r="HF182" t="e">
        <f>AND(#REF!,"AAAAAHvH99U=")</f>
        <v>#REF!</v>
      </c>
      <c r="HG182" t="e">
        <f>AND(#REF!,"AAAAAHvH99Y=")</f>
        <v>#REF!</v>
      </c>
      <c r="HH182" t="e">
        <f>AND(#REF!,"AAAAAHvH99c=")</f>
        <v>#REF!</v>
      </c>
      <c r="HI182" t="e">
        <f>AND(#REF!,"AAAAAHvH99g=")</f>
        <v>#REF!</v>
      </c>
      <c r="HJ182" t="e">
        <f>AND(#REF!,"AAAAAHvH99k=")</f>
        <v>#REF!</v>
      </c>
      <c r="HK182" t="e">
        <f>AND(#REF!,"AAAAAHvH99o=")</f>
        <v>#REF!</v>
      </c>
      <c r="HL182" t="e">
        <f>AND(#REF!,"AAAAAHvH99s=")</f>
        <v>#REF!</v>
      </c>
      <c r="HM182" t="e">
        <f>AND(#REF!,"AAAAAHvH99w=")</f>
        <v>#REF!</v>
      </c>
      <c r="HN182" t="e">
        <f>IF(#REF!,"AAAAAHvH990=",0)</f>
        <v>#REF!</v>
      </c>
      <c r="HO182" t="e">
        <f>AND(#REF!,"AAAAAHvH994=")</f>
        <v>#REF!</v>
      </c>
      <c r="HP182" t="e">
        <f>AND(#REF!,"AAAAAHvH998=")</f>
        <v>#REF!</v>
      </c>
      <c r="HQ182" t="e">
        <f>AND(#REF!,"AAAAAHvH9+A=")</f>
        <v>#REF!</v>
      </c>
      <c r="HR182" t="e">
        <f>AND(#REF!,"AAAAAHvH9+E=")</f>
        <v>#REF!</v>
      </c>
      <c r="HS182" t="e">
        <f>AND(#REF!,"AAAAAHvH9+I=")</f>
        <v>#REF!</v>
      </c>
      <c r="HT182" t="e">
        <f>AND(#REF!,"AAAAAHvH9+M=")</f>
        <v>#REF!</v>
      </c>
      <c r="HU182" t="e">
        <f>AND(#REF!,"AAAAAHvH9+Q=")</f>
        <v>#REF!</v>
      </c>
      <c r="HV182" t="e">
        <f>AND(#REF!,"AAAAAHvH9+U=")</f>
        <v>#REF!</v>
      </c>
      <c r="HW182" t="e">
        <f>AND(#REF!,"AAAAAHvH9+Y=")</f>
        <v>#REF!</v>
      </c>
      <c r="HX182" t="e">
        <f>AND(#REF!,"AAAAAHvH9+c=")</f>
        <v>#REF!</v>
      </c>
      <c r="HY182" t="e">
        <f>AND(#REF!,"AAAAAHvH9+g=")</f>
        <v>#REF!</v>
      </c>
      <c r="HZ182" t="e">
        <f>AND(#REF!,"AAAAAHvH9+k=")</f>
        <v>#REF!</v>
      </c>
      <c r="IA182" t="e">
        <f>AND(#REF!,"AAAAAHvH9+o=")</f>
        <v>#REF!</v>
      </c>
      <c r="IB182" t="e">
        <f>AND(#REF!,"AAAAAHvH9+s=")</f>
        <v>#REF!</v>
      </c>
      <c r="IC182" t="e">
        <f>AND(#REF!,"AAAAAHvH9+w=")</f>
        <v>#REF!</v>
      </c>
      <c r="ID182" t="e">
        <f>AND(#REF!,"AAAAAHvH9+0=")</f>
        <v>#REF!</v>
      </c>
      <c r="IE182" t="e">
        <f>AND(#REF!,"AAAAAHvH9+4=")</f>
        <v>#REF!</v>
      </c>
      <c r="IF182" t="e">
        <f>AND(#REF!,"AAAAAHvH9+8=")</f>
        <v>#REF!</v>
      </c>
      <c r="IG182" t="e">
        <f>AND(#REF!,"AAAAAHvH9/A=")</f>
        <v>#REF!</v>
      </c>
      <c r="IH182" t="e">
        <f>AND(#REF!,"AAAAAHvH9/E=")</f>
        <v>#REF!</v>
      </c>
      <c r="II182" t="e">
        <f>AND(#REF!,"AAAAAHvH9/I=")</f>
        <v>#REF!</v>
      </c>
      <c r="IJ182" t="e">
        <f>AND(#REF!,"AAAAAHvH9/M=")</f>
        <v>#REF!</v>
      </c>
      <c r="IK182" t="e">
        <f>AND(#REF!,"AAAAAHvH9/Q=")</f>
        <v>#REF!</v>
      </c>
      <c r="IL182" t="e">
        <f>AND(#REF!,"AAAAAHvH9/U=")</f>
        <v>#REF!</v>
      </c>
      <c r="IM182" t="e">
        <f>AND(#REF!,"AAAAAHvH9/Y=")</f>
        <v>#REF!</v>
      </c>
      <c r="IN182" t="e">
        <f>AND(#REF!,"AAAAAHvH9/c=")</f>
        <v>#REF!</v>
      </c>
      <c r="IO182" t="e">
        <f>AND(#REF!,"AAAAAHvH9/g=")</f>
        <v>#REF!</v>
      </c>
      <c r="IP182" t="e">
        <f>AND(#REF!,"AAAAAHvH9/k=")</f>
        <v>#REF!</v>
      </c>
      <c r="IQ182" t="e">
        <f>AND(#REF!,"AAAAAHvH9/o=")</f>
        <v>#REF!</v>
      </c>
      <c r="IR182" t="e">
        <f>AND(#REF!,"AAAAAHvH9/s=")</f>
        <v>#REF!</v>
      </c>
      <c r="IS182" t="e">
        <f>AND(#REF!,"AAAAAHvH9/w=")</f>
        <v>#REF!</v>
      </c>
      <c r="IT182" t="e">
        <f>AND(#REF!,"AAAAAHvH9/0=")</f>
        <v>#REF!</v>
      </c>
      <c r="IU182" t="e">
        <f>AND(#REF!,"AAAAAHvH9/4=")</f>
        <v>#REF!</v>
      </c>
      <c r="IV182" t="e">
        <f>AND(#REF!,"AAAAAHvH9/8=")</f>
        <v>#REF!</v>
      </c>
    </row>
    <row r="183" spans="1:256" x14ac:dyDescent="0.25">
      <c r="A183" t="e">
        <f>AND(#REF!,"AAAAAD/N/AA=")</f>
        <v>#REF!</v>
      </c>
      <c r="B183" t="e">
        <f>AND(#REF!,"AAAAAD/N/AE=")</f>
        <v>#REF!</v>
      </c>
      <c r="C183" t="e">
        <f>AND(#REF!,"AAAAAD/N/AI=")</f>
        <v>#REF!</v>
      </c>
      <c r="D183" t="e">
        <f>AND(#REF!,"AAAAAD/N/AM=")</f>
        <v>#REF!</v>
      </c>
      <c r="E183" t="e">
        <f>AND(#REF!,"AAAAAD/N/AQ=")</f>
        <v>#REF!</v>
      </c>
      <c r="F183" t="e">
        <f>AND(#REF!,"AAAAAD/N/AU=")</f>
        <v>#REF!</v>
      </c>
      <c r="G183" t="e">
        <f>AND(#REF!,"AAAAAD/N/AY=")</f>
        <v>#REF!</v>
      </c>
      <c r="H183" t="e">
        <f>AND(#REF!,"AAAAAD/N/Ac=")</f>
        <v>#REF!</v>
      </c>
      <c r="I183" t="e">
        <f>AND(#REF!,"AAAAAD/N/Ag=")</f>
        <v>#REF!</v>
      </c>
      <c r="J183" t="e">
        <f>AND(#REF!,"AAAAAD/N/Ak=")</f>
        <v>#REF!</v>
      </c>
      <c r="K183" t="e">
        <f>AND(#REF!,"AAAAAD/N/Ao=")</f>
        <v>#REF!</v>
      </c>
      <c r="L183" t="e">
        <f>AND(#REF!,"AAAAAD/N/As=")</f>
        <v>#REF!</v>
      </c>
      <c r="M183" t="e">
        <f>AND(#REF!,"AAAAAD/N/Aw=")</f>
        <v>#REF!</v>
      </c>
      <c r="N183" t="e">
        <f>AND(#REF!,"AAAAAD/N/A0=")</f>
        <v>#REF!</v>
      </c>
      <c r="O183" t="e">
        <f>AND(#REF!,"AAAAAD/N/A4=")</f>
        <v>#REF!</v>
      </c>
      <c r="P183" t="e">
        <f>AND(#REF!,"AAAAAD/N/A8=")</f>
        <v>#REF!</v>
      </c>
      <c r="Q183" t="e">
        <f>AND(#REF!,"AAAAAD/N/BA=")</f>
        <v>#REF!</v>
      </c>
      <c r="R183" t="e">
        <f>AND(#REF!,"AAAAAD/N/BE=")</f>
        <v>#REF!</v>
      </c>
      <c r="S183" t="e">
        <f>AND(#REF!,"AAAAAD/N/BI=")</f>
        <v>#REF!</v>
      </c>
      <c r="T183" t="e">
        <f>AND(#REF!,"AAAAAD/N/BM=")</f>
        <v>#REF!</v>
      </c>
      <c r="U183" t="e">
        <f>AND(#REF!,"AAAAAD/N/BQ=")</f>
        <v>#REF!</v>
      </c>
      <c r="V183" t="e">
        <f>AND(#REF!,"AAAAAD/N/BU=")</f>
        <v>#REF!</v>
      </c>
      <c r="W183" t="e">
        <f>AND(#REF!,"AAAAAD/N/BY=")</f>
        <v>#REF!</v>
      </c>
      <c r="X183" t="e">
        <f>AND(#REF!,"AAAAAD/N/Bc=")</f>
        <v>#REF!</v>
      </c>
      <c r="Y183" t="e">
        <f>AND(#REF!,"AAAAAD/N/Bg=")</f>
        <v>#REF!</v>
      </c>
      <c r="Z183" t="e">
        <f>AND(#REF!,"AAAAAD/N/Bk=")</f>
        <v>#REF!</v>
      </c>
      <c r="AA183" t="e">
        <f>AND(#REF!,"AAAAAD/N/Bo=")</f>
        <v>#REF!</v>
      </c>
      <c r="AB183" t="e">
        <f>AND(#REF!,"AAAAAD/N/Bs=")</f>
        <v>#REF!</v>
      </c>
      <c r="AC183" t="e">
        <f>AND(#REF!,"AAAAAD/N/Bw=")</f>
        <v>#REF!</v>
      </c>
      <c r="AD183" t="e">
        <f>AND(#REF!,"AAAAAD/N/B0=")</f>
        <v>#REF!</v>
      </c>
      <c r="AE183" t="e">
        <f>AND(#REF!,"AAAAAD/N/B4=")</f>
        <v>#REF!</v>
      </c>
      <c r="AF183" t="e">
        <f>AND(#REF!,"AAAAAD/N/B8=")</f>
        <v>#REF!</v>
      </c>
      <c r="AG183" t="e">
        <f>AND(#REF!,"AAAAAD/N/CA=")</f>
        <v>#REF!</v>
      </c>
      <c r="AH183" t="e">
        <f>AND(#REF!,"AAAAAD/N/CE=")</f>
        <v>#REF!</v>
      </c>
      <c r="AI183" t="e">
        <f>IF(#REF!,"AAAAAD/N/CI=",0)</f>
        <v>#REF!</v>
      </c>
      <c r="AJ183" t="e">
        <f>AND(#REF!,"AAAAAD/N/CM=")</f>
        <v>#REF!</v>
      </c>
      <c r="AK183" t="e">
        <f>AND(#REF!,"AAAAAD/N/CQ=")</f>
        <v>#REF!</v>
      </c>
      <c r="AL183" t="e">
        <f>AND(#REF!,"AAAAAD/N/CU=")</f>
        <v>#REF!</v>
      </c>
      <c r="AM183" t="e">
        <f>AND(#REF!,"AAAAAD/N/CY=")</f>
        <v>#REF!</v>
      </c>
      <c r="AN183" t="e">
        <f>AND(#REF!,"AAAAAD/N/Cc=")</f>
        <v>#REF!</v>
      </c>
      <c r="AO183" t="e">
        <f>AND(#REF!,"AAAAAD/N/Cg=")</f>
        <v>#REF!</v>
      </c>
      <c r="AP183" t="e">
        <f>AND(#REF!,"AAAAAD/N/Ck=")</f>
        <v>#REF!</v>
      </c>
      <c r="AQ183" t="e">
        <f>AND(#REF!,"AAAAAD/N/Co=")</f>
        <v>#REF!</v>
      </c>
      <c r="AR183" t="e">
        <f>AND(#REF!,"AAAAAD/N/Cs=")</f>
        <v>#REF!</v>
      </c>
      <c r="AS183" t="e">
        <f>AND(#REF!,"AAAAAD/N/Cw=")</f>
        <v>#REF!</v>
      </c>
      <c r="AT183" t="e">
        <f>AND(#REF!,"AAAAAD/N/C0=")</f>
        <v>#REF!</v>
      </c>
      <c r="AU183" t="e">
        <f>AND(#REF!,"AAAAAD/N/C4=")</f>
        <v>#REF!</v>
      </c>
      <c r="AV183" t="e">
        <f>AND(#REF!,"AAAAAD/N/C8=")</f>
        <v>#REF!</v>
      </c>
      <c r="AW183" t="e">
        <f>AND(#REF!,"AAAAAD/N/DA=")</f>
        <v>#REF!</v>
      </c>
      <c r="AX183" t="e">
        <f>AND(#REF!,"AAAAAD/N/DE=")</f>
        <v>#REF!</v>
      </c>
      <c r="AY183" t="e">
        <f>AND(#REF!,"AAAAAD/N/DI=")</f>
        <v>#REF!</v>
      </c>
      <c r="AZ183" t="e">
        <f>AND(#REF!,"AAAAAD/N/DM=")</f>
        <v>#REF!</v>
      </c>
      <c r="BA183" t="e">
        <f>AND(#REF!,"AAAAAD/N/DQ=")</f>
        <v>#REF!</v>
      </c>
      <c r="BB183" t="e">
        <f>AND(#REF!,"AAAAAD/N/DU=")</f>
        <v>#REF!</v>
      </c>
      <c r="BC183" t="e">
        <f>AND(#REF!,"AAAAAD/N/DY=")</f>
        <v>#REF!</v>
      </c>
      <c r="BD183" t="e">
        <f>AND(#REF!,"AAAAAD/N/Dc=")</f>
        <v>#REF!</v>
      </c>
      <c r="BE183" t="e">
        <f>AND(#REF!,"AAAAAD/N/Dg=")</f>
        <v>#REF!</v>
      </c>
      <c r="BF183" t="e">
        <f>AND(#REF!,"AAAAAD/N/Dk=")</f>
        <v>#REF!</v>
      </c>
      <c r="BG183" t="e">
        <f>AND(#REF!,"AAAAAD/N/Do=")</f>
        <v>#REF!</v>
      </c>
      <c r="BH183" t="e">
        <f>AND(#REF!,"AAAAAD/N/Ds=")</f>
        <v>#REF!</v>
      </c>
      <c r="BI183" t="e">
        <f>AND(#REF!,"AAAAAD/N/Dw=")</f>
        <v>#REF!</v>
      </c>
      <c r="BJ183" t="e">
        <f>AND(#REF!,"AAAAAD/N/D0=")</f>
        <v>#REF!</v>
      </c>
      <c r="BK183" t="e">
        <f>AND(#REF!,"AAAAAD/N/D4=")</f>
        <v>#REF!</v>
      </c>
      <c r="BL183" t="e">
        <f>AND(#REF!,"AAAAAD/N/D8=")</f>
        <v>#REF!</v>
      </c>
      <c r="BM183" t="e">
        <f>AND(#REF!,"AAAAAD/N/EA=")</f>
        <v>#REF!</v>
      </c>
      <c r="BN183" t="e">
        <f>AND(#REF!,"AAAAAD/N/EE=")</f>
        <v>#REF!</v>
      </c>
      <c r="BO183" t="e">
        <f>AND(#REF!,"AAAAAD/N/EI=")</f>
        <v>#REF!</v>
      </c>
      <c r="BP183" t="e">
        <f>AND(#REF!,"AAAAAD/N/EM=")</f>
        <v>#REF!</v>
      </c>
      <c r="BQ183" t="e">
        <f>AND(#REF!,"AAAAAD/N/EQ=")</f>
        <v>#REF!</v>
      </c>
      <c r="BR183" t="e">
        <f>AND(#REF!,"AAAAAD/N/EU=")</f>
        <v>#REF!</v>
      </c>
      <c r="BS183" t="e">
        <f>AND(#REF!,"AAAAAD/N/EY=")</f>
        <v>#REF!</v>
      </c>
      <c r="BT183" t="e">
        <f>AND(#REF!,"AAAAAD/N/Ec=")</f>
        <v>#REF!</v>
      </c>
      <c r="BU183" t="e">
        <f>AND(#REF!,"AAAAAD/N/Eg=")</f>
        <v>#REF!</v>
      </c>
      <c r="BV183" t="e">
        <f>AND(#REF!,"AAAAAD/N/Ek=")</f>
        <v>#REF!</v>
      </c>
      <c r="BW183" t="e">
        <f>AND(#REF!,"AAAAAD/N/Eo=")</f>
        <v>#REF!</v>
      </c>
      <c r="BX183" t="e">
        <f>AND(#REF!,"AAAAAD/N/Es=")</f>
        <v>#REF!</v>
      </c>
      <c r="BY183" t="e">
        <f>AND(#REF!,"AAAAAD/N/Ew=")</f>
        <v>#REF!</v>
      </c>
      <c r="BZ183" t="e">
        <f>AND(#REF!,"AAAAAD/N/E0=")</f>
        <v>#REF!</v>
      </c>
      <c r="CA183" t="e">
        <f>AND(#REF!,"AAAAAD/N/E4=")</f>
        <v>#REF!</v>
      </c>
      <c r="CB183" t="e">
        <f>AND(#REF!,"AAAAAD/N/E8=")</f>
        <v>#REF!</v>
      </c>
      <c r="CC183" t="e">
        <f>AND(#REF!,"AAAAAD/N/FA=")</f>
        <v>#REF!</v>
      </c>
      <c r="CD183" t="e">
        <f>AND(#REF!,"AAAAAD/N/FE=")</f>
        <v>#REF!</v>
      </c>
      <c r="CE183" t="e">
        <f>AND(#REF!,"AAAAAD/N/FI=")</f>
        <v>#REF!</v>
      </c>
      <c r="CF183" t="e">
        <f>AND(#REF!,"AAAAAD/N/FM=")</f>
        <v>#REF!</v>
      </c>
      <c r="CG183" t="e">
        <f>AND(#REF!,"AAAAAD/N/FQ=")</f>
        <v>#REF!</v>
      </c>
      <c r="CH183" t="e">
        <f>AND(#REF!,"AAAAAD/N/FU=")</f>
        <v>#REF!</v>
      </c>
      <c r="CI183" t="e">
        <f>AND(#REF!,"AAAAAD/N/FY=")</f>
        <v>#REF!</v>
      </c>
      <c r="CJ183" t="e">
        <f>AND(#REF!,"AAAAAD/N/Fc=")</f>
        <v>#REF!</v>
      </c>
      <c r="CK183" t="e">
        <f>AND(#REF!,"AAAAAD/N/Fg=")</f>
        <v>#REF!</v>
      </c>
      <c r="CL183" t="e">
        <f>AND(#REF!,"AAAAAD/N/Fk=")</f>
        <v>#REF!</v>
      </c>
      <c r="CM183" t="e">
        <f>AND(#REF!,"AAAAAD/N/Fo=")</f>
        <v>#REF!</v>
      </c>
      <c r="CN183" t="e">
        <f>AND(#REF!,"AAAAAD/N/Fs=")</f>
        <v>#REF!</v>
      </c>
      <c r="CO183" t="e">
        <f>AND(#REF!,"AAAAAD/N/Fw=")</f>
        <v>#REF!</v>
      </c>
      <c r="CP183" t="e">
        <f>AND(#REF!,"AAAAAD/N/F0=")</f>
        <v>#REF!</v>
      </c>
      <c r="CQ183" t="e">
        <f>AND(#REF!,"AAAAAD/N/F4=")</f>
        <v>#REF!</v>
      </c>
      <c r="CR183" t="e">
        <f>AND(#REF!,"AAAAAD/N/F8=")</f>
        <v>#REF!</v>
      </c>
      <c r="CS183" t="e">
        <f>AND(#REF!,"AAAAAD/N/GA=")</f>
        <v>#REF!</v>
      </c>
      <c r="CT183" t="e">
        <f>AND(#REF!,"AAAAAD/N/GE=")</f>
        <v>#REF!</v>
      </c>
      <c r="CU183" t="e">
        <f>AND(#REF!,"AAAAAD/N/GI=")</f>
        <v>#REF!</v>
      </c>
      <c r="CV183" t="e">
        <f>AND(#REF!,"AAAAAD/N/GM=")</f>
        <v>#REF!</v>
      </c>
      <c r="CW183" t="e">
        <f>AND(#REF!,"AAAAAD/N/GQ=")</f>
        <v>#REF!</v>
      </c>
      <c r="CX183" t="e">
        <f>AND(#REF!,"AAAAAD/N/GU=")</f>
        <v>#REF!</v>
      </c>
      <c r="CY183" t="e">
        <f>AND(#REF!,"AAAAAD/N/GY=")</f>
        <v>#REF!</v>
      </c>
      <c r="CZ183" t="e">
        <f>IF(#REF!,"AAAAAD/N/Gc=",0)</f>
        <v>#REF!</v>
      </c>
      <c r="DA183" t="e">
        <f>AND(#REF!,"AAAAAD/N/Gg=")</f>
        <v>#REF!</v>
      </c>
      <c r="DB183" t="e">
        <f>AND(#REF!,"AAAAAD/N/Gk=")</f>
        <v>#REF!</v>
      </c>
      <c r="DC183" t="e">
        <f>AND(#REF!,"AAAAAD/N/Go=")</f>
        <v>#REF!</v>
      </c>
      <c r="DD183" t="e">
        <f>AND(#REF!,"AAAAAD/N/Gs=")</f>
        <v>#REF!</v>
      </c>
      <c r="DE183" t="e">
        <f>AND(#REF!,"AAAAAD/N/Gw=")</f>
        <v>#REF!</v>
      </c>
      <c r="DF183" t="e">
        <f>AND(#REF!,"AAAAAD/N/G0=")</f>
        <v>#REF!</v>
      </c>
      <c r="DG183" t="e">
        <f>AND(#REF!,"AAAAAD/N/G4=")</f>
        <v>#REF!</v>
      </c>
      <c r="DH183" t="e">
        <f>AND(#REF!,"AAAAAD/N/G8=")</f>
        <v>#REF!</v>
      </c>
      <c r="DI183" t="e">
        <f>AND(#REF!,"AAAAAD/N/HA=")</f>
        <v>#REF!</v>
      </c>
      <c r="DJ183" t="e">
        <f>AND(#REF!,"AAAAAD/N/HE=")</f>
        <v>#REF!</v>
      </c>
      <c r="DK183" t="e">
        <f>AND(#REF!,"AAAAAD/N/HI=")</f>
        <v>#REF!</v>
      </c>
      <c r="DL183" t="e">
        <f>AND(#REF!,"AAAAAD/N/HM=")</f>
        <v>#REF!</v>
      </c>
      <c r="DM183" t="e">
        <f>AND(#REF!,"AAAAAD/N/HQ=")</f>
        <v>#REF!</v>
      </c>
      <c r="DN183" t="e">
        <f>AND(#REF!,"AAAAAD/N/HU=")</f>
        <v>#REF!</v>
      </c>
      <c r="DO183" t="e">
        <f>AND(#REF!,"AAAAAD/N/HY=")</f>
        <v>#REF!</v>
      </c>
      <c r="DP183" t="e">
        <f>AND(#REF!,"AAAAAD/N/Hc=")</f>
        <v>#REF!</v>
      </c>
      <c r="DQ183" t="e">
        <f>AND(#REF!,"AAAAAD/N/Hg=")</f>
        <v>#REF!</v>
      </c>
      <c r="DR183" t="e">
        <f>AND(#REF!,"AAAAAD/N/Hk=")</f>
        <v>#REF!</v>
      </c>
      <c r="DS183" t="e">
        <f>AND(#REF!,"AAAAAD/N/Ho=")</f>
        <v>#REF!</v>
      </c>
      <c r="DT183" t="e">
        <f>AND(#REF!,"AAAAAD/N/Hs=")</f>
        <v>#REF!</v>
      </c>
      <c r="DU183" t="e">
        <f>AND(#REF!,"AAAAAD/N/Hw=")</f>
        <v>#REF!</v>
      </c>
      <c r="DV183" t="e">
        <f>AND(#REF!,"AAAAAD/N/H0=")</f>
        <v>#REF!</v>
      </c>
      <c r="DW183" t="e">
        <f>AND(#REF!,"AAAAAD/N/H4=")</f>
        <v>#REF!</v>
      </c>
      <c r="DX183" t="e">
        <f>AND(#REF!,"AAAAAD/N/H8=")</f>
        <v>#REF!</v>
      </c>
      <c r="DY183" t="e">
        <f>AND(#REF!,"AAAAAD/N/IA=")</f>
        <v>#REF!</v>
      </c>
      <c r="DZ183" t="e">
        <f>AND(#REF!,"AAAAAD/N/IE=")</f>
        <v>#REF!</v>
      </c>
      <c r="EA183" t="e">
        <f>AND(#REF!,"AAAAAD/N/II=")</f>
        <v>#REF!</v>
      </c>
      <c r="EB183" t="e">
        <f>AND(#REF!,"AAAAAD/N/IM=")</f>
        <v>#REF!</v>
      </c>
      <c r="EC183" t="e">
        <f>AND(#REF!,"AAAAAD/N/IQ=")</f>
        <v>#REF!</v>
      </c>
      <c r="ED183" t="e">
        <f>AND(#REF!,"AAAAAD/N/IU=")</f>
        <v>#REF!</v>
      </c>
      <c r="EE183" t="e">
        <f>AND(#REF!,"AAAAAD/N/IY=")</f>
        <v>#REF!</v>
      </c>
      <c r="EF183" t="e">
        <f>AND(#REF!,"AAAAAD/N/Ic=")</f>
        <v>#REF!</v>
      </c>
      <c r="EG183" t="e">
        <f>AND(#REF!,"AAAAAD/N/Ig=")</f>
        <v>#REF!</v>
      </c>
      <c r="EH183" t="e">
        <f>AND(#REF!,"AAAAAD/N/Ik=")</f>
        <v>#REF!</v>
      </c>
      <c r="EI183" t="e">
        <f>AND(#REF!,"AAAAAD/N/Io=")</f>
        <v>#REF!</v>
      </c>
      <c r="EJ183" t="e">
        <f>AND(#REF!,"AAAAAD/N/Is=")</f>
        <v>#REF!</v>
      </c>
      <c r="EK183" t="e">
        <f>AND(#REF!,"AAAAAD/N/Iw=")</f>
        <v>#REF!</v>
      </c>
      <c r="EL183" t="e">
        <f>AND(#REF!,"AAAAAD/N/I0=")</f>
        <v>#REF!</v>
      </c>
      <c r="EM183" t="e">
        <f>AND(#REF!,"AAAAAD/N/I4=")</f>
        <v>#REF!</v>
      </c>
      <c r="EN183" t="e">
        <f>AND(#REF!,"AAAAAD/N/I8=")</f>
        <v>#REF!</v>
      </c>
      <c r="EO183" t="e">
        <f>AND(#REF!,"AAAAAD/N/JA=")</f>
        <v>#REF!</v>
      </c>
      <c r="EP183" t="e">
        <f>AND(#REF!,"AAAAAD/N/JE=")</f>
        <v>#REF!</v>
      </c>
      <c r="EQ183" t="e">
        <f>AND(#REF!,"AAAAAD/N/JI=")</f>
        <v>#REF!</v>
      </c>
      <c r="ER183" t="e">
        <f>AND(#REF!,"AAAAAD/N/JM=")</f>
        <v>#REF!</v>
      </c>
      <c r="ES183" t="e">
        <f>AND(#REF!,"AAAAAD/N/JQ=")</f>
        <v>#REF!</v>
      </c>
      <c r="ET183" t="e">
        <f>AND(#REF!,"AAAAAD/N/JU=")</f>
        <v>#REF!</v>
      </c>
      <c r="EU183" t="e">
        <f>AND(#REF!,"AAAAAD/N/JY=")</f>
        <v>#REF!</v>
      </c>
      <c r="EV183" t="e">
        <f>AND(#REF!,"AAAAAD/N/Jc=")</f>
        <v>#REF!</v>
      </c>
      <c r="EW183" t="e">
        <f>AND(#REF!,"AAAAAD/N/Jg=")</f>
        <v>#REF!</v>
      </c>
      <c r="EX183" t="e">
        <f>AND(#REF!,"AAAAAD/N/Jk=")</f>
        <v>#REF!</v>
      </c>
      <c r="EY183" t="e">
        <f>AND(#REF!,"AAAAAD/N/Jo=")</f>
        <v>#REF!</v>
      </c>
      <c r="EZ183" t="e">
        <f>AND(#REF!,"AAAAAD/N/Js=")</f>
        <v>#REF!</v>
      </c>
      <c r="FA183" t="e">
        <f>AND(#REF!,"AAAAAD/N/Jw=")</f>
        <v>#REF!</v>
      </c>
      <c r="FB183" t="e">
        <f>AND(#REF!,"AAAAAD/N/J0=")</f>
        <v>#REF!</v>
      </c>
      <c r="FC183" t="e">
        <f>AND(#REF!,"AAAAAD/N/J4=")</f>
        <v>#REF!</v>
      </c>
      <c r="FD183" t="e">
        <f>AND(#REF!,"AAAAAD/N/J8=")</f>
        <v>#REF!</v>
      </c>
      <c r="FE183" t="e">
        <f>AND(#REF!,"AAAAAD/N/KA=")</f>
        <v>#REF!</v>
      </c>
      <c r="FF183" t="e">
        <f>AND(#REF!,"AAAAAD/N/KE=")</f>
        <v>#REF!</v>
      </c>
      <c r="FG183" t="e">
        <f>AND(#REF!,"AAAAAD/N/KI=")</f>
        <v>#REF!</v>
      </c>
      <c r="FH183" t="e">
        <f>AND(#REF!,"AAAAAD/N/KM=")</f>
        <v>#REF!</v>
      </c>
      <c r="FI183" t="e">
        <f>AND(#REF!,"AAAAAD/N/KQ=")</f>
        <v>#REF!</v>
      </c>
      <c r="FJ183" t="e">
        <f>AND(#REF!,"AAAAAD/N/KU=")</f>
        <v>#REF!</v>
      </c>
      <c r="FK183" t="e">
        <f>AND(#REF!,"AAAAAD/N/KY=")</f>
        <v>#REF!</v>
      </c>
      <c r="FL183" t="e">
        <f>AND(#REF!,"AAAAAD/N/Kc=")</f>
        <v>#REF!</v>
      </c>
      <c r="FM183" t="e">
        <f>AND(#REF!,"AAAAAD/N/Kg=")</f>
        <v>#REF!</v>
      </c>
      <c r="FN183" t="e">
        <f>AND(#REF!,"AAAAAD/N/Kk=")</f>
        <v>#REF!</v>
      </c>
      <c r="FO183" t="e">
        <f>AND(#REF!,"AAAAAD/N/Ko=")</f>
        <v>#REF!</v>
      </c>
      <c r="FP183" t="e">
        <f>AND(#REF!,"AAAAAD/N/Ks=")</f>
        <v>#REF!</v>
      </c>
      <c r="FQ183" t="e">
        <f>IF(#REF!,"AAAAAD/N/Kw=",0)</f>
        <v>#REF!</v>
      </c>
      <c r="FR183" t="e">
        <f>AND(#REF!,"AAAAAD/N/K0=")</f>
        <v>#REF!</v>
      </c>
      <c r="FS183" t="e">
        <f>AND(#REF!,"AAAAAD/N/K4=")</f>
        <v>#REF!</v>
      </c>
      <c r="FT183" t="e">
        <f>AND(#REF!,"AAAAAD/N/K8=")</f>
        <v>#REF!</v>
      </c>
      <c r="FU183" t="e">
        <f>AND(#REF!,"AAAAAD/N/LA=")</f>
        <v>#REF!</v>
      </c>
      <c r="FV183" t="e">
        <f>AND(#REF!,"AAAAAD/N/LE=")</f>
        <v>#REF!</v>
      </c>
      <c r="FW183" t="e">
        <f>AND(#REF!,"AAAAAD/N/LI=")</f>
        <v>#REF!</v>
      </c>
      <c r="FX183" t="e">
        <f>AND(#REF!,"AAAAAD/N/LM=")</f>
        <v>#REF!</v>
      </c>
      <c r="FY183" t="e">
        <f>AND(#REF!,"AAAAAD/N/LQ=")</f>
        <v>#REF!</v>
      </c>
      <c r="FZ183" t="e">
        <f>AND(#REF!,"AAAAAD/N/LU=")</f>
        <v>#REF!</v>
      </c>
      <c r="GA183" t="e">
        <f>AND(#REF!,"AAAAAD/N/LY=")</f>
        <v>#REF!</v>
      </c>
      <c r="GB183" t="e">
        <f>AND(#REF!,"AAAAAD/N/Lc=")</f>
        <v>#REF!</v>
      </c>
      <c r="GC183" t="e">
        <f>AND(#REF!,"AAAAAD/N/Lg=")</f>
        <v>#REF!</v>
      </c>
      <c r="GD183" t="e">
        <f>AND(#REF!,"AAAAAD/N/Lk=")</f>
        <v>#REF!</v>
      </c>
      <c r="GE183" t="e">
        <f>AND(#REF!,"AAAAAD/N/Lo=")</f>
        <v>#REF!</v>
      </c>
      <c r="GF183" t="e">
        <f>AND(#REF!,"AAAAAD/N/Ls=")</f>
        <v>#REF!</v>
      </c>
      <c r="GG183" t="e">
        <f>AND(#REF!,"AAAAAD/N/Lw=")</f>
        <v>#REF!</v>
      </c>
      <c r="GH183" t="e">
        <f>AND(#REF!,"AAAAAD/N/L0=")</f>
        <v>#REF!</v>
      </c>
      <c r="GI183" t="e">
        <f>AND(#REF!,"AAAAAD/N/L4=")</f>
        <v>#REF!</v>
      </c>
      <c r="GJ183" t="e">
        <f>AND(#REF!,"AAAAAD/N/L8=")</f>
        <v>#REF!</v>
      </c>
      <c r="GK183" t="e">
        <f>AND(#REF!,"AAAAAD/N/MA=")</f>
        <v>#REF!</v>
      </c>
      <c r="GL183" t="e">
        <f>AND(#REF!,"AAAAAD/N/ME=")</f>
        <v>#REF!</v>
      </c>
      <c r="GM183" t="e">
        <f>AND(#REF!,"AAAAAD/N/MI=")</f>
        <v>#REF!</v>
      </c>
      <c r="GN183" t="e">
        <f>AND(#REF!,"AAAAAD/N/MM=")</f>
        <v>#REF!</v>
      </c>
      <c r="GO183" t="e">
        <f>AND(#REF!,"AAAAAD/N/MQ=")</f>
        <v>#REF!</v>
      </c>
      <c r="GP183" t="e">
        <f>AND(#REF!,"AAAAAD/N/MU=")</f>
        <v>#REF!</v>
      </c>
      <c r="GQ183" t="e">
        <f>AND(#REF!,"AAAAAD/N/MY=")</f>
        <v>#REF!</v>
      </c>
      <c r="GR183" t="e">
        <f>AND(#REF!,"AAAAAD/N/Mc=")</f>
        <v>#REF!</v>
      </c>
      <c r="GS183" t="e">
        <f>AND(#REF!,"AAAAAD/N/Mg=")</f>
        <v>#REF!</v>
      </c>
      <c r="GT183" t="e">
        <f>AND(#REF!,"AAAAAD/N/Mk=")</f>
        <v>#REF!</v>
      </c>
      <c r="GU183" t="e">
        <f>AND(#REF!,"AAAAAD/N/Mo=")</f>
        <v>#REF!</v>
      </c>
      <c r="GV183" t="e">
        <f>AND(#REF!,"AAAAAD/N/Ms=")</f>
        <v>#REF!</v>
      </c>
      <c r="GW183" t="e">
        <f>AND(#REF!,"AAAAAD/N/Mw=")</f>
        <v>#REF!</v>
      </c>
      <c r="GX183" t="e">
        <f>AND(#REF!,"AAAAAD/N/M0=")</f>
        <v>#REF!</v>
      </c>
      <c r="GY183" t="e">
        <f>AND(#REF!,"AAAAAD/N/M4=")</f>
        <v>#REF!</v>
      </c>
      <c r="GZ183" t="e">
        <f>AND(#REF!,"AAAAAD/N/M8=")</f>
        <v>#REF!</v>
      </c>
      <c r="HA183" t="e">
        <f>AND(#REF!,"AAAAAD/N/NA=")</f>
        <v>#REF!</v>
      </c>
      <c r="HB183" t="e">
        <f>AND(#REF!,"AAAAAD/N/NE=")</f>
        <v>#REF!</v>
      </c>
      <c r="HC183" t="e">
        <f>AND(#REF!,"AAAAAD/N/NI=")</f>
        <v>#REF!</v>
      </c>
      <c r="HD183" t="e">
        <f>AND(#REF!,"AAAAAD/N/NM=")</f>
        <v>#REF!</v>
      </c>
      <c r="HE183" t="e">
        <f>AND(#REF!,"AAAAAD/N/NQ=")</f>
        <v>#REF!</v>
      </c>
      <c r="HF183" t="e">
        <f>AND(#REF!,"AAAAAD/N/NU=")</f>
        <v>#REF!</v>
      </c>
      <c r="HG183" t="e">
        <f>AND(#REF!,"AAAAAD/N/NY=")</f>
        <v>#REF!</v>
      </c>
      <c r="HH183" t="e">
        <f>AND(#REF!,"AAAAAD/N/Nc=")</f>
        <v>#REF!</v>
      </c>
      <c r="HI183" t="e">
        <f>AND(#REF!,"AAAAAD/N/Ng=")</f>
        <v>#REF!</v>
      </c>
      <c r="HJ183" t="e">
        <f>AND(#REF!,"AAAAAD/N/Nk=")</f>
        <v>#REF!</v>
      </c>
      <c r="HK183" t="e">
        <f>AND(#REF!,"AAAAAD/N/No=")</f>
        <v>#REF!</v>
      </c>
      <c r="HL183" t="e">
        <f>AND(#REF!,"AAAAAD/N/Ns=")</f>
        <v>#REF!</v>
      </c>
      <c r="HM183" t="e">
        <f>AND(#REF!,"AAAAAD/N/Nw=")</f>
        <v>#REF!</v>
      </c>
      <c r="HN183" t="e">
        <f>AND(#REF!,"AAAAAD/N/N0=")</f>
        <v>#REF!</v>
      </c>
      <c r="HO183" t="e">
        <f>AND(#REF!,"AAAAAD/N/N4=")</f>
        <v>#REF!</v>
      </c>
      <c r="HP183" t="e">
        <f>AND(#REF!,"AAAAAD/N/N8=")</f>
        <v>#REF!</v>
      </c>
      <c r="HQ183" t="e">
        <f>AND(#REF!,"AAAAAD/N/OA=")</f>
        <v>#REF!</v>
      </c>
      <c r="HR183" t="e">
        <f>AND(#REF!,"AAAAAD/N/OE=")</f>
        <v>#REF!</v>
      </c>
      <c r="HS183" t="e">
        <f>AND(#REF!,"AAAAAD/N/OI=")</f>
        <v>#REF!</v>
      </c>
      <c r="HT183" t="e">
        <f>AND(#REF!,"AAAAAD/N/OM=")</f>
        <v>#REF!</v>
      </c>
      <c r="HU183" t="e">
        <f>AND(#REF!,"AAAAAD/N/OQ=")</f>
        <v>#REF!</v>
      </c>
      <c r="HV183" t="e">
        <f>AND(#REF!,"AAAAAD/N/OU=")</f>
        <v>#REF!</v>
      </c>
      <c r="HW183" t="e">
        <f>AND(#REF!,"AAAAAD/N/OY=")</f>
        <v>#REF!</v>
      </c>
      <c r="HX183" t="e">
        <f>AND(#REF!,"AAAAAD/N/Oc=")</f>
        <v>#REF!</v>
      </c>
      <c r="HY183" t="e">
        <f>AND(#REF!,"AAAAAD/N/Og=")</f>
        <v>#REF!</v>
      </c>
      <c r="HZ183" t="e">
        <f>AND(#REF!,"AAAAAD/N/Ok=")</f>
        <v>#REF!</v>
      </c>
      <c r="IA183" t="e">
        <f>AND(#REF!,"AAAAAD/N/Oo=")</f>
        <v>#REF!</v>
      </c>
      <c r="IB183" t="e">
        <f>AND(#REF!,"AAAAAD/N/Os=")</f>
        <v>#REF!</v>
      </c>
      <c r="IC183" t="e">
        <f>AND(#REF!,"AAAAAD/N/Ow=")</f>
        <v>#REF!</v>
      </c>
      <c r="ID183" t="e">
        <f>AND(#REF!,"AAAAAD/N/O0=")</f>
        <v>#REF!</v>
      </c>
      <c r="IE183" t="e">
        <f>AND(#REF!,"AAAAAD/N/O4=")</f>
        <v>#REF!</v>
      </c>
      <c r="IF183" t="e">
        <f>AND(#REF!,"AAAAAD/N/O8=")</f>
        <v>#REF!</v>
      </c>
      <c r="IG183" t="e">
        <f>AND(#REF!,"AAAAAD/N/PA=")</f>
        <v>#REF!</v>
      </c>
      <c r="IH183" t="e">
        <f>IF(#REF!,"AAAAAD/N/PE=",0)</f>
        <v>#REF!</v>
      </c>
      <c r="II183" t="e">
        <f>AND(#REF!,"AAAAAD/N/PI=")</f>
        <v>#REF!</v>
      </c>
      <c r="IJ183" t="e">
        <f>AND(#REF!,"AAAAAD/N/PM=")</f>
        <v>#REF!</v>
      </c>
      <c r="IK183" t="e">
        <f>AND(#REF!,"AAAAAD/N/PQ=")</f>
        <v>#REF!</v>
      </c>
      <c r="IL183" t="e">
        <f>AND(#REF!,"AAAAAD/N/PU=")</f>
        <v>#REF!</v>
      </c>
      <c r="IM183" t="e">
        <f>AND(#REF!,"AAAAAD/N/PY=")</f>
        <v>#REF!</v>
      </c>
      <c r="IN183" t="e">
        <f>AND(#REF!,"AAAAAD/N/Pc=")</f>
        <v>#REF!</v>
      </c>
      <c r="IO183" t="e">
        <f>AND(#REF!,"AAAAAD/N/Pg=")</f>
        <v>#REF!</v>
      </c>
      <c r="IP183" t="e">
        <f>AND(#REF!,"AAAAAD/N/Pk=")</f>
        <v>#REF!</v>
      </c>
      <c r="IQ183" t="e">
        <f>AND(#REF!,"AAAAAD/N/Po=")</f>
        <v>#REF!</v>
      </c>
      <c r="IR183" t="e">
        <f>AND(#REF!,"AAAAAD/N/Ps=")</f>
        <v>#REF!</v>
      </c>
      <c r="IS183" t="e">
        <f>AND(#REF!,"AAAAAD/N/Pw=")</f>
        <v>#REF!</v>
      </c>
      <c r="IT183" t="e">
        <f>AND(#REF!,"AAAAAD/N/P0=")</f>
        <v>#REF!</v>
      </c>
      <c r="IU183" t="e">
        <f>AND(#REF!,"AAAAAD/N/P4=")</f>
        <v>#REF!</v>
      </c>
      <c r="IV183" t="e">
        <f>AND(#REF!,"AAAAAD/N/P8=")</f>
        <v>#REF!</v>
      </c>
    </row>
    <row r="184" spans="1:256" x14ac:dyDescent="0.25">
      <c r="A184" t="e">
        <f>AND(#REF!,"AAAAAHvrewA=")</f>
        <v>#REF!</v>
      </c>
      <c r="B184" t="e">
        <f>AND(#REF!,"AAAAAHvrewE=")</f>
        <v>#REF!</v>
      </c>
      <c r="C184" t="e">
        <f>AND(#REF!,"AAAAAHvrewI=")</f>
        <v>#REF!</v>
      </c>
      <c r="D184" t="e">
        <f>AND(#REF!,"AAAAAHvrewM=")</f>
        <v>#REF!</v>
      </c>
      <c r="E184" t="e">
        <f>AND(#REF!,"AAAAAHvrewQ=")</f>
        <v>#REF!</v>
      </c>
      <c r="F184" t="e">
        <f>AND(#REF!,"AAAAAHvrewU=")</f>
        <v>#REF!</v>
      </c>
      <c r="G184" t="e">
        <f>AND(#REF!,"AAAAAHvrewY=")</f>
        <v>#REF!</v>
      </c>
      <c r="H184" t="e">
        <f>AND(#REF!,"AAAAAHvrewc=")</f>
        <v>#REF!</v>
      </c>
      <c r="I184" t="e">
        <f>AND(#REF!,"AAAAAHvrewg=")</f>
        <v>#REF!</v>
      </c>
      <c r="J184" t="e">
        <f>AND(#REF!,"AAAAAHvrewk=")</f>
        <v>#REF!</v>
      </c>
      <c r="K184" t="e">
        <f>AND(#REF!,"AAAAAHvrewo=")</f>
        <v>#REF!</v>
      </c>
      <c r="L184" t="e">
        <f>AND(#REF!,"AAAAAHvrews=")</f>
        <v>#REF!</v>
      </c>
      <c r="M184" t="e">
        <f>AND(#REF!,"AAAAAHvreww=")</f>
        <v>#REF!</v>
      </c>
      <c r="N184" t="e">
        <f>AND(#REF!,"AAAAAHvrew0=")</f>
        <v>#REF!</v>
      </c>
      <c r="O184" t="e">
        <f>AND(#REF!,"AAAAAHvrew4=")</f>
        <v>#REF!</v>
      </c>
      <c r="P184" t="e">
        <f>AND(#REF!,"AAAAAHvrew8=")</f>
        <v>#REF!</v>
      </c>
      <c r="Q184" t="e">
        <f>AND(#REF!,"AAAAAHvrexA=")</f>
        <v>#REF!</v>
      </c>
      <c r="R184" t="e">
        <f>AND(#REF!,"AAAAAHvrexE=")</f>
        <v>#REF!</v>
      </c>
      <c r="S184" t="e">
        <f>AND(#REF!,"AAAAAHvrexI=")</f>
        <v>#REF!</v>
      </c>
      <c r="T184" t="e">
        <f>AND(#REF!,"AAAAAHvrexM=")</f>
        <v>#REF!</v>
      </c>
      <c r="U184" t="e">
        <f>AND(#REF!,"AAAAAHvrexQ=")</f>
        <v>#REF!</v>
      </c>
      <c r="V184" t="e">
        <f>AND(#REF!,"AAAAAHvrexU=")</f>
        <v>#REF!</v>
      </c>
      <c r="W184" t="e">
        <f>AND(#REF!,"AAAAAHvrexY=")</f>
        <v>#REF!</v>
      </c>
      <c r="X184" t="e">
        <f>AND(#REF!,"AAAAAHvrexc=")</f>
        <v>#REF!</v>
      </c>
      <c r="Y184" t="e">
        <f>AND(#REF!,"AAAAAHvrexg=")</f>
        <v>#REF!</v>
      </c>
      <c r="Z184" t="e">
        <f>AND(#REF!,"AAAAAHvrexk=")</f>
        <v>#REF!</v>
      </c>
      <c r="AA184" t="e">
        <f>AND(#REF!,"AAAAAHvrexo=")</f>
        <v>#REF!</v>
      </c>
      <c r="AB184" t="e">
        <f>AND(#REF!,"AAAAAHvrexs=")</f>
        <v>#REF!</v>
      </c>
      <c r="AC184" t="e">
        <f>AND(#REF!,"AAAAAHvrexw=")</f>
        <v>#REF!</v>
      </c>
      <c r="AD184" t="e">
        <f>AND(#REF!,"AAAAAHvrex0=")</f>
        <v>#REF!</v>
      </c>
      <c r="AE184" t="e">
        <f>AND(#REF!,"AAAAAHvrex4=")</f>
        <v>#REF!</v>
      </c>
      <c r="AF184" t="e">
        <f>AND(#REF!,"AAAAAHvrex8=")</f>
        <v>#REF!</v>
      </c>
      <c r="AG184" t="e">
        <f>AND(#REF!,"AAAAAHvreyA=")</f>
        <v>#REF!</v>
      </c>
      <c r="AH184" t="e">
        <f>AND(#REF!,"AAAAAHvreyE=")</f>
        <v>#REF!</v>
      </c>
      <c r="AI184" t="e">
        <f>AND(#REF!,"AAAAAHvreyI=")</f>
        <v>#REF!</v>
      </c>
      <c r="AJ184" t="e">
        <f>AND(#REF!,"AAAAAHvreyM=")</f>
        <v>#REF!</v>
      </c>
      <c r="AK184" t="e">
        <f>AND(#REF!,"AAAAAHvreyQ=")</f>
        <v>#REF!</v>
      </c>
      <c r="AL184" t="e">
        <f>AND(#REF!,"AAAAAHvreyU=")</f>
        <v>#REF!</v>
      </c>
      <c r="AM184" t="e">
        <f>AND(#REF!,"AAAAAHvreyY=")</f>
        <v>#REF!</v>
      </c>
      <c r="AN184" t="e">
        <f>AND(#REF!,"AAAAAHvreyc=")</f>
        <v>#REF!</v>
      </c>
      <c r="AO184" t="e">
        <f>AND(#REF!,"AAAAAHvreyg=")</f>
        <v>#REF!</v>
      </c>
      <c r="AP184" t="e">
        <f>AND(#REF!,"AAAAAHvreyk=")</f>
        <v>#REF!</v>
      </c>
      <c r="AQ184" t="e">
        <f>AND(#REF!,"AAAAAHvreyo=")</f>
        <v>#REF!</v>
      </c>
      <c r="AR184" t="e">
        <f>AND(#REF!,"AAAAAHvreys=")</f>
        <v>#REF!</v>
      </c>
      <c r="AS184" t="e">
        <f>AND(#REF!,"AAAAAHvreyw=")</f>
        <v>#REF!</v>
      </c>
      <c r="AT184" t="e">
        <f>AND(#REF!,"AAAAAHvrey0=")</f>
        <v>#REF!</v>
      </c>
      <c r="AU184" t="e">
        <f>AND(#REF!,"AAAAAHvrey4=")</f>
        <v>#REF!</v>
      </c>
      <c r="AV184" t="e">
        <f>AND(#REF!,"AAAAAHvrey8=")</f>
        <v>#REF!</v>
      </c>
      <c r="AW184" t="e">
        <f>AND(#REF!,"AAAAAHvrezA=")</f>
        <v>#REF!</v>
      </c>
      <c r="AX184" t="e">
        <f>AND(#REF!,"AAAAAHvrezE=")</f>
        <v>#REF!</v>
      </c>
      <c r="AY184" t="e">
        <f>AND(#REF!,"AAAAAHvrezI=")</f>
        <v>#REF!</v>
      </c>
      <c r="AZ184" t="e">
        <f>AND(#REF!,"AAAAAHvrezM=")</f>
        <v>#REF!</v>
      </c>
      <c r="BA184" t="e">
        <f>AND(#REF!,"AAAAAHvrezQ=")</f>
        <v>#REF!</v>
      </c>
      <c r="BB184" t="e">
        <f>AND(#REF!,"AAAAAHvrezU=")</f>
        <v>#REF!</v>
      </c>
      <c r="BC184" t="e">
        <f>IF(#REF!,"AAAAAHvrezY=",0)</f>
        <v>#REF!</v>
      </c>
      <c r="BD184" t="e">
        <f>AND(#REF!,"AAAAAHvrezc=")</f>
        <v>#REF!</v>
      </c>
      <c r="BE184" t="e">
        <f>AND(#REF!,"AAAAAHvrezg=")</f>
        <v>#REF!</v>
      </c>
      <c r="BF184" t="e">
        <f>AND(#REF!,"AAAAAHvrezk=")</f>
        <v>#REF!</v>
      </c>
      <c r="BG184" t="e">
        <f>AND(#REF!,"AAAAAHvrezo=")</f>
        <v>#REF!</v>
      </c>
      <c r="BH184" t="e">
        <f>AND(#REF!,"AAAAAHvrezs=")</f>
        <v>#REF!</v>
      </c>
      <c r="BI184" t="e">
        <f>AND(#REF!,"AAAAAHvrezw=")</f>
        <v>#REF!</v>
      </c>
      <c r="BJ184" t="e">
        <f>AND(#REF!,"AAAAAHvrez0=")</f>
        <v>#REF!</v>
      </c>
      <c r="BK184" t="e">
        <f>AND(#REF!,"AAAAAHvrez4=")</f>
        <v>#REF!</v>
      </c>
      <c r="BL184" t="e">
        <f>AND(#REF!,"AAAAAHvrez8=")</f>
        <v>#REF!</v>
      </c>
      <c r="BM184" t="e">
        <f>AND(#REF!,"AAAAAHvre0A=")</f>
        <v>#REF!</v>
      </c>
      <c r="BN184" t="e">
        <f>AND(#REF!,"AAAAAHvre0E=")</f>
        <v>#REF!</v>
      </c>
      <c r="BO184" t="e">
        <f>AND(#REF!,"AAAAAHvre0I=")</f>
        <v>#REF!</v>
      </c>
      <c r="BP184" t="e">
        <f>AND(#REF!,"AAAAAHvre0M=")</f>
        <v>#REF!</v>
      </c>
      <c r="BQ184" t="e">
        <f>AND(#REF!,"AAAAAHvre0Q=")</f>
        <v>#REF!</v>
      </c>
      <c r="BR184" t="e">
        <f>AND(#REF!,"AAAAAHvre0U=")</f>
        <v>#REF!</v>
      </c>
      <c r="BS184" t="e">
        <f>AND(#REF!,"AAAAAHvre0Y=")</f>
        <v>#REF!</v>
      </c>
      <c r="BT184" t="e">
        <f>AND(#REF!,"AAAAAHvre0c=")</f>
        <v>#REF!</v>
      </c>
      <c r="BU184" t="e">
        <f>AND(#REF!,"AAAAAHvre0g=")</f>
        <v>#REF!</v>
      </c>
      <c r="BV184" t="e">
        <f>AND(#REF!,"AAAAAHvre0k=")</f>
        <v>#REF!</v>
      </c>
      <c r="BW184" t="e">
        <f>AND(#REF!,"AAAAAHvre0o=")</f>
        <v>#REF!</v>
      </c>
      <c r="BX184" t="e">
        <f>AND(#REF!,"AAAAAHvre0s=")</f>
        <v>#REF!</v>
      </c>
      <c r="BY184" t="e">
        <f>AND(#REF!,"AAAAAHvre0w=")</f>
        <v>#REF!</v>
      </c>
      <c r="BZ184" t="e">
        <f>AND(#REF!,"AAAAAHvre00=")</f>
        <v>#REF!</v>
      </c>
      <c r="CA184" t="e">
        <f>AND(#REF!,"AAAAAHvre04=")</f>
        <v>#REF!</v>
      </c>
      <c r="CB184" t="e">
        <f>AND(#REF!,"AAAAAHvre08=")</f>
        <v>#REF!</v>
      </c>
      <c r="CC184" t="e">
        <f>AND(#REF!,"AAAAAHvre1A=")</f>
        <v>#REF!</v>
      </c>
      <c r="CD184" t="e">
        <f>AND(#REF!,"AAAAAHvre1E=")</f>
        <v>#REF!</v>
      </c>
      <c r="CE184" t="e">
        <f>AND(#REF!,"AAAAAHvre1I=")</f>
        <v>#REF!</v>
      </c>
      <c r="CF184" t="e">
        <f>AND(#REF!,"AAAAAHvre1M=")</f>
        <v>#REF!</v>
      </c>
      <c r="CG184" t="e">
        <f>AND(#REF!,"AAAAAHvre1Q=")</f>
        <v>#REF!</v>
      </c>
      <c r="CH184" t="e">
        <f>AND(#REF!,"AAAAAHvre1U=")</f>
        <v>#REF!</v>
      </c>
      <c r="CI184" t="e">
        <f>AND(#REF!,"AAAAAHvre1Y=")</f>
        <v>#REF!</v>
      </c>
      <c r="CJ184" t="e">
        <f>AND(#REF!,"AAAAAHvre1c=")</f>
        <v>#REF!</v>
      </c>
      <c r="CK184" t="e">
        <f>AND(#REF!,"AAAAAHvre1g=")</f>
        <v>#REF!</v>
      </c>
      <c r="CL184" t="e">
        <f>AND(#REF!,"AAAAAHvre1k=")</f>
        <v>#REF!</v>
      </c>
      <c r="CM184" t="e">
        <f>AND(#REF!,"AAAAAHvre1o=")</f>
        <v>#REF!</v>
      </c>
      <c r="CN184" t="e">
        <f>AND(#REF!,"AAAAAHvre1s=")</f>
        <v>#REF!</v>
      </c>
      <c r="CO184" t="e">
        <f>AND(#REF!,"AAAAAHvre1w=")</f>
        <v>#REF!</v>
      </c>
      <c r="CP184" t="e">
        <f>AND(#REF!,"AAAAAHvre10=")</f>
        <v>#REF!</v>
      </c>
      <c r="CQ184" t="e">
        <f>AND(#REF!,"AAAAAHvre14=")</f>
        <v>#REF!</v>
      </c>
      <c r="CR184" t="e">
        <f>AND(#REF!,"AAAAAHvre18=")</f>
        <v>#REF!</v>
      </c>
      <c r="CS184" t="e">
        <f>AND(#REF!,"AAAAAHvre2A=")</f>
        <v>#REF!</v>
      </c>
      <c r="CT184" t="e">
        <f>AND(#REF!,"AAAAAHvre2E=")</f>
        <v>#REF!</v>
      </c>
      <c r="CU184" t="e">
        <f>AND(#REF!,"AAAAAHvre2I=")</f>
        <v>#REF!</v>
      </c>
      <c r="CV184" t="e">
        <f>AND(#REF!,"AAAAAHvre2M=")</f>
        <v>#REF!</v>
      </c>
      <c r="CW184" t="e">
        <f>AND(#REF!,"AAAAAHvre2Q=")</f>
        <v>#REF!</v>
      </c>
      <c r="CX184" t="e">
        <f>AND(#REF!,"AAAAAHvre2U=")</f>
        <v>#REF!</v>
      </c>
      <c r="CY184" t="e">
        <f>AND(#REF!,"AAAAAHvre2Y=")</f>
        <v>#REF!</v>
      </c>
      <c r="CZ184" t="e">
        <f>AND(#REF!,"AAAAAHvre2c=")</f>
        <v>#REF!</v>
      </c>
      <c r="DA184" t="e">
        <f>AND(#REF!,"AAAAAHvre2g=")</f>
        <v>#REF!</v>
      </c>
      <c r="DB184" t="e">
        <f>AND(#REF!,"AAAAAHvre2k=")</f>
        <v>#REF!</v>
      </c>
      <c r="DC184" t="e">
        <f>AND(#REF!,"AAAAAHvre2o=")</f>
        <v>#REF!</v>
      </c>
      <c r="DD184" t="e">
        <f>AND(#REF!,"AAAAAHvre2s=")</f>
        <v>#REF!</v>
      </c>
      <c r="DE184" t="e">
        <f>AND(#REF!,"AAAAAHvre2w=")</f>
        <v>#REF!</v>
      </c>
      <c r="DF184" t="e">
        <f>AND(#REF!,"AAAAAHvre20=")</f>
        <v>#REF!</v>
      </c>
      <c r="DG184" t="e">
        <f>AND(#REF!,"AAAAAHvre24=")</f>
        <v>#REF!</v>
      </c>
      <c r="DH184" t="e">
        <f>AND(#REF!,"AAAAAHvre28=")</f>
        <v>#REF!</v>
      </c>
      <c r="DI184" t="e">
        <f>AND(#REF!,"AAAAAHvre3A=")</f>
        <v>#REF!</v>
      </c>
      <c r="DJ184" t="e">
        <f>AND(#REF!,"AAAAAHvre3E=")</f>
        <v>#REF!</v>
      </c>
      <c r="DK184" t="e">
        <f>AND(#REF!,"AAAAAHvre3I=")</f>
        <v>#REF!</v>
      </c>
      <c r="DL184" t="e">
        <f>AND(#REF!,"AAAAAHvre3M=")</f>
        <v>#REF!</v>
      </c>
      <c r="DM184" t="e">
        <f>AND(#REF!,"AAAAAHvre3Q=")</f>
        <v>#REF!</v>
      </c>
      <c r="DN184" t="e">
        <f>AND(#REF!,"AAAAAHvre3U=")</f>
        <v>#REF!</v>
      </c>
      <c r="DO184" t="e">
        <f>AND(#REF!,"AAAAAHvre3Y=")</f>
        <v>#REF!</v>
      </c>
      <c r="DP184" t="e">
        <f>AND(#REF!,"AAAAAHvre3c=")</f>
        <v>#REF!</v>
      </c>
      <c r="DQ184" t="e">
        <f>AND(#REF!,"AAAAAHvre3g=")</f>
        <v>#REF!</v>
      </c>
      <c r="DR184" t="e">
        <f>AND(#REF!,"AAAAAHvre3k=")</f>
        <v>#REF!</v>
      </c>
      <c r="DS184" t="e">
        <f>AND(#REF!,"AAAAAHvre3o=")</f>
        <v>#REF!</v>
      </c>
      <c r="DT184" t="e">
        <f>IF(#REF!,"AAAAAHvre3s=",0)</f>
        <v>#REF!</v>
      </c>
      <c r="DU184" t="e">
        <f>AND(#REF!,"AAAAAHvre3w=")</f>
        <v>#REF!</v>
      </c>
      <c r="DV184" t="e">
        <f>AND(#REF!,"AAAAAHvre30=")</f>
        <v>#REF!</v>
      </c>
      <c r="DW184" t="e">
        <f>AND(#REF!,"AAAAAHvre34=")</f>
        <v>#REF!</v>
      </c>
      <c r="DX184" t="e">
        <f>AND(#REF!,"AAAAAHvre38=")</f>
        <v>#REF!</v>
      </c>
      <c r="DY184" t="e">
        <f>AND(#REF!,"AAAAAHvre4A=")</f>
        <v>#REF!</v>
      </c>
      <c r="DZ184" t="e">
        <f>AND(#REF!,"AAAAAHvre4E=")</f>
        <v>#REF!</v>
      </c>
      <c r="EA184" t="e">
        <f>AND(#REF!,"AAAAAHvre4I=")</f>
        <v>#REF!</v>
      </c>
      <c r="EB184" t="e">
        <f>AND(#REF!,"AAAAAHvre4M=")</f>
        <v>#REF!</v>
      </c>
      <c r="EC184" t="e">
        <f>AND(#REF!,"AAAAAHvre4Q=")</f>
        <v>#REF!</v>
      </c>
      <c r="ED184" t="e">
        <f>AND(#REF!,"AAAAAHvre4U=")</f>
        <v>#REF!</v>
      </c>
      <c r="EE184" t="e">
        <f>AND(#REF!,"AAAAAHvre4Y=")</f>
        <v>#REF!</v>
      </c>
      <c r="EF184" t="e">
        <f>AND(#REF!,"AAAAAHvre4c=")</f>
        <v>#REF!</v>
      </c>
      <c r="EG184" t="e">
        <f>AND(#REF!,"AAAAAHvre4g=")</f>
        <v>#REF!</v>
      </c>
      <c r="EH184" t="e">
        <f>AND(#REF!,"AAAAAHvre4k=")</f>
        <v>#REF!</v>
      </c>
      <c r="EI184" t="e">
        <f>AND(#REF!,"AAAAAHvre4o=")</f>
        <v>#REF!</v>
      </c>
      <c r="EJ184" t="e">
        <f>AND(#REF!,"AAAAAHvre4s=")</f>
        <v>#REF!</v>
      </c>
      <c r="EK184" t="e">
        <f>AND(#REF!,"AAAAAHvre4w=")</f>
        <v>#REF!</v>
      </c>
      <c r="EL184" t="e">
        <f>AND(#REF!,"AAAAAHvre40=")</f>
        <v>#REF!</v>
      </c>
      <c r="EM184" t="e">
        <f>AND(#REF!,"AAAAAHvre44=")</f>
        <v>#REF!</v>
      </c>
      <c r="EN184" t="e">
        <f>AND(#REF!,"AAAAAHvre48=")</f>
        <v>#REF!</v>
      </c>
      <c r="EO184" t="e">
        <f>AND(#REF!,"AAAAAHvre5A=")</f>
        <v>#REF!</v>
      </c>
      <c r="EP184" t="e">
        <f>AND(#REF!,"AAAAAHvre5E=")</f>
        <v>#REF!</v>
      </c>
      <c r="EQ184" t="e">
        <f>AND(#REF!,"AAAAAHvre5I=")</f>
        <v>#REF!</v>
      </c>
      <c r="ER184" t="e">
        <f>AND(#REF!,"AAAAAHvre5M=")</f>
        <v>#REF!</v>
      </c>
      <c r="ES184" t="e">
        <f>AND(#REF!,"AAAAAHvre5Q=")</f>
        <v>#REF!</v>
      </c>
      <c r="ET184" t="e">
        <f>AND(#REF!,"AAAAAHvre5U=")</f>
        <v>#REF!</v>
      </c>
      <c r="EU184" t="e">
        <f>AND(#REF!,"AAAAAHvre5Y=")</f>
        <v>#REF!</v>
      </c>
      <c r="EV184" t="e">
        <f>AND(#REF!,"AAAAAHvre5c=")</f>
        <v>#REF!</v>
      </c>
      <c r="EW184" t="e">
        <f>AND(#REF!,"AAAAAHvre5g=")</f>
        <v>#REF!</v>
      </c>
      <c r="EX184" t="e">
        <f>AND(#REF!,"AAAAAHvre5k=")</f>
        <v>#REF!</v>
      </c>
      <c r="EY184" t="e">
        <f>AND(#REF!,"AAAAAHvre5o=")</f>
        <v>#REF!</v>
      </c>
      <c r="EZ184" t="e">
        <f>AND(#REF!,"AAAAAHvre5s=")</f>
        <v>#REF!</v>
      </c>
      <c r="FA184" t="e">
        <f>AND(#REF!,"AAAAAHvre5w=")</f>
        <v>#REF!</v>
      </c>
      <c r="FB184" t="e">
        <f>AND(#REF!,"AAAAAHvre50=")</f>
        <v>#REF!</v>
      </c>
      <c r="FC184" t="e">
        <f>AND(#REF!,"AAAAAHvre54=")</f>
        <v>#REF!</v>
      </c>
      <c r="FD184" t="e">
        <f>AND(#REF!,"AAAAAHvre58=")</f>
        <v>#REF!</v>
      </c>
      <c r="FE184" t="e">
        <f>AND(#REF!,"AAAAAHvre6A=")</f>
        <v>#REF!</v>
      </c>
      <c r="FF184" t="e">
        <f>AND(#REF!,"AAAAAHvre6E=")</f>
        <v>#REF!</v>
      </c>
      <c r="FG184" t="e">
        <f>AND(#REF!,"AAAAAHvre6I=")</f>
        <v>#REF!</v>
      </c>
      <c r="FH184" t="e">
        <f>AND(#REF!,"AAAAAHvre6M=")</f>
        <v>#REF!</v>
      </c>
      <c r="FI184" t="e">
        <f>AND(#REF!,"AAAAAHvre6Q=")</f>
        <v>#REF!</v>
      </c>
      <c r="FJ184" t="e">
        <f>AND(#REF!,"AAAAAHvre6U=")</f>
        <v>#REF!</v>
      </c>
      <c r="FK184" t="e">
        <f>AND(#REF!,"AAAAAHvre6Y=")</f>
        <v>#REF!</v>
      </c>
      <c r="FL184" t="e">
        <f>AND(#REF!,"AAAAAHvre6c=")</f>
        <v>#REF!</v>
      </c>
      <c r="FM184" t="e">
        <f>AND(#REF!,"AAAAAHvre6g=")</f>
        <v>#REF!</v>
      </c>
      <c r="FN184" t="e">
        <f>AND(#REF!,"AAAAAHvre6k=")</f>
        <v>#REF!</v>
      </c>
      <c r="FO184" t="e">
        <f>AND(#REF!,"AAAAAHvre6o=")</f>
        <v>#REF!</v>
      </c>
      <c r="FP184" t="e">
        <f>AND(#REF!,"AAAAAHvre6s=")</f>
        <v>#REF!</v>
      </c>
      <c r="FQ184" t="e">
        <f>AND(#REF!,"AAAAAHvre6w=")</f>
        <v>#REF!</v>
      </c>
      <c r="FR184" t="e">
        <f>AND(#REF!,"AAAAAHvre60=")</f>
        <v>#REF!</v>
      </c>
      <c r="FS184" t="e">
        <f>AND(#REF!,"AAAAAHvre64=")</f>
        <v>#REF!</v>
      </c>
      <c r="FT184" t="e">
        <f>AND(#REF!,"AAAAAHvre68=")</f>
        <v>#REF!</v>
      </c>
      <c r="FU184" t="e">
        <f>AND(#REF!,"AAAAAHvre7A=")</f>
        <v>#REF!</v>
      </c>
      <c r="FV184" t="e">
        <f>AND(#REF!,"AAAAAHvre7E=")</f>
        <v>#REF!</v>
      </c>
      <c r="FW184" t="e">
        <f>AND(#REF!,"AAAAAHvre7I=")</f>
        <v>#REF!</v>
      </c>
      <c r="FX184" t="e">
        <f>AND(#REF!,"AAAAAHvre7M=")</f>
        <v>#REF!</v>
      </c>
      <c r="FY184" t="e">
        <f>AND(#REF!,"AAAAAHvre7Q=")</f>
        <v>#REF!</v>
      </c>
      <c r="FZ184" t="e">
        <f>AND(#REF!,"AAAAAHvre7U=")</f>
        <v>#REF!</v>
      </c>
      <c r="GA184" t="e">
        <f>AND(#REF!,"AAAAAHvre7Y=")</f>
        <v>#REF!</v>
      </c>
      <c r="GB184" t="e">
        <f>AND(#REF!,"AAAAAHvre7c=")</f>
        <v>#REF!</v>
      </c>
      <c r="GC184" t="e">
        <f>AND(#REF!,"AAAAAHvre7g=")</f>
        <v>#REF!</v>
      </c>
      <c r="GD184" t="e">
        <f>AND(#REF!,"AAAAAHvre7k=")</f>
        <v>#REF!</v>
      </c>
      <c r="GE184" t="e">
        <f>AND(#REF!,"AAAAAHvre7o=")</f>
        <v>#REF!</v>
      </c>
      <c r="GF184" t="e">
        <f>AND(#REF!,"AAAAAHvre7s=")</f>
        <v>#REF!</v>
      </c>
      <c r="GG184" t="e">
        <f>AND(#REF!,"AAAAAHvre7w=")</f>
        <v>#REF!</v>
      </c>
      <c r="GH184" t="e">
        <f>AND(#REF!,"AAAAAHvre70=")</f>
        <v>#REF!</v>
      </c>
      <c r="GI184" t="e">
        <f>AND(#REF!,"AAAAAHvre74=")</f>
        <v>#REF!</v>
      </c>
      <c r="GJ184" t="e">
        <f>AND(#REF!,"AAAAAHvre78=")</f>
        <v>#REF!</v>
      </c>
      <c r="GK184" t="e">
        <f>IF(#REF!,"AAAAAHvre8A=",0)</f>
        <v>#REF!</v>
      </c>
      <c r="GL184" t="e">
        <f>AND(#REF!,"AAAAAHvre8E=")</f>
        <v>#REF!</v>
      </c>
      <c r="GM184" t="e">
        <f>AND(#REF!,"AAAAAHvre8I=")</f>
        <v>#REF!</v>
      </c>
      <c r="GN184" t="e">
        <f>AND(#REF!,"AAAAAHvre8M=")</f>
        <v>#REF!</v>
      </c>
      <c r="GO184" t="e">
        <f>AND(#REF!,"AAAAAHvre8Q=")</f>
        <v>#REF!</v>
      </c>
      <c r="GP184" t="e">
        <f>AND(#REF!,"AAAAAHvre8U=")</f>
        <v>#REF!</v>
      </c>
      <c r="GQ184" t="e">
        <f>AND(#REF!,"AAAAAHvre8Y=")</f>
        <v>#REF!</v>
      </c>
      <c r="GR184" t="e">
        <f>AND(#REF!,"AAAAAHvre8c=")</f>
        <v>#REF!</v>
      </c>
      <c r="GS184" t="e">
        <f>AND(#REF!,"AAAAAHvre8g=")</f>
        <v>#REF!</v>
      </c>
      <c r="GT184" t="e">
        <f>AND(#REF!,"AAAAAHvre8k=")</f>
        <v>#REF!</v>
      </c>
      <c r="GU184" t="e">
        <f>AND(#REF!,"AAAAAHvre8o=")</f>
        <v>#REF!</v>
      </c>
      <c r="GV184" t="e">
        <f>AND(#REF!,"AAAAAHvre8s=")</f>
        <v>#REF!</v>
      </c>
      <c r="GW184" t="e">
        <f>AND(#REF!,"AAAAAHvre8w=")</f>
        <v>#REF!</v>
      </c>
      <c r="GX184" t="e">
        <f>AND(#REF!,"AAAAAHvre80=")</f>
        <v>#REF!</v>
      </c>
      <c r="GY184" t="e">
        <f>AND(#REF!,"AAAAAHvre84=")</f>
        <v>#REF!</v>
      </c>
      <c r="GZ184" t="e">
        <f>AND(#REF!,"AAAAAHvre88=")</f>
        <v>#REF!</v>
      </c>
      <c r="HA184" t="e">
        <f>AND(#REF!,"AAAAAHvre9A=")</f>
        <v>#REF!</v>
      </c>
      <c r="HB184" t="e">
        <f>AND(#REF!,"AAAAAHvre9E=")</f>
        <v>#REF!</v>
      </c>
      <c r="HC184" t="e">
        <f>AND(#REF!,"AAAAAHvre9I=")</f>
        <v>#REF!</v>
      </c>
      <c r="HD184" t="e">
        <f>AND(#REF!,"AAAAAHvre9M=")</f>
        <v>#REF!</v>
      </c>
      <c r="HE184" t="e">
        <f>AND(#REF!,"AAAAAHvre9Q=")</f>
        <v>#REF!</v>
      </c>
      <c r="HF184" t="e">
        <f>AND(#REF!,"AAAAAHvre9U=")</f>
        <v>#REF!</v>
      </c>
      <c r="HG184" t="e">
        <f>AND(#REF!,"AAAAAHvre9Y=")</f>
        <v>#REF!</v>
      </c>
      <c r="HH184" t="e">
        <f>AND(#REF!,"AAAAAHvre9c=")</f>
        <v>#REF!</v>
      </c>
      <c r="HI184" t="e">
        <f>AND(#REF!,"AAAAAHvre9g=")</f>
        <v>#REF!</v>
      </c>
      <c r="HJ184" t="e">
        <f>AND(#REF!,"AAAAAHvre9k=")</f>
        <v>#REF!</v>
      </c>
      <c r="HK184" t="e">
        <f>AND(#REF!,"AAAAAHvre9o=")</f>
        <v>#REF!</v>
      </c>
      <c r="HL184" t="e">
        <f>AND(#REF!,"AAAAAHvre9s=")</f>
        <v>#REF!</v>
      </c>
      <c r="HM184" t="e">
        <f>AND(#REF!,"AAAAAHvre9w=")</f>
        <v>#REF!</v>
      </c>
      <c r="HN184" t="e">
        <f>AND(#REF!,"AAAAAHvre90=")</f>
        <v>#REF!</v>
      </c>
      <c r="HO184" t="e">
        <f>AND(#REF!,"AAAAAHvre94=")</f>
        <v>#REF!</v>
      </c>
      <c r="HP184" t="e">
        <f>AND(#REF!,"AAAAAHvre98=")</f>
        <v>#REF!</v>
      </c>
      <c r="HQ184" t="e">
        <f>AND(#REF!,"AAAAAHvre+A=")</f>
        <v>#REF!</v>
      </c>
      <c r="HR184" t="e">
        <f>AND(#REF!,"AAAAAHvre+E=")</f>
        <v>#REF!</v>
      </c>
      <c r="HS184" t="e">
        <f>AND(#REF!,"AAAAAHvre+I=")</f>
        <v>#REF!</v>
      </c>
      <c r="HT184" t="e">
        <f>AND(#REF!,"AAAAAHvre+M=")</f>
        <v>#REF!</v>
      </c>
      <c r="HU184" t="e">
        <f>AND(#REF!,"AAAAAHvre+Q=")</f>
        <v>#REF!</v>
      </c>
      <c r="HV184" t="e">
        <f>AND(#REF!,"AAAAAHvre+U=")</f>
        <v>#REF!</v>
      </c>
      <c r="HW184" t="e">
        <f>AND(#REF!,"AAAAAHvre+Y=")</f>
        <v>#REF!</v>
      </c>
      <c r="HX184" t="e">
        <f>AND(#REF!,"AAAAAHvre+c=")</f>
        <v>#REF!</v>
      </c>
      <c r="HY184" t="e">
        <f>AND(#REF!,"AAAAAHvre+g=")</f>
        <v>#REF!</v>
      </c>
      <c r="HZ184" t="e">
        <f>AND(#REF!,"AAAAAHvre+k=")</f>
        <v>#REF!</v>
      </c>
      <c r="IA184" t="e">
        <f>AND(#REF!,"AAAAAHvre+o=")</f>
        <v>#REF!</v>
      </c>
      <c r="IB184" t="e">
        <f>AND(#REF!,"AAAAAHvre+s=")</f>
        <v>#REF!</v>
      </c>
      <c r="IC184" t="e">
        <f>AND(#REF!,"AAAAAHvre+w=")</f>
        <v>#REF!</v>
      </c>
      <c r="ID184" t="e">
        <f>AND(#REF!,"AAAAAHvre+0=")</f>
        <v>#REF!</v>
      </c>
      <c r="IE184" t="e">
        <f>AND(#REF!,"AAAAAHvre+4=")</f>
        <v>#REF!</v>
      </c>
      <c r="IF184" t="e">
        <f>AND(#REF!,"AAAAAHvre+8=")</f>
        <v>#REF!</v>
      </c>
      <c r="IG184" t="e">
        <f>AND(#REF!,"AAAAAHvre/A=")</f>
        <v>#REF!</v>
      </c>
      <c r="IH184" t="e">
        <f>AND(#REF!,"AAAAAHvre/E=")</f>
        <v>#REF!</v>
      </c>
      <c r="II184" t="e">
        <f>AND(#REF!,"AAAAAHvre/I=")</f>
        <v>#REF!</v>
      </c>
      <c r="IJ184" t="e">
        <f>AND(#REF!,"AAAAAHvre/M=")</f>
        <v>#REF!</v>
      </c>
      <c r="IK184" t="e">
        <f>AND(#REF!,"AAAAAHvre/Q=")</f>
        <v>#REF!</v>
      </c>
      <c r="IL184" t="e">
        <f>AND(#REF!,"AAAAAHvre/U=")</f>
        <v>#REF!</v>
      </c>
      <c r="IM184" t="e">
        <f>AND(#REF!,"AAAAAHvre/Y=")</f>
        <v>#REF!</v>
      </c>
      <c r="IN184" t="e">
        <f>AND(#REF!,"AAAAAHvre/c=")</f>
        <v>#REF!</v>
      </c>
      <c r="IO184" t="e">
        <f>AND(#REF!,"AAAAAHvre/g=")</f>
        <v>#REF!</v>
      </c>
      <c r="IP184" t="e">
        <f>AND(#REF!,"AAAAAHvre/k=")</f>
        <v>#REF!</v>
      </c>
      <c r="IQ184" t="e">
        <f>AND(#REF!,"AAAAAHvre/o=")</f>
        <v>#REF!</v>
      </c>
      <c r="IR184" t="e">
        <f>AND(#REF!,"AAAAAHvre/s=")</f>
        <v>#REF!</v>
      </c>
      <c r="IS184" t="e">
        <f>AND(#REF!,"AAAAAHvre/w=")</f>
        <v>#REF!</v>
      </c>
      <c r="IT184" t="e">
        <f>AND(#REF!,"AAAAAHvre/0=")</f>
        <v>#REF!</v>
      </c>
      <c r="IU184" t="e">
        <f>AND(#REF!,"AAAAAHvre/4=")</f>
        <v>#REF!</v>
      </c>
      <c r="IV184" t="e">
        <f>AND(#REF!,"AAAAAHvre/8=")</f>
        <v>#REF!</v>
      </c>
    </row>
    <row r="185" spans="1:256" x14ac:dyDescent="0.25">
      <c r="A185" t="e">
        <f>AND(#REF!,"AAAAAH47fgA=")</f>
        <v>#REF!</v>
      </c>
      <c r="B185" t="e">
        <f>AND(#REF!,"AAAAAH47fgE=")</f>
        <v>#REF!</v>
      </c>
      <c r="C185" t="e">
        <f>AND(#REF!,"AAAAAH47fgI=")</f>
        <v>#REF!</v>
      </c>
      <c r="D185" t="e">
        <f>AND(#REF!,"AAAAAH47fgM=")</f>
        <v>#REF!</v>
      </c>
      <c r="E185" t="e">
        <f>AND(#REF!,"AAAAAH47fgQ=")</f>
        <v>#REF!</v>
      </c>
      <c r="F185" t="e">
        <f>IF(#REF!,"AAAAAH47fgU=",0)</f>
        <v>#REF!</v>
      </c>
      <c r="G185" t="e">
        <f>AND(#REF!,"AAAAAH47fgY=")</f>
        <v>#REF!</v>
      </c>
      <c r="H185" t="e">
        <f>AND(#REF!,"AAAAAH47fgc=")</f>
        <v>#REF!</v>
      </c>
      <c r="I185" t="e">
        <f>AND(#REF!,"AAAAAH47fgg=")</f>
        <v>#REF!</v>
      </c>
      <c r="J185" t="e">
        <f>AND(#REF!,"AAAAAH47fgk=")</f>
        <v>#REF!</v>
      </c>
      <c r="K185" t="e">
        <f>AND(#REF!,"AAAAAH47fgo=")</f>
        <v>#REF!</v>
      </c>
      <c r="L185" t="e">
        <f>AND(#REF!,"AAAAAH47fgs=")</f>
        <v>#REF!</v>
      </c>
      <c r="M185" t="e">
        <f>AND(#REF!,"AAAAAH47fgw=")</f>
        <v>#REF!</v>
      </c>
      <c r="N185" t="e">
        <f>AND(#REF!,"AAAAAH47fg0=")</f>
        <v>#REF!</v>
      </c>
      <c r="O185" t="e">
        <f>AND(#REF!,"AAAAAH47fg4=")</f>
        <v>#REF!</v>
      </c>
      <c r="P185" t="e">
        <f>AND(#REF!,"AAAAAH47fg8=")</f>
        <v>#REF!</v>
      </c>
      <c r="Q185" t="e">
        <f>AND(#REF!,"AAAAAH47fhA=")</f>
        <v>#REF!</v>
      </c>
      <c r="R185" t="e">
        <f>AND(#REF!,"AAAAAH47fhE=")</f>
        <v>#REF!</v>
      </c>
      <c r="S185" t="e">
        <f>AND(#REF!,"AAAAAH47fhI=")</f>
        <v>#REF!</v>
      </c>
      <c r="T185" t="e">
        <f>AND(#REF!,"AAAAAH47fhM=")</f>
        <v>#REF!</v>
      </c>
      <c r="U185" t="e">
        <f>AND(#REF!,"AAAAAH47fhQ=")</f>
        <v>#REF!</v>
      </c>
      <c r="V185" t="e">
        <f>AND(#REF!,"AAAAAH47fhU=")</f>
        <v>#REF!</v>
      </c>
      <c r="W185" t="e">
        <f>AND(#REF!,"AAAAAH47fhY=")</f>
        <v>#REF!</v>
      </c>
      <c r="X185" t="e">
        <f>AND(#REF!,"AAAAAH47fhc=")</f>
        <v>#REF!</v>
      </c>
      <c r="Y185" t="e">
        <f>AND(#REF!,"AAAAAH47fhg=")</f>
        <v>#REF!</v>
      </c>
      <c r="Z185" t="e">
        <f>AND(#REF!,"AAAAAH47fhk=")</f>
        <v>#REF!</v>
      </c>
      <c r="AA185" t="e">
        <f>AND(#REF!,"AAAAAH47fho=")</f>
        <v>#REF!</v>
      </c>
      <c r="AB185" t="e">
        <f>AND(#REF!,"AAAAAH47fhs=")</f>
        <v>#REF!</v>
      </c>
      <c r="AC185" t="e">
        <f>AND(#REF!,"AAAAAH47fhw=")</f>
        <v>#REF!</v>
      </c>
      <c r="AD185" t="e">
        <f>AND(#REF!,"AAAAAH47fh0=")</f>
        <v>#REF!</v>
      </c>
      <c r="AE185" t="e">
        <f>AND(#REF!,"AAAAAH47fh4=")</f>
        <v>#REF!</v>
      </c>
      <c r="AF185" t="e">
        <f>AND(#REF!,"AAAAAH47fh8=")</f>
        <v>#REF!</v>
      </c>
      <c r="AG185" t="e">
        <f>AND(#REF!,"AAAAAH47fiA=")</f>
        <v>#REF!</v>
      </c>
      <c r="AH185" t="e">
        <f>AND(#REF!,"AAAAAH47fiE=")</f>
        <v>#REF!</v>
      </c>
      <c r="AI185" t="e">
        <f>AND(#REF!,"AAAAAH47fiI=")</f>
        <v>#REF!</v>
      </c>
      <c r="AJ185" t="e">
        <f>AND(#REF!,"AAAAAH47fiM=")</f>
        <v>#REF!</v>
      </c>
      <c r="AK185" t="e">
        <f>AND(#REF!,"AAAAAH47fiQ=")</f>
        <v>#REF!</v>
      </c>
      <c r="AL185" t="e">
        <f>AND(#REF!,"AAAAAH47fiU=")</f>
        <v>#REF!</v>
      </c>
      <c r="AM185" t="e">
        <f>AND(#REF!,"AAAAAH47fiY=")</f>
        <v>#REF!</v>
      </c>
      <c r="AN185" t="e">
        <f>AND(#REF!,"AAAAAH47fic=")</f>
        <v>#REF!</v>
      </c>
      <c r="AO185" t="e">
        <f>AND(#REF!,"AAAAAH47fig=")</f>
        <v>#REF!</v>
      </c>
      <c r="AP185" t="e">
        <f>AND(#REF!,"AAAAAH47fik=")</f>
        <v>#REF!</v>
      </c>
      <c r="AQ185" t="e">
        <f>AND(#REF!,"AAAAAH47fio=")</f>
        <v>#REF!</v>
      </c>
      <c r="AR185" t="e">
        <f>AND(#REF!,"AAAAAH47fis=")</f>
        <v>#REF!</v>
      </c>
      <c r="AS185" t="e">
        <f>AND(#REF!,"AAAAAH47fiw=")</f>
        <v>#REF!</v>
      </c>
      <c r="AT185" t="e">
        <f>AND(#REF!,"AAAAAH47fi0=")</f>
        <v>#REF!</v>
      </c>
      <c r="AU185" t="e">
        <f>AND(#REF!,"AAAAAH47fi4=")</f>
        <v>#REF!</v>
      </c>
      <c r="AV185" t="e">
        <f>AND(#REF!,"AAAAAH47fi8=")</f>
        <v>#REF!</v>
      </c>
      <c r="AW185" t="e">
        <f>AND(#REF!,"AAAAAH47fjA=")</f>
        <v>#REF!</v>
      </c>
      <c r="AX185" t="e">
        <f>AND(#REF!,"AAAAAH47fjE=")</f>
        <v>#REF!</v>
      </c>
      <c r="AY185" t="e">
        <f>AND(#REF!,"AAAAAH47fjI=")</f>
        <v>#REF!</v>
      </c>
      <c r="AZ185" t="e">
        <f>AND(#REF!,"AAAAAH47fjM=")</f>
        <v>#REF!</v>
      </c>
      <c r="BA185" t="e">
        <f>AND(#REF!,"AAAAAH47fjQ=")</f>
        <v>#REF!</v>
      </c>
      <c r="BB185" t="e">
        <f>AND(#REF!,"AAAAAH47fjU=")</f>
        <v>#REF!</v>
      </c>
      <c r="BC185" t="e">
        <f>AND(#REF!,"AAAAAH47fjY=")</f>
        <v>#REF!</v>
      </c>
      <c r="BD185" t="e">
        <f>AND(#REF!,"AAAAAH47fjc=")</f>
        <v>#REF!</v>
      </c>
      <c r="BE185" t="e">
        <f>AND(#REF!,"AAAAAH47fjg=")</f>
        <v>#REF!</v>
      </c>
      <c r="BF185" t="e">
        <f>AND(#REF!,"AAAAAH47fjk=")</f>
        <v>#REF!</v>
      </c>
      <c r="BG185" t="e">
        <f>AND(#REF!,"AAAAAH47fjo=")</f>
        <v>#REF!</v>
      </c>
      <c r="BH185" t="e">
        <f>AND(#REF!,"AAAAAH47fjs=")</f>
        <v>#REF!</v>
      </c>
      <c r="BI185" t="e">
        <f>AND(#REF!,"AAAAAH47fjw=")</f>
        <v>#REF!</v>
      </c>
      <c r="BJ185" t="e">
        <f>AND(#REF!,"AAAAAH47fj0=")</f>
        <v>#REF!</v>
      </c>
      <c r="BK185" t="e">
        <f>AND(#REF!,"AAAAAH47fj4=")</f>
        <v>#REF!</v>
      </c>
      <c r="BL185" t="e">
        <f>AND(#REF!,"AAAAAH47fj8=")</f>
        <v>#REF!</v>
      </c>
      <c r="BM185" t="e">
        <f>AND(#REF!,"AAAAAH47fkA=")</f>
        <v>#REF!</v>
      </c>
      <c r="BN185" t="e">
        <f>AND(#REF!,"AAAAAH47fkE=")</f>
        <v>#REF!</v>
      </c>
      <c r="BO185" t="e">
        <f>AND(#REF!,"AAAAAH47fkI=")</f>
        <v>#REF!</v>
      </c>
      <c r="BP185" t="e">
        <f>AND(#REF!,"AAAAAH47fkM=")</f>
        <v>#REF!</v>
      </c>
      <c r="BQ185" t="e">
        <f>AND(#REF!,"AAAAAH47fkQ=")</f>
        <v>#REF!</v>
      </c>
      <c r="BR185" t="e">
        <f>AND(#REF!,"AAAAAH47fkU=")</f>
        <v>#REF!</v>
      </c>
      <c r="BS185" t="e">
        <f>AND(#REF!,"AAAAAH47fkY=")</f>
        <v>#REF!</v>
      </c>
      <c r="BT185" t="e">
        <f>AND(#REF!,"AAAAAH47fkc=")</f>
        <v>#REF!</v>
      </c>
      <c r="BU185" t="e">
        <f>AND(#REF!,"AAAAAH47fkg=")</f>
        <v>#REF!</v>
      </c>
      <c r="BV185" t="e">
        <f>AND(#REF!,"AAAAAH47fkk=")</f>
        <v>#REF!</v>
      </c>
      <c r="BW185" t="e">
        <f>IF(#REF!,"AAAAAH47fko=",0)</f>
        <v>#REF!</v>
      </c>
      <c r="BX185" t="e">
        <f>AND(#REF!,"AAAAAH47fks=")</f>
        <v>#REF!</v>
      </c>
      <c r="BY185" t="e">
        <f>AND(#REF!,"AAAAAH47fkw=")</f>
        <v>#REF!</v>
      </c>
      <c r="BZ185" t="e">
        <f>AND(#REF!,"AAAAAH47fk0=")</f>
        <v>#REF!</v>
      </c>
      <c r="CA185" t="e">
        <f>AND(#REF!,"AAAAAH47fk4=")</f>
        <v>#REF!</v>
      </c>
      <c r="CB185" t="e">
        <f>AND(#REF!,"AAAAAH47fk8=")</f>
        <v>#REF!</v>
      </c>
      <c r="CC185" t="e">
        <f>AND(#REF!,"AAAAAH47flA=")</f>
        <v>#REF!</v>
      </c>
      <c r="CD185" t="e">
        <f>AND(#REF!,"AAAAAH47flE=")</f>
        <v>#REF!</v>
      </c>
      <c r="CE185" t="e">
        <f>AND(#REF!,"AAAAAH47flI=")</f>
        <v>#REF!</v>
      </c>
      <c r="CF185" t="e">
        <f>AND(#REF!,"AAAAAH47flM=")</f>
        <v>#REF!</v>
      </c>
      <c r="CG185" t="e">
        <f>AND(#REF!,"AAAAAH47flQ=")</f>
        <v>#REF!</v>
      </c>
      <c r="CH185" t="e">
        <f>AND(#REF!,"AAAAAH47flU=")</f>
        <v>#REF!</v>
      </c>
      <c r="CI185" t="e">
        <f>AND(#REF!,"AAAAAH47flY=")</f>
        <v>#REF!</v>
      </c>
      <c r="CJ185" t="e">
        <f>AND(#REF!,"AAAAAH47flc=")</f>
        <v>#REF!</v>
      </c>
      <c r="CK185" t="e">
        <f>AND(#REF!,"AAAAAH47flg=")</f>
        <v>#REF!</v>
      </c>
      <c r="CL185" t="e">
        <f>AND(#REF!,"AAAAAH47flk=")</f>
        <v>#REF!</v>
      </c>
      <c r="CM185" t="e">
        <f>AND(#REF!,"AAAAAH47flo=")</f>
        <v>#REF!</v>
      </c>
      <c r="CN185" t="e">
        <f>AND(#REF!,"AAAAAH47fls=")</f>
        <v>#REF!</v>
      </c>
      <c r="CO185" t="e">
        <f>AND(#REF!,"AAAAAH47flw=")</f>
        <v>#REF!</v>
      </c>
      <c r="CP185" t="e">
        <f>AND(#REF!,"AAAAAH47fl0=")</f>
        <v>#REF!</v>
      </c>
      <c r="CQ185" t="e">
        <f>AND(#REF!,"AAAAAH47fl4=")</f>
        <v>#REF!</v>
      </c>
      <c r="CR185" t="e">
        <f>AND(#REF!,"AAAAAH47fl8=")</f>
        <v>#REF!</v>
      </c>
      <c r="CS185" t="e">
        <f>AND(#REF!,"AAAAAH47fmA=")</f>
        <v>#REF!</v>
      </c>
      <c r="CT185" t="e">
        <f>AND(#REF!,"AAAAAH47fmE=")</f>
        <v>#REF!</v>
      </c>
      <c r="CU185" t="e">
        <f>AND(#REF!,"AAAAAH47fmI=")</f>
        <v>#REF!</v>
      </c>
      <c r="CV185" t="e">
        <f>AND(#REF!,"AAAAAH47fmM=")</f>
        <v>#REF!</v>
      </c>
      <c r="CW185" t="e">
        <f>AND(#REF!,"AAAAAH47fmQ=")</f>
        <v>#REF!</v>
      </c>
      <c r="CX185" t="e">
        <f>AND(#REF!,"AAAAAH47fmU=")</f>
        <v>#REF!</v>
      </c>
      <c r="CY185" t="e">
        <f>AND(#REF!,"AAAAAH47fmY=")</f>
        <v>#REF!</v>
      </c>
      <c r="CZ185" t="e">
        <f>AND(#REF!,"AAAAAH47fmc=")</f>
        <v>#REF!</v>
      </c>
      <c r="DA185" t="e">
        <f>AND(#REF!,"AAAAAH47fmg=")</f>
        <v>#REF!</v>
      </c>
      <c r="DB185" t="e">
        <f>AND(#REF!,"AAAAAH47fmk=")</f>
        <v>#REF!</v>
      </c>
      <c r="DC185" t="e">
        <f>AND(#REF!,"AAAAAH47fmo=")</f>
        <v>#REF!</v>
      </c>
      <c r="DD185" t="e">
        <f>AND(#REF!,"AAAAAH47fms=")</f>
        <v>#REF!</v>
      </c>
      <c r="DE185" t="e">
        <f>AND(#REF!,"AAAAAH47fmw=")</f>
        <v>#REF!</v>
      </c>
      <c r="DF185" t="e">
        <f>AND(#REF!,"AAAAAH47fm0=")</f>
        <v>#REF!</v>
      </c>
      <c r="DG185" t="e">
        <f>AND(#REF!,"AAAAAH47fm4=")</f>
        <v>#REF!</v>
      </c>
      <c r="DH185" t="e">
        <f>AND(#REF!,"AAAAAH47fm8=")</f>
        <v>#REF!</v>
      </c>
      <c r="DI185" t="e">
        <f>AND(#REF!,"AAAAAH47fnA=")</f>
        <v>#REF!</v>
      </c>
      <c r="DJ185" t="e">
        <f>AND(#REF!,"AAAAAH47fnE=")</f>
        <v>#REF!</v>
      </c>
      <c r="DK185" t="e">
        <f>AND(#REF!,"AAAAAH47fnI=")</f>
        <v>#REF!</v>
      </c>
      <c r="DL185" t="e">
        <f>AND(#REF!,"AAAAAH47fnM=")</f>
        <v>#REF!</v>
      </c>
      <c r="DM185" t="e">
        <f>AND(#REF!,"AAAAAH47fnQ=")</f>
        <v>#REF!</v>
      </c>
      <c r="DN185" t="e">
        <f>AND(#REF!,"AAAAAH47fnU=")</f>
        <v>#REF!</v>
      </c>
      <c r="DO185" t="e">
        <f>AND(#REF!,"AAAAAH47fnY=")</f>
        <v>#REF!</v>
      </c>
      <c r="DP185" t="e">
        <f>AND(#REF!,"AAAAAH47fnc=")</f>
        <v>#REF!</v>
      </c>
      <c r="DQ185" t="e">
        <f>AND(#REF!,"AAAAAH47fng=")</f>
        <v>#REF!</v>
      </c>
      <c r="DR185" t="e">
        <f>AND(#REF!,"AAAAAH47fnk=")</f>
        <v>#REF!</v>
      </c>
      <c r="DS185" t="e">
        <f>AND(#REF!,"AAAAAH47fno=")</f>
        <v>#REF!</v>
      </c>
      <c r="DT185" t="e">
        <f>AND(#REF!,"AAAAAH47fns=")</f>
        <v>#REF!</v>
      </c>
      <c r="DU185" t="e">
        <f>AND(#REF!,"AAAAAH47fnw=")</f>
        <v>#REF!</v>
      </c>
      <c r="DV185" t="e">
        <f>AND(#REF!,"AAAAAH47fn0=")</f>
        <v>#REF!</v>
      </c>
      <c r="DW185" t="e">
        <f>AND(#REF!,"AAAAAH47fn4=")</f>
        <v>#REF!</v>
      </c>
      <c r="DX185" t="e">
        <f>AND(#REF!,"AAAAAH47fn8=")</f>
        <v>#REF!</v>
      </c>
      <c r="DY185" t="e">
        <f>AND(#REF!,"AAAAAH47foA=")</f>
        <v>#REF!</v>
      </c>
      <c r="DZ185" t="e">
        <f>AND(#REF!,"AAAAAH47foE=")</f>
        <v>#REF!</v>
      </c>
      <c r="EA185" t="e">
        <f>AND(#REF!,"AAAAAH47foI=")</f>
        <v>#REF!</v>
      </c>
      <c r="EB185" t="e">
        <f>AND(#REF!,"AAAAAH47foM=")</f>
        <v>#REF!</v>
      </c>
      <c r="EC185" t="e">
        <f>AND(#REF!,"AAAAAH47foQ=")</f>
        <v>#REF!</v>
      </c>
      <c r="ED185" t="e">
        <f>AND(#REF!,"AAAAAH47foU=")</f>
        <v>#REF!</v>
      </c>
      <c r="EE185" t="e">
        <f>AND(#REF!,"AAAAAH47foY=")</f>
        <v>#REF!</v>
      </c>
      <c r="EF185" t="e">
        <f>AND(#REF!,"AAAAAH47foc=")</f>
        <v>#REF!</v>
      </c>
      <c r="EG185" t="e">
        <f>AND(#REF!,"AAAAAH47fog=")</f>
        <v>#REF!</v>
      </c>
      <c r="EH185" t="e">
        <f>AND(#REF!,"AAAAAH47fok=")</f>
        <v>#REF!</v>
      </c>
      <c r="EI185" t="e">
        <f>AND(#REF!,"AAAAAH47foo=")</f>
        <v>#REF!</v>
      </c>
      <c r="EJ185" t="e">
        <f>AND(#REF!,"AAAAAH47fos=")</f>
        <v>#REF!</v>
      </c>
      <c r="EK185" t="e">
        <f>AND(#REF!,"AAAAAH47fow=")</f>
        <v>#REF!</v>
      </c>
      <c r="EL185" t="e">
        <f>AND(#REF!,"AAAAAH47fo0=")</f>
        <v>#REF!</v>
      </c>
      <c r="EM185" t="e">
        <f>AND(#REF!,"AAAAAH47fo4=")</f>
        <v>#REF!</v>
      </c>
      <c r="EN185" t="e">
        <f>IF(#REF!,"AAAAAH47fo8=",0)</f>
        <v>#REF!</v>
      </c>
      <c r="EO185" t="e">
        <f>AND(#REF!,"AAAAAH47fpA=")</f>
        <v>#REF!</v>
      </c>
      <c r="EP185" t="e">
        <f>AND(#REF!,"AAAAAH47fpE=")</f>
        <v>#REF!</v>
      </c>
      <c r="EQ185" t="e">
        <f>AND(#REF!,"AAAAAH47fpI=")</f>
        <v>#REF!</v>
      </c>
      <c r="ER185" t="e">
        <f>AND(#REF!,"AAAAAH47fpM=")</f>
        <v>#REF!</v>
      </c>
      <c r="ES185" t="e">
        <f>AND(#REF!,"AAAAAH47fpQ=")</f>
        <v>#REF!</v>
      </c>
      <c r="ET185" t="e">
        <f>AND(#REF!,"AAAAAH47fpU=")</f>
        <v>#REF!</v>
      </c>
      <c r="EU185" t="e">
        <f>AND(#REF!,"AAAAAH47fpY=")</f>
        <v>#REF!</v>
      </c>
      <c r="EV185" t="e">
        <f>AND(#REF!,"AAAAAH47fpc=")</f>
        <v>#REF!</v>
      </c>
      <c r="EW185" t="e">
        <f>AND(#REF!,"AAAAAH47fpg=")</f>
        <v>#REF!</v>
      </c>
      <c r="EX185" t="e">
        <f>AND(#REF!,"AAAAAH47fpk=")</f>
        <v>#REF!</v>
      </c>
      <c r="EY185" t="e">
        <f>AND(#REF!,"AAAAAH47fpo=")</f>
        <v>#REF!</v>
      </c>
      <c r="EZ185" t="e">
        <f>AND(#REF!,"AAAAAH47fps=")</f>
        <v>#REF!</v>
      </c>
      <c r="FA185" t="e">
        <f>AND(#REF!,"AAAAAH47fpw=")</f>
        <v>#REF!</v>
      </c>
      <c r="FB185" t="e">
        <f>AND(#REF!,"AAAAAH47fp0=")</f>
        <v>#REF!</v>
      </c>
      <c r="FC185" t="e">
        <f>AND(#REF!,"AAAAAH47fp4=")</f>
        <v>#REF!</v>
      </c>
      <c r="FD185" t="e">
        <f>AND(#REF!,"AAAAAH47fp8=")</f>
        <v>#REF!</v>
      </c>
      <c r="FE185" t="e">
        <f>AND(#REF!,"AAAAAH47fqA=")</f>
        <v>#REF!</v>
      </c>
      <c r="FF185" t="e">
        <f>AND(#REF!,"AAAAAH47fqE=")</f>
        <v>#REF!</v>
      </c>
      <c r="FG185" t="e">
        <f>AND(#REF!,"AAAAAH47fqI=")</f>
        <v>#REF!</v>
      </c>
      <c r="FH185" t="e">
        <f>AND(#REF!,"AAAAAH47fqM=")</f>
        <v>#REF!</v>
      </c>
      <c r="FI185" t="e">
        <f>AND(#REF!,"AAAAAH47fqQ=")</f>
        <v>#REF!</v>
      </c>
      <c r="FJ185" t="e">
        <f>AND(#REF!,"AAAAAH47fqU=")</f>
        <v>#REF!</v>
      </c>
      <c r="FK185" t="e">
        <f>AND(#REF!,"AAAAAH47fqY=")</f>
        <v>#REF!</v>
      </c>
      <c r="FL185" t="e">
        <f>AND(#REF!,"AAAAAH47fqc=")</f>
        <v>#REF!</v>
      </c>
      <c r="FM185" t="e">
        <f>AND(#REF!,"AAAAAH47fqg=")</f>
        <v>#REF!</v>
      </c>
      <c r="FN185" t="e">
        <f>AND(#REF!,"AAAAAH47fqk=")</f>
        <v>#REF!</v>
      </c>
      <c r="FO185" t="e">
        <f>AND(#REF!,"AAAAAH47fqo=")</f>
        <v>#REF!</v>
      </c>
      <c r="FP185" t="e">
        <f>AND(#REF!,"AAAAAH47fqs=")</f>
        <v>#REF!</v>
      </c>
      <c r="FQ185" t="e">
        <f>AND(#REF!,"AAAAAH47fqw=")</f>
        <v>#REF!</v>
      </c>
      <c r="FR185" t="e">
        <f>AND(#REF!,"AAAAAH47fq0=")</f>
        <v>#REF!</v>
      </c>
      <c r="FS185" t="e">
        <f>AND(#REF!,"AAAAAH47fq4=")</f>
        <v>#REF!</v>
      </c>
      <c r="FT185" t="e">
        <f>AND(#REF!,"AAAAAH47fq8=")</f>
        <v>#REF!</v>
      </c>
      <c r="FU185" t="e">
        <f>AND(#REF!,"AAAAAH47frA=")</f>
        <v>#REF!</v>
      </c>
      <c r="FV185" t="e">
        <f>AND(#REF!,"AAAAAH47frE=")</f>
        <v>#REF!</v>
      </c>
      <c r="FW185" t="e">
        <f>AND(#REF!,"AAAAAH47frI=")</f>
        <v>#REF!</v>
      </c>
      <c r="FX185" t="e">
        <f>AND(#REF!,"AAAAAH47frM=")</f>
        <v>#REF!</v>
      </c>
      <c r="FY185" t="e">
        <f>AND(#REF!,"AAAAAH47frQ=")</f>
        <v>#REF!</v>
      </c>
      <c r="FZ185" t="e">
        <f>AND(#REF!,"AAAAAH47frU=")</f>
        <v>#REF!</v>
      </c>
      <c r="GA185" t="e">
        <f>AND(#REF!,"AAAAAH47frY=")</f>
        <v>#REF!</v>
      </c>
      <c r="GB185" t="e">
        <f>AND(#REF!,"AAAAAH47frc=")</f>
        <v>#REF!</v>
      </c>
      <c r="GC185" t="e">
        <f>AND(#REF!,"AAAAAH47frg=")</f>
        <v>#REF!</v>
      </c>
      <c r="GD185" t="e">
        <f>AND(#REF!,"AAAAAH47frk=")</f>
        <v>#REF!</v>
      </c>
      <c r="GE185" t="e">
        <f>AND(#REF!,"AAAAAH47fro=")</f>
        <v>#REF!</v>
      </c>
      <c r="GF185" t="e">
        <f>AND(#REF!,"AAAAAH47frs=")</f>
        <v>#REF!</v>
      </c>
      <c r="GG185" t="e">
        <f>AND(#REF!,"AAAAAH47frw=")</f>
        <v>#REF!</v>
      </c>
      <c r="GH185" t="e">
        <f>AND(#REF!,"AAAAAH47fr0=")</f>
        <v>#REF!</v>
      </c>
      <c r="GI185" t="e">
        <f>AND(#REF!,"AAAAAH47fr4=")</f>
        <v>#REF!</v>
      </c>
      <c r="GJ185" t="e">
        <f>AND(#REF!,"AAAAAH47fr8=")</f>
        <v>#REF!</v>
      </c>
      <c r="GK185" t="e">
        <f>AND(#REF!,"AAAAAH47fsA=")</f>
        <v>#REF!</v>
      </c>
      <c r="GL185" t="e">
        <f>AND(#REF!,"AAAAAH47fsE=")</f>
        <v>#REF!</v>
      </c>
      <c r="GM185" t="e">
        <f>AND(#REF!,"AAAAAH47fsI=")</f>
        <v>#REF!</v>
      </c>
      <c r="GN185" t="e">
        <f>AND(#REF!,"AAAAAH47fsM=")</f>
        <v>#REF!</v>
      </c>
      <c r="GO185" t="e">
        <f>AND(#REF!,"AAAAAH47fsQ=")</f>
        <v>#REF!</v>
      </c>
      <c r="GP185" t="e">
        <f>AND(#REF!,"AAAAAH47fsU=")</f>
        <v>#REF!</v>
      </c>
      <c r="GQ185" t="e">
        <f>AND(#REF!,"AAAAAH47fsY=")</f>
        <v>#REF!</v>
      </c>
      <c r="GR185" t="e">
        <f>AND(#REF!,"AAAAAH47fsc=")</f>
        <v>#REF!</v>
      </c>
      <c r="GS185" t="e">
        <f>AND(#REF!,"AAAAAH47fsg=")</f>
        <v>#REF!</v>
      </c>
      <c r="GT185" t="e">
        <f>AND(#REF!,"AAAAAH47fsk=")</f>
        <v>#REF!</v>
      </c>
      <c r="GU185" t="e">
        <f>AND(#REF!,"AAAAAH47fso=")</f>
        <v>#REF!</v>
      </c>
      <c r="GV185" t="e">
        <f>AND(#REF!,"AAAAAH47fss=")</f>
        <v>#REF!</v>
      </c>
      <c r="GW185" t="e">
        <f>AND(#REF!,"AAAAAH47fsw=")</f>
        <v>#REF!</v>
      </c>
      <c r="GX185" t="e">
        <f>AND(#REF!,"AAAAAH47fs0=")</f>
        <v>#REF!</v>
      </c>
      <c r="GY185" t="e">
        <f>AND(#REF!,"AAAAAH47fs4=")</f>
        <v>#REF!</v>
      </c>
      <c r="GZ185" t="e">
        <f>AND(#REF!,"AAAAAH47fs8=")</f>
        <v>#REF!</v>
      </c>
      <c r="HA185" t="e">
        <f>AND(#REF!,"AAAAAH47ftA=")</f>
        <v>#REF!</v>
      </c>
      <c r="HB185" t="e">
        <f>AND(#REF!,"AAAAAH47ftE=")</f>
        <v>#REF!</v>
      </c>
      <c r="HC185" t="e">
        <f>AND(#REF!,"AAAAAH47ftI=")</f>
        <v>#REF!</v>
      </c>
      <c r="HD185" t="e">
        <f>AND(#REF!,"AAAAAH47ftM=")</f>
        <v>#REF!</v>
      </c>
      <c r="HE185" t="e">
        <f>IF(#REF!,"AAAAAH47ftQ=",0)</f>
        <v>#REF!</v>
      </c>
      <c r="HF185" t="e">
        <f>AND(#REF!,"AAAAAH47ftU=")</f>
        <v>#REF!</v>
      </c>
      <c r="HG185" t="e">
        <f>AND(#REF!,"AAAAAH47ftY=")</f>
        <v>#REF!</v>
      </c>
      <c r="HH185" t="e">
        <f>AND(#REF!,"AAAAAH47ftc=")</f>
        <v>#REF!</v>
      </c>
      <c r="HI185" t="e">
        <f>AND(#REF!,"AAAAAH47ftg=")</f>
        <v>#REF!</v>
      </c>
      <c r="HJ185" t="e">
        <f>AND(#REF!,"AAAAAH47ftk=")</f>
        <v>#REF!</v>
      </c>
      <c r="HK185" t="e">
        <f>AND(#REF!,"AAAAAH47fto=")</f>
        <v>#REF!</v>
      </c>
      <c r="HL185" t="e">
        <f>AND(#REF!,"AAAAAH47fts=")</f>
        <v>#REF!</v>
      </c>
      <c r="HM185" t="e">
        <f>AND(#REF!,"AAAAAH47ftw=")</f>
        <v>#REF!</v>
      </c>
      <c r="HN185" t="e">
        <f>AND(#REF!,"AAAAAH47ft0=")</f>
        <v>#REF!</v>
      </c>
      <c r="HO185" t="e">
        <f>AND(#REF!,"AAAAAH47ft4=")</f>
        <v>#REF!</v>
      </c>
      <c r="HP185" t="e">
        <f>AND(#REF!,"AAAAAH47ft8=")</f>
        <v>#REF!</v>
      </c>
      <c r="HQ185" t="e">
        <f>AND(#REF!,"AAAAAH47fuA=")</f>
        <v>#REF!</v>
      </c>
      <c r="HR185" t="e">
        <f>AND(#REF!,"AAAAAH47fuE=")</f>
        <v>#REF!</v>
      </c>
      <c r="HS185" t="e">
        <f>AND(#REF!,"AAAAAH47fuI=")</f>
        <v>#REF!</v>
      </c>
      <c r="HT185" t="e">
        <f>AND(#REF!,"AAAAAH47fuM=")</f>
        <v>#REF!</v>
      </c>
      <c r="HU185" t="e">
        <f>AND(#REF!,"AAAAAH47fuQ=")</f>
        <v>#REF!</v>
      </c>
      <c r="HV185" t="e">
        <f>AND(#REF!,"AAAAAH47fuU=")</f>
        <v>#REF!</v>
      </c>
      <c r="HW185" t="e">
        <f>AND(#REF!,"AAAAAH47fuY=")</f>
        <v>#REF!</v>
      </c>
      <c r="HX185" t="e">
        <f>AND(#REF!,"AAAAAH47fuc=")</f>
        <v>#REF!</v>
      </c>
      <c r="HY185" t="e">
        <f>AND(#REF!,"AAAAAH47fug=")</f>
        <v>#REF!</v>
      </c>
      <c r="HZ185" t="e">
        <f>AND(#REF!,"AAAAAH47fuk=")</f>
        <v>#REF!</v>
      </c>
      <c r="IA185" t="e">
        <f>AND(#REF!,"AAAAAH47fuo=")</f>
        <v>#REF!</v>
      </c>
      <c r="IB185" t="e">
        <f>AND(#REF!,"AAAAAH47fus=")</f>
        <v>#REF!</v>
      </c>
      <c r="IC185" t="e">
        <f>AND(#REF!,"AAAAAH47fuw=")</f>
        <v>#REF!</v>
      </c>
      <c r="ID185" t="e">
        <f>AND(#REF!,"AAAAAH47fu0=")</f>
        <v>#REF!</v>
      </c>
      <c r="IE185" t="e">
        <f>AND(#REF!,"AAAAAH47fu4=")</f>
        <v>#REF!</v>
      </c>
      <c r="IF185" t="e">
        <f>AND(#REF!,"AAAAAH47fu8=")</f>
        <v>#REF!</v>
      </c>
      <c r="IG185" t="e">
        <f>AND(#REF!,"AAAAAH47fvA=")</f>
        <v>#REF!</v>
      </c>
      <c r="IH185" t="e">
        <f>AND(#REF!,"AAAAAH47fvE=")</f>
        <v>#REF!</v>
      </c>
      <c r="II185" t="e">
        <f>AND(#REF!,"AAAAAH47fvI=")</f>
        <v>#REF!</v>
      </c>
      <c r="IJ185" t="e">
        <f>AND(#REF!,"AAAAAH47fvM=")</f>
        <v>#REF!</v>
      </c>
      <c r="IK185" t="e">
        <f>AND(#REF!,"AAAAAH47fvQ=")</f>
        <v>#REF!</v>
      </c>
      <c r="IL185" t="e">
        <f>AND(#REF!,"AAAAAH47fvU=")</f>
        <v>#REF!</v>
      </c>
      <c r="IM185" t="e">
        <f>AND(#REF!,"AAAAAH47fvY=")</f>
        <v>#REF!</v>
      </c>
      <c r="IN185" t="e">
        <f>AND(#REF!,"AAAAAH47fvc=")</f>
        <v>#REF!</v>
      </c>
      <c r="IO185" t="e">
        <f>AND(#REF!,"AAAAAH47fvg=")</f>
        <v>#REF!</v>
      </c>
      <c r="IP185" t="e">
        <f>AND(#REF!,"AAAAAH47fvk=")</f>
        <v>#REF!</v>
      </c>
      <c r="IQ185" t="e">
        <f>AND(#REF!,"AAAAAH47fvo=")</f>
        <v>#REF!</v>
      </c>
      <c r="IR185" t="e">
        <f>AND(#REF!,"AAAAAH47fvs=")</f>
        <v>#REF!</v>
      </c>
      <c r="IS185" t="e">
        <f>AND(#REF!,"AAAAAH47fvw=")</f>
        <v>#REF!</v>
      </c>
      <c r="IT185" t="e">
        <f>AND(#REF!,"AAAAAH47fv0=")</f>
        <v>#REF!</v>
      </c>
      <c r="IU185" t="e">
        <f>AND(#REF!,"AAAAAH47fv4=")</f>
        <v>#REF!</v>
      </c>
      <c r="IV185" t="e">
        <f>AND(#REF!,"AAAAAH47fv8=")</f>
        <v>#REF!</v>
      </c>
    </row>
    <row r="186" spans="1:256" x14ac:dyDescent="0.25">
      <c r="A186" t="e">
        <f>AND(#REF!,"AAAAAGt/zgA=")</f>
        <v>#REF!</v>
      </c>
      <c r="B186" t="e">
        <f>AND(#REF!,"AAAAAGt/zgE=")</f>
        <v>#REF!</v>
      </c>
      <c r="C186" t="e">
        <f>AND(#REF!,"AAAAAGt/zgI=")</f>
        <v>#REF!</v>
      </c>
      <c r="D186" t="e">
        <f>AND(#REF!,"AAAAAGt/zgM=")</f>
        <v>#REF!</v>
      </c>
      <c r="E186" t="e">
        <f>AND(#REF!,"AAAAAGt/zgQ=")</f>
        <v>#REF!</v>
      </c>
      <c r="F186" t="e">
        <f>AND(#REF!,"AAAAAGt/zgU=")</f>
        <v>#REF!</v>
      </c>
      <c r="G186" t="e">
        <f>AND(#REF!,"AAAAAGt/zgY=")</f>
        <v>#REF!</v>
      </c>
      <c r="H186" t="e">
        <f>AND(#REF!,"AAAAAGt/zgc=")</f>
        <v>#REF!</v>
      </c>
      <c r="I186" t="e">
        <f>AND(#REF!,"AAAAAGt/zgg=")</f>
        <v>#REF!</v>
      </c>
      <c r="J186" t="e">
        <f>AND(#REF!,"AAAAAGt/zgk=")</f>
        <v>#REF!</v>
      </c>
      <c r="K186" t="e">
        <f>AND(#REF!,"AAAAAGt/zgo=")</f>
        <v>#REF!</v>
      </c>
      <c r="L186" t="e">
        <f>AND(#REF!,"AAAAAGt/zgs=")</f>
        <v>#REF!</v>
      </c>
      <c r="M186" t="e">
        <f>AND(#REF!,"AAAAAGt/zgw=")</f>
        <v>#REF!</v>
      </c>
      <c r="N186" t="e">
        <f>AND(#REF!,"AAAAAGt/zg0=")</f>
        <v>#REF!</v>
      </c>
      <c r="O186" t="e">
        <f>AND(#REF!,"AAAAAGt/zg4=")</f>
        <v>#REF!</v>
      </c>
      <c r="P186" t="e">
        <f>AND(#REF!,"AAAAAGt/zg8=")</f>
        <v>#REF!</v>
      </c>
      <c r="Q186" t="e">
        <f>AND(#REF!,"AAAAAGt/zhA=")</f>
        <v>#REF!</v>
      </c>
      <c r="R186" t="e">
        <f>AND(#REF!,"AAAAAGt/zhE=")</f>
        <v>#REF!</v>
      </c>
      <c r="S186" t="e">
        <f>AND(#REF!,"AAAAAGt/zhI=")</f>
        <v>#REF!</v>
      </c>
      <c r="T186" t="e">
        <f>AND(#REF!,"AAAAAGt/zhM=")</f>
        <v>#REF!</v>
      </c>
      <c r="U186" t="e">
        <f>AND(#REF!,"AAAAAGt/zhQ=")</f>
        <v>#REF!</v>
      </c>
      <c r="V186" t="e">
        <f>AND(#REF!,"AAAAAGt/zhU=")</f>
        <v>#REF!</v>
      </c>
      <c r="W186" t="e">
        <f>AND(#REF!,"AAAAAGt/zhY=")</f>
        <v>#REF!</v>
      </c>
      <c r="X186" t="e">
        <f>AND(#REF!,"AAAAAGt/zhc=")</f>
        <v>#REF!</v>
      </c>
      <c r="Y186" t="e">
        <f>AND(#REF!,"AAAAAGt/zhg=")</f>
        <v>#REF!</v>
      </c>
      <c r="Z186" t="e">
        <f>IF(#REF!,"AAAAAGt/zhk=",0)</f>
        <v>#REF!</v>
      </c>
      <c r="AA186" t="e">
        <f>AND(#REF!,"AAAAAGt/zho=")</f>
        <v>#REF!</v>
      </c>
      <c r="AB186" t="e">
        <f>AND(#REF!,"AAAAAGt/zhs=")</f>
        <v>#REF!</v>
      </c>
      <c r="AC186" t="e">
        <f>AND(#REF!,"AAAAAGt/zhw=")</f>
        <v>#REF!</v>
      </c>
      <c r="AD186" t="e">
        <f>AND(#REF!,"AAAAAGt/zh0=")</f>
        <v>#REF!</v>
      </c>
      <c r="AE186" t="e">
        <f>AND(#REF!,"AAAAAGt/zh4=")</f>
        <v>#REF!</v>
      </c>
      <c r="AF186" t="e">
        <f>AND(#REF!,"AAAAAGt/zh8=")</f>
        <v>#REF!</v>
      </c>
      <c r="AG186" t="e">
        <f>AND(#REF!,"AAAAAGt/ziA=")</f>
        <v>#REF!</v>
      </c>
      <c r="AH186" t="e">
        <f>AND(#REF!,"AAAAAGt/ziE=")</f>
        <v>#REF!</v>
      </c>
      <c r="AI186" t="e">
        <f>AND(#REF!,"AAAAAGt/ziI=")</f>
        <v>#REF!</v>
      </c>
      <c r="AJ186" t="e">
        <f>AND(#REF!,"AAAAAGt/ziM=")</f>
        <v>#REF!</v>
      </c>
      <c r="AK186" t="e">
        <f>AND(#REF!,"AAAAAGt/ziQ=")</f>
        <v>#REF!</v>
      </c>
      <c r="AL186" t="e">
        <f>AND(#REF!,"AAAAAGt/ziU=")</f>
        <v>#REF!</v>
      </c>
      <c r="AM186" t="e">
        <f>AND(#REF!,"AAAAAGt/ziY=")</f>
        <v>#REF!</v>
      </c>
      <c r="AN186" t="e">
        <f>AND(#REF!,"AAAAAGt/zic=")</f>
        <v>#REF!</v>
      </c>
      <c r="AO186" t="e">
        <f>AND(#REF!,"AAAAAGt/zig=")</f>
        <v>#REF!</v>
      </c>
      <c r="AP186" t="e">
        <f>AND(#REF!,"AAAAAGt/zik=")</f>
        <v>#REF!</v>
      </c>
      <c r="AQ186" t="e">
        <f>AND(#REF!,"AAAAAGt/zio=")</f>
        <v>#REF!</v>
      </c>
      <c r="AR186" t="e">
        <f>AND(#REF!,"AAAAAGt/zis=")</f>
        <v>#REF!</v>
      </c>
      <c r="AS186" t="e">
        <f>AND(#REF!,"AAAAAGt/ziw=")</f>
        <v>#REF!</v>
      </c>
      <c r="AT186" t="e">
        <f>AND(#REF!,"AAAAAGt/zi0=")</f>
        <v>#REF!</v>
      </c>
      <c r="AU186" t="e">
        <f>AND(#REF!,"AAAAAGt/zi4=")</f>
        <v>#REF!</v>
      </c>
      <c r="AV186" t="e">
        <f>AND(#REF!,"AAAAAGt/zi8=")</f>
        <v>#REF!</v>
      </c>
      <c r="AW186" t="e">
        <f>AND(#REF!,"AAAAAGt/zjA=")</f>
        <v>#REF!</v>
      </c>
      <c r="AX186" t="e">
        <f>AND(#REF!,"AAAAAGt/zjE=")</f>
        <v>#REF!</v>
      </c>
      <c r="AY186" t="e">
        <f>AND(#REF!,"AAAAAGt/zjI=")</f>
        <v>#REF!</v>
      </c>
      <c r="AZ186" t="e">
        <f>AND(#REF!,"AAAAAGt/zjM=")</f>
        <v>#REF!</v>
      </c>
      <c r="BA186" t="e">
        <f>AND(#REF!,"AAAAAGt/zjQ=")</f>
        <v>#REF!</v>
      </c>
      <c r="BB186" t="e">
        <f>AND(#REF!,"AAAAAGt/zjU=")</f>
        <v>#REF!</v>
      </c>
      <c r="BC186" t="e">
        <f>AND(#REF!,"AAAAAGt/zjY=")</f>
        <v>#REF!</v>
      </c>
      <c r="BD186" t="e">
        <f>AND(#REF!,"AAAAAGt/zjc=")</f>
        <v>#REF!</v>
      </c>
      <c r="BE186" t="e">
        <f>AND(#REF!,"AAAAAGt/zjg=")</f>
        <v>#REF!</v>
      </c>
      <c r="BF186" t="e">
        <f>AND(#REF!,"AAAAAGt/zjk=")</f>
        <v>#REF!</v>
      </c>
      <c r="BG186" t="e">
        <f>AND(#REF!,"AAAAAGt/zjo=")</f>
        <v>#REF!</v>
      </c>
      <c r="BH186" t="e">
        <f>AND(#REF!,"AAAAAGt/zjs=")</f>
        <v>#REF!</v>
      </c>
      <c r="BI186" t="e">
        <f>AND(#REF!,"AAAAAGt/zjw=")</f>
        <v>#REF!</v>
      </c>
      <c r="BJ186" t="e">
        <f>AND(#REF!,"AAAAAGt/zj0=")</f>
        <v>#REF!</v>
      </c>
      <c r="BK186" t="e">
        <f>AND(#REF!,"AAAAAGt/zj4=")</f>
        <v>#REF!</v>
      </c>
      <c r="BL186" t="e">
        <f>AND(#REF!,"AAAAAGt/zj8=")</f>
        <v>#REF!</v>
      </c>
      <c r="BM186" t="e">
        <f>AND(#REF!,"AAAAAGt/zkA=")</f>
        <v>#REF!</v>
      </c>
      <c r="BN186" t="e">
        <f>AND(#REF!,"AAAAAGt/zkE=")</f>
        <v>#REF!</v>
      </c>
      <c r="BO186" t="e">
        <f>AND(#REF!,"AAAAAGt/zkI=")</f>
        <v>#REF!</v>
      </c>
      <c r="BP186" t="e">
        <f>AND(#REF!,"AAAAAGt/zkM=")</f>
        <v>#REF!</v>
      </c>
      <c r="BQ186" t="e">
        <f>AND(#REF!,"AAAAAGt/zkQ=")</f>
        <v>#REF!</v>
      </c>
      <c r="BR186" t="e">
        <f>AND(#REF!,"AAAAAGt/zkU=")</f>
        <v>#REF!</v>
      </c>
      <c r="BS186" t="e">
        <f>AND(#REF!,"AAAAAGt/zkY=")</f>
        <v>#REF!</v>
      </c>
      <c r="BT186" t="e">
        <f>AND(#REF!,"AAAAAGt/zkc=")</f>
        <v>#REF!</v>
      </c>
      <c r="BU186" t="e">
        <f>AND(#REF!,"AAAAAGt/zkg=")</f>
        <v>#REF!</v>
      </c>
      <c r="BV186" t="e">
        <f>AND(#REF!,"AAAAAGt/zkk=")</f>
        <v>#REF!</v>
      </c>
      <c r="BW186" t="e">
        <f>AND(#REF!,"AAAAAGt/zko=")</f>
        <v>#REF!</v>
      </c>
      <c r="BX186" t="e">
        <f>AND(#REF!,"AAAAAGt/zks=")</f>
        <v>#REF!</v>
      </c>
      <c r="BY186" t="e">
        <f>AND(#REF!,"AAAAAGt/zkw=")</f>
        <v>#REF!</v>
      </c>
      <c r="BZ186" t="e">
        <f>AND(#REF!,"AAAAAGt/zk0=")</f>
        <v>#REF!</v>
      </c>
      <c r="CA186" t="e">
        <f>AND(#REF!,"AAAAAGt/zk4=")</f>
        <v>#REF!</v>
      </c>
      <c r="CB186" t="e">
        <f>AND(#REF!,"AAAAAGt/zk8=")</f>
        <v>#REF!</v>
      </c>
      <c r="CC186" t="e">
        <f>AND(#REF!,"AAAAAGt/zlA=")</f>
        <v>#REF!</v>
      </c>
      <c r="CD186" t="e">
        <f>AND(#REF!,"AAAAAGt/zlE=")</f>
        <v>#REF!</v>
      </c>
      <c r="CE186" t="e">
        <f>AND(#REF!,"AAAAAGt/zlI=")</f>
        <v>#REF!</v>
      </c>
      <c r="CF186" t="e">
        <f>AND(#REF!,"AAAAAGt/zlM=")</f>
        <v>#REF!</v>
      </c>
      <c r="CG186" t="e">
        <f>AND(#REF!,"AAAAAGt/zlQ=")</f>
        <v>#REF!</v>
      </c>
      <c r="CH186" t="e">
        <f>AND(#REF!,"AAAAAGt/zlU=")</f>
        <v>#REF!</v>
      </c>
      <c r="CI186" t="e">
        <f>AND(#REF!,"AAAAAGt/zlY=")</f>
        <v>#REF!</v>
      </c>
      <c r="CJ186" t="e">
        <f>AND(#REF!,"AAAAAGt/zlc=")</f>
        <v>#REF!</v>
      </c>
      <c r="CK186" t="e">
        <f>AND(#REF!,"AAAAAGt/zlg=")</f>
        <v>#REF!</v>
      </c>
      <c r="CL186" t="e">
        <f>AND(#REF!,"AAAAAGt/zlk=")</f>
        <v>#REF!</v>
      </c>
      <c r="CM186" t="e">
        <f>AND(#REF!,"AAAAAGt/zlo=")</f>
        <v>#REF!</v>
      </c>
      <c r="CN186" t="e">
        <f>AND(#REF!,"AAAAAGt/zls=")</f>
        <v>#REF!</v>
      </c>
      <c r="CO186" t="e">
        <f>AND(#REF!,"AAAAAGt/zlw=")</f>
        <v>#REF!</v>
      </c>
      <c r="CP186" t="e">
        <f>AND(#REF!,"AAAAAGt/zl0=")</f>
        <v>#REF!</v>
      </c>
      <c r="CQ186" t="e">
        <f>IF(#REF!,"AAAAAGt/zl4=",0)</f>
        <v>#REF!</v>
      </c>
      <c r="CR186" t="e">
        <f>AND(#REF!,"AAAAAGt/zl8=")</f>
        <v>#REF!</v>
      </c>
      <c r="CS186" t="e">
        <f>AND(#REF!,"AAAAAGt/zmA=")</f>
        <v>#REF!</v>
      </c>
      <c r="CT186" t="e">
        <f>AND(#REF!,"AAAAAGt/zmE=")</f>
        <v>#REF!</v>
      </c>
      <c r="CU186" t="e">
        <f>AND(#REF!,"AAAAAGt/zmI=")</f>
        <v>#REF!</v>
      </c>
      <c r="CV186" t="e">
        <f>AND(#REF!,"AAAAAGt/zmM=")</f>
        <v>#REF!</v>
      </c>
      <c r="CW186" t="e">
        <f>AND(#REF!,"AAAAAGt/zmQ=")</f>
        <v>#REF!</v>
      </c>
      <c r="CX186" t="e">
        <f>AND(#REF!,"AAAAAGt/zmU=")</f>
        <v>#REF!</v>
      </c>
      <c r="CY186" t="e">
        <f>AND(#REF!,"AAAAAGt/zmY=")</f>
        <v>#REF!</v>
      </c>
      <c r="CZ186" t="e">
        <f>AND(#REF!,"AAAAAGt/zmc=")</f>
        <v>#REF!</v>
      </c>
      <c r="DA186" t="e">
        <f>AND(#REF!,"AAAAAGt/zmg=")</f>
        <v>#REF!</v>
      </c>
      <c r="DB186" t="e">
        <f>AND(#REF!,"AAAAAGt/zmk=")</f>
        <v>#REF!</v>
      </c>
      <c r="DC186" t="e">
        <f>AND(#REF!,"AAAAAGt/zmo=")</f>
        <v>#REF!</v>
      </c>
      <c r="DD186" t="e">
        <f>AND(#REF!,"AAAAAGt/zms=")</f>
        <v>#REF!</v>
      </c>
      <c r="DE186" t="e">
        <f>AND(#REF!,"AAAAAGt/zmw=")</f>
        <v>#REF!</v>
      </c>
      <c r="DF186" t="e">
        <f>AND(#REF!,"AAAAAGt/zm0=")</f>
        <v>#REF!</v>
      </c>
      <c r="DG186" t="e">
        <f>AND(#REF!,"AAAAAGt/zm4=")</f>
        <v>#REF!</v>
      </c>
      <c r="DH186" t="e">
        <f>AND(#REF!,"AAAAAGt/zm8=")</f>
        <v>#REF!</v>
      </c>
      <c r="DI186" t="e">
        <f>AND(#REF!,"AAAAAGt/znA=")</f>
        <v>#REF!</v>
      </c>
      <c r="DJ186" t="e">
        <f>AND(#REF!,"AAAAAGt/znE=")</f>
        <v>#REF!</v>
      </c>
      <c r="DK186" t="e">
        <f>AND(#REF!,"AAAAAGt/znI=")</f>
        <v>#REF!</v>
      </c>
      <c r="DL186" t="e">
        <f>AND(#REF!,"AAAAAGt/znM=")</f>
        <v>#REF!</v>
      </c>
      <c r="DM186" t="e">
        <f>AND(#REF!,"AAAAAGt/znQ=")</f>
        <v>#REF!</v>
      </c>
      <c r="DN186" t="e">
        <f>AND(#REF!,"AAAAAGt/znU=")</f>
        <v>#REF!</v>
      </c>
      <c r="DO186" t="e">
        <f>AND(#REF!,"AAAAAGt/znY=")</f>
        <v>#REF!</v>
      </c>
      <c r="DP186" t="e">
        <f>AND(#REF!,"AAAAAGt/znc=")</f>
        <v>#REF!</v>
      </c>
      <c r="DQ186" t="e">
        <f>AND(#REF!,"AAAAAGt/zng=")</f>
        <v>#REF!</v>
      </c>
      <c r="DR186" t="e">
        <f>AND(#REF!,"AAAAAGt/znk=")</f>
        <v>#REF!</v>
      </c>
      <c r="DS186" t="e">
        <f>AND(#REF!,"AAAAAGt/zno=")</f>
        <v>#REF!</v>
      </c>
      <c r="DT186" t="e">
        <f>AND(#REF!,"AAAAAGt/zns=")</f>
        <v>#REF!</v>
      </c>
      <c r="DU186" t="e">
        <f>AND(#REF!,"AAAAAGt/znw=")</f>
        <v>#REF!</v>
      </c>
      <c r="DV186" t="e">
        <f>AND(#REF!,"AAAAAGt/zn0=")</f>
        <v>#REF!</v>
      </c>
      <c r="DW186" t="e">
        <f>AND(#REF!,"AAAAAGt/zn4=")</f>
        <v>#REF!</v>
      </c>
      <c r="DX186" t="e">
        <f>AND(#REF!,"AAAAAGt/zn8=")</f>
        <v>#REF!</v>
      </c>
      <c r="DY186" t="e">
        <f>AND(#REF!,"AAAAAGt/zoA=")</f>
        <v>#REF!</v>
      </c>
      <c r="DZ186" t="e">
        <f>AND(#REF!,"AAAAAGt/zoE=")</f>
        <v>#REF!</v>
      </c>
      <c r="EA186" t="e">
        <f>AND(#REF!,"AAAAAGt/zoI=")</f>
        <v>#REF!</v>
      </c>
      <c r="EB186" t="e">
        <f>AND(#REF!,"AAAAAGt/zoM=")</f>
        <v>#REF!</v>
      </c>
      <c r="EC186" t="e">
        <f>AND(#REF!,"AAAAAGt/zoQ=")</f>
        <v>#REF!</v>
      </c>
      <c r="ED186" t="e">
        <f>AND(#REF!,"AAAAAGt/zoU=")</f>
        <v>#REF!</v>
      </c>
      <c r="EE186" t="e">
        <f>AND(#REF!,"AAAAAGt/zoY=")</f>
        <v>#REF!</v>
      </c>
      <c r="EF186" t="e">
        <f>AND(#REF!,"AAAAAGt/zoc=")</f>
        <v>#REF!</v>
      </c>
      <c r="EG186" t="e">
        <f>AND(#REF!,"AAAAAGt/zog=")</f>
        <v>#REF!</v>
      </c>
      <c r="EH186" t="e">
        <f>AND(#REF!,"AAAAAGt/zok=")</f>
        <v>#REF!</v>
      </c>
      <c r="EI186" t="e">
        <f>AND(#REF!,"AAAAAGt/zoo=")</f>
        <v>#REF!</v>
      </c>
      <c r="EJ186" t="e">
        <f>AND(#REF!,"AAAAAGt/zos=")</f>
        <v>#REF!</v>
      </c>
      <c r="EK186" t="e">
        <f>AND(#REF!,"AAAAAGt/zow=")</f>
        <v>#REF!</v>
      </c>
      <c r="EL186" t="e">
        <f>AND(#REF!,"AAAAAGt/zo0=")</f>
        <v>#REF!</v>
      </c>
      <c r="EM186" t="e">
        <f>AND(#REF!,"AAAAAGt/zo4=")</f>
        <v>#REF!</v>
      </c>
      <c r="EN186" t="e">
        <f>AND(#REF!,"AAAAAGt/zo8=")</f>
        <v>#REF!</v>
      </c>
      <c r="EO186" t="e">
        <f>AND(#REF!,"AAAAAGt/zpA=")</f>
        <v>#REF!</v>
      </c>
      <c r="EP186" t="e">
        <f>AND(#REF!,"AAAAAGt/zpE=")</f>
        <v>#REF!</v>
      </c>
      <c r="EQ186" t="e">
        <f>AND(#REF!,"AAAAAGt/zpI=")</f>
        <v>#REF!</v>
      </c>
      <c r="ER186" t="e">
        <f>AND(#REF!,"AAAAAGt/zpM=")</f>
        <v>#REF!</v>
      </c>
      <c r="ES186" t="e">
        <f>AND(#REF!,"AAAAAGt/zpQ=")</f>
        <v>#REF!</v>
      </c>
      <c r="ET186" t="e">
        <f>AND(#REF!,"AAAAAGt/zpU=")</f>
        <v>#REF!</v>
      </c>
      <c r="EU186" t="e">
        <f>AND(#REF!,"AAAAAGt/zpY=")</f>
        <v>#REF!</v>
      </c>
      <c r="EV186" t="e">
        <f>AND(#REF!,"AAAAAGt/zpc=")</f>
        <v>#REF!</v>
      </c>
      <c r="EW186" t="e">
        <f>AND(#REF!,"AAAAAGt/zpg=")</f>
        <v>#REF!</v>
      </c>
      <c r="EX186" t="e">
        <f>AND(#REF!,"AAAAAGt/zpk=")</f>
        <v>#REF!</v>
      </c>
      <c r="EY186" t="e">
        <f>AND(#REF!,"AAAAAGt/zpo=")</f>
        <v>#REF!</v>
      </c>
      <c r="EZ186" t="e">
        <f>AND(#REF!,"AAAAAGt/zps=")</f>
        <v>#REF!</v>
      </c>
      <c r="FA186" t="e">
        <f>AND(#REF!,"AAAAAGt/zpw=")</f>
        <v>#REF!</v>
      </c>
      <c r="FB186" t="e">
        <f>AND(#REF!,"AAAAAGt/zp0=")</f>
        <v>#REF!</v>
      </c>
      <c r="FC186" t="e">
        <f>AND(#REF!,"AAAAAGt/zp4=")</f>
        <v>#REF!</v>
      </c>
      <c r="FD186" t="e">
        <f>AND(#REF!,"AAAAAGt/zp8=")</f>
        <v>#REF!</v>
      </c>
      <c r="FE186" t="e">
        <f>AND(#REF!,"AAAAAGt/zqA=")</f>
        <v>#REF!</v>
      </c>
      <c r="FF186" t="e">
        <f>AND(#REF!,"AAAAAGt/zqE=")</f>
        <v>#REF!</v>
      </c>
      <c r="FG186" t="e">
        <f>AND(#REF!,"AAAAAGt/zqI=")</f>
        <v>#REF!</v>
      </c>
      <c r="FH186" t="e">
        <f>IF(#REF!,"AAAAAGt/zqM=",0)</f>
        <v>#REF!</v>
      </c>
      <c r="FI186" t="e">
        <f>AND(#REF!,"AAAAAGt/zqQ=")</f>
        <v>#REF!</v>
      </c>
      <c r="FJ186" t="e">
        <f>AND(#REF!,"AAAAAGt/zqU=")</f>
        <v>#REF!</v>
      </c>
      <c r="FK186" t="e">
        <f>AND(#REF!,"AAAAAGt/zqY=")</f>
        <v>#REF!</v>
      </c>
      <c r="FL186" t="e">
        <f>AND(#REF!,"AAAAAGt/zqc=")</f>
        <v>#REF!</v>
      </c>
      <c r="FM186" t="e">
        <f>AND(#REF!,"AAAAAGt/zqg=")</f>
        <v>#REF!</v>
      </c>
      <c r="FN186" t="e">
        <f>AND(#REF!,"AAAAAGt/zqk=")</f>
        <v>#REF!</v>
      </c>
      <c r="FO186" t="e">
        <f>AND(#REF!,"AAAAAGt/zqo=")</f>
        <v>#REF!</v>
      </c>
      <c r="FP186" t="e">
        <f>AND(#REF!,"AAAAAGt/zqs=")</f>
        <v>#REF!</v>
      </c>
      <c r="FQ186" t="e">
        <f>AND(#REF!,"AAAAAGt/zqw=")</f>
        <v>#REF!</v>
      </c>
      <c r="FR186" t="e">
        <f>AND(#REF!,"AAAAAGt/zq0=")</f>
        <v>#REF!</v>
      </c>
      <c r="FS186" t="e">
        <f>AND(#REF!,"AAAAAGt/zq4=")</f>
        <v>#REF!</v>
      </c>
      <c r="FT186" t="e">
        <f>AND(#REF!,"AAAAAGt/zq8=")</f>
        <v>#REF!</v>
      </c>
      <c r="FU186" t="e">
        <f>AND(#REF!,"AAAAAGt/zrA=")</f>
        <v>#REF!</v>
      </c>
      <c r="FV186" t="e">
        <f>AND(#REF!,"AAAAAGt/zrE=")</f>
        <v>#REF!</v>
      </c>
      <c r="FW186" t="e">
        <f>AND(#REF!,"AAAAAGt/zrI=")</f>
        <v>#REF!</v>
      </c>
      <c r="FX186" t="e">
        <f>AND(#REF!,"AAAAAGt/zrM=")</f>
        <v>#REF!</v>
      </c>
      <c r="FY186" t="e">
        <f>AND(#REF!,"AAAAAGt/zrQ=")</f>
        <v>#REF!</v>
      </c>
      <c r="FZ186" t="e">
        <f>AND(#REF!,"AAAAAGt/zrU=")</f>
        <v>#REF!</v>
      </c>
      <c r="GA186" t="e">
        <f>AND(#REF!,"AAAAAGt/zrY=")</f>
        <v>#REF!</v>
      </c>
      <c r="GB186" t="e">
        <f>AND(#REF!,"AAAAAGt/zrc=")</f>
        <v>#REF!</v>
      </c>
      <c r="GC186" t="e">
        <f>AND(#REF!,"AAAAAGt/zrg=")</f>
        <v>#REF!</v>
      </c>
      <c r="GD186" t="e">
        <f>AND(#REF!,"AAAAAGt/zrk=")</f>
        <v>#REF!</v>
      </c>
      <c r="GE186" t="e">
        <f>AND(#REF!,"AAAAAGt/zro=")</f>
        <v>#REF!</v>
      </c>
      <c r="GF186" t="e">
        <f>AND(#REF!,"AAAAAGt/zrs=")</f>
        <v>#REF!</v>
      </c>
      <c r="GG186" t="e">
        <f>AND(#REF!,"AAAAAGt/zrw=")</f>
        <v>#REF!</v>
      </c>
      <c r="GH186" t="e">
        <f>AND(#REF!,"AAAAAGt/zr0=")</f>
        <v>#REF!</v>
      </c>
      <c r="GI186" t="e">
        <f>AND(#REF!,"AAAAAGt/zr4=")</f>
        <v>#REF!</v>
      </c>
      <c r="GJ186" t="e">
        <f>AND(#REF!,"AAAAAGt/zr8=")</f>
        <v>#REF!</v>
      </c>
      <c r="GK186" t="e">
        <f>AND(#REF!,"AAAAAGt/zsA=")</f>
        <v>#REF!</v>
      </c>
      <c r="GL186" t="e">
        <f>AND(#REF!,"AAAAAGt/zsE=")</f>
        <v>#REF!</v>
      </c>
      <c r="GM186" t="e">
        <f>AND(#REF!,"AAAAAGt/zsI=")</f>
        <v>#REF!</v>
      </c>
      <c r="GN186" t="e">
        <f>AND(#REF!,"AAAAAGt/zsM=")</f>
        <v>#REF!</v>
      </c>
      <c r="GO186" t="e">
        <f>AND(#REF!,"AAAAAGt/zsQ=")</f>
        <v>#REF!</v>
      </c>
      <c r="GP186" t="e">
        <f>AND(#REF!,"AAAAAGt/zsU=")</f>
        <v>#REF!</v>
      </c>
      <c r="GQ186" t="e">
        <f>AND(#REF!,"AAAAAGt/zsY=")</f>
        <v>#REF!</v>
      </c>
      <c r="GR186" t="e">
        <f>AND(#REF!,"AAAAAGt/zsc=")</f>
        <v>#REF!</v>
      </c>
      <c r="GS186" t="e">
        <f>AND(#REF!,"AAAAAGt/zsg=")</f>
        <v>#REF!</v>
      </c>
      <c r="GT186" t="e">
        <f>AND(#REF!,"AAAAAGt/zsk=")</f>
        <v>#REF!</v>
      </c>
      <c r="GU186" t="e">
        <f>AND(#REF!,"AAAAAGt/zso=")</f>
        <v>#REF!</v>
      </c>
      <c r="GV186" t="e">
        <f>AND(#REF!,"AAAAAGt/zss=")</f>
        <v>#REF!</v>
      </c>
      <c r="GW186" t="e">
        <f>AND(#REF!,"AAAAAGt/zsw=")</f>
        <v>#REF!</v>
      </c>
      <c r="GX186" t="e">
        <f>AND(#REF!,"AAAAAGt/zs0=")</f>
        <v>#REF!</v>
      </c>
      <c r="GY186" t="e">
        <f>AND(#REF!,"AAAAAGt/zs4=")</f>
        <v>#REF!</v>
      </c>
      <c r="GZ186" t="e">
        <f>AND(#REF!,"AAAAAGt/zs8=")</f>
        <v>#REF!</v>
      </c>
      <c r="HA186" t="e">
        <f>AND(#REF!,"AAAAAGt/ztA=")</f>
        <v>#REF!</v>
      </c>
      <c r="HB186" t="e">
        <f>AND(#REF!,"AAAAAGt/ztE=")</f>
        <v>#REF!</v>
      </c>
      <c r="HC186" t="e">
        <f>AND(#REF!,"AAAAAGt/ztI=")</f>
        <v>#REF!</v>
      </c>
      <c r="HD186" t="e">
        <f>AND(#REF!,"AAAAAGt/ztM=")</f>
        <v>#REF!</v>
      </c>
      <c r="HE186" t="e">
        <f>AND(#REF!,"AAAAAGt/ztQ=")</f>
        <v>#REF!</v>
      </c>
      <c r="HF186" t="e">
        <f>AND(#REF!,"AAAAAGt/ztU=")</f>
        <v>#REF!</v>
      </c>
      <c r="HG186" t="e">
        <f>AND(#REF!,"AAAAAGt/ztY=")</f>
        <v>#REF!</v>
      </c>
      <c r="HH186" t="e">
        <f>AND(#REF!,"AAAAAGt/ztc=")</f>
        <v>#REF!</v>
      </c>
      <c r="HI186" t="e">
        <f>AND(#REF!,"AAAAAGt/ztg=")</f>
        <v>#REF!</v>
      </c>
      <c r="HJ186" t="e">
        <f>AND(#REF!,"AAAAAGt/ztk=")</f>
        <v>#REF!</v>
      </c>
      <c r="HK186" t="e">
        <f>AND(#REF!,"AAAAAGt/zto=")</f>
        <v>#REF!</v>
      </c>
      <c r="HL186" t="e">
        <f>AND(#REF!,"AAAAAGt/zts=")</f>
        <v>#REF!</v>
      </c>
      <c r="HM186" t="e">
        <f>AND(#REF!,"AAAAAGt/ztw=")</f>
        <v>#REF!</v>
      </c>
      <c r="HN186" t="e">
        <f>AND(#REF!,"AAAAAGt/zt0=")</f>
        <v>#REF!</v>
      </c>
      <c r="HO186" t="e">
        <f>AND(#REF!,"AAAAAGt/zt4=")</f>
        <v>#REF!</v>
      </c>
      <c r="HP186" t="e">
        <f>AND(#REF!,"AAAAAGt/zt8=")</f>
        <v>#REF!</v>
      </c>
      <c r="HQ186" t="e">
        <f>AND(#REF!,"AAAAAGt/zuA=")</f>
        <v>#REF!</v>
      </c>
      <c r="HR186" t="e">
        <f>AND(#REF!,"AAAAAGt/zuE=")</f>
        <v>#REF!</v>
      </c>
      <c r="HS186" t="e">
        <f>AND(#REF!,"AAAAAGt/zuI=")</f>
        <v>#REF!</v>
      </c>
      <c r="HT186" t="e">
        <f>AND(#REF!,"AAAAAGt/zuM=")</f>
        <v>#REF!</v>
      </c>
      <c r="HU186" t="e">
        <f>AND(#REF!,"AAAAAGt/zuQ=")</f>
        <v>#REF!</v>
      </c>
      <c r="HV186" t="e">
        <f>AND(#REF!,"AAAAAGt/zuU=")</f>
        <v>#REF!</v>
      </c>
      <c r="HW186" t="e">
        <f>AND(#REF!,"AAAAAGt/zuY=")</f>
        <v>#REF!</v>
      </c>
      <c r="HX186" t="e">
        <f>AND(#REF!,"AAAAAGt/zuc=")</f>
        <v>#REF!</v>
      </c>
      <c r="HY186" t="e">
        <f>IF(#REF!,"AAAAAGt/zug=",0)</f>
        <v>#REF!</v>
      </c>
      <c r="HZ186" t="e">
        <f>AND(#REF!,"AAAAAGt/zuk=")</f>
        <v>#REF!</v>
      </c>
      <c r="IA186" t="e">
        <f>AND(#REF!,"AAAAAGt/zuo=")</f>
        <v>#REF!</v>
      </c>
      <c r="IB186" t="e">
        <f>AND(#REF!,"AAAAAGt/zus=")</f>
        <v>#REF!</v>
      </c>
      <c r="IC186" t="e">
        <f>AND(#REF!,"AAAAAGt/zuw=")</f>
        <v>#REF!</v>
      </c>
      <c r="ID186" t="e">
        <f>AND(#REF!,"AAAAAGt/zu0=")</f>
        <v>#REF!</v>
      </c>
      <c r="IE186" t="e">
        <f>AND(#REF!,"AAAAAGt/zu4=")</f>
        <v>#REF!</v>
      </c>
      <c r="IF186" t="e">
        <f>AND(#REF!,"AAAAAGt/zu8=")</f>
        <v>#REF!</v>
      </c>
      <c r="IG186" t="e">
        <f>AND(#REF!,"AAAAAGt/zvA=")</f>
        <v>#REF!</v>
      </c>
      <c r="IH186" t="e">
        <f>AND(#REF!,"AAAAAGt/zvE=")</f>
        <v>#REF!</v>
      </c>
      <c r="II186" t="e">
        <f>AND(#REF!,"AAAAAGt/zvI=")</f>
        <v>#REF!</v>
      </c>
      <c r="IJ186" t="e">
        <f>AND(#REF!,"AAAAAGt/zvM=")</f>
        <v>#REF!</v>
      </c>
      <c r="IK186" t="e">
        <f>AND(#REF!,"AAAAAGt/zvQ=")</f>
        <v>#REF!</v>
      </c>
      <c r="IL186" t="e">
        <f>AND(#REF!,"AAAAAGt/zvU=")</f>
        <v>#REF!</v>
      </c>
      <c r="IM186" t="e">
        <f>AND(#REF!,"AAAAAGt/zvY=")</f>
        <v>#REF!</v>
      </c>
      <c r="IN186" t="e">
        <f>AND(#REF!,"AAAAAGt/zvc=")</f>
        <v>#REF!</v>
      </c>
      <c r="IO186" t="e">
        <f>AND(#REF!,"AAAAAGt/zvg=")</f>
        <v>#REF!</v>
      </c>
      <c r="IP186" t="e">
        <f>AND(#REF!,"AAAAAGt/zvk=")</f>
        <v>#REF!</v>
      </c>
      <c r="IQ186" t="e">
        <f>AND(#REF!,"AAAAAGt/zvo=")</f>
        <v>#REF!</v>
      </c>
      <c r="IR186" t="e">
        <f>AND(#REF!,"AAAAAGt/zvs=")</f>
        <v>#REF!</v>
      </c>
      <c r="IS186" t="e">
        <f>AND(#REF!,"AAAAAGt/zvw=")</f>
        <v>#REF!</v>
      </c>
      <c r="IT186" t="e">
        <f>AND(#REF!,"AAAAAGt/zv0=")</f>
        <v>#REF!</v>
      </c>
      <c r="IU186" t="e">
        <f>AND(#REF!,"AAAAAGt/zv4=")</f>
        <v>#REF!</v>
      </c>
      <c r="IV186" t="e">
        <f>AND(#REF!,"AAAAAGt/zv8=")</f>
        <v>#REF!</v>
      </c>
    </row>
    <row r="187" spans="1:256" x14ac:dyDescent="0.25">
      <c r="A187" t="e">
        <f>AND(#REF!,"AAAAAC7/hgA=")</f>
        <v>#REF!</v>
      </c>
      <c r="B187" t="e">
        <f>AND(#REF!,"AAAAAC7/hgE=")</f>
        <v>#REF!</v>
      </c>
      <c r="C187" t="e">
        <f>AND(#REF!,"AAAAAC7/hgI=")</f>
        <v>#REF!</v>
      </c>
      <c r="D187" t="e">
        <f>AND(#REF!,"AAAAAC7/hgM=")</f>
        <v>#REF!</v>
      </c>
      <c r="E187" t="e">
        <f>AND(#REF!,"AAAAAC7/hgQ=")</f>
        <v>#REF!</v>
      </c>
      <c r="F187" t="e">
        <f>AND(#REF!,"AAAAAC7/hgU=")</f>
        <v>#REF!</v>
      </c>
      <c r="G187" t="e">
        <f>AND(#REF!,"AAAAAC7/hgY=")</f>
        <v>#REF!</v>
      </c>
      <c r="H187" t="e">
        <f>AND(#REF!,"AAAAAC7/hgc=")</f>
        <v>#REF!</v>
      </c>
      <c r="I187" t="e">
        <f>AND(#REF!,"AAAAAC7/hgg=")</f>
        <v>#REF!</v>
      </c>
      <c r="J187" t="e">
        <f>AND(#REF!,"AAAAAC7/hgk=")</f>
        <v>#REF!</v>
      </c>
      <c r="K187" t="e">
        <f>AND(#REF!,"AAAAAC7/hgo=")</f>
        <v>#REF!</v>
      </c>
      <c r="L187" t="e">
        <f>AND(#REF!,"AAAAAC7/hgs=")</f>
        <v>#REF!</v>
      </c>
      <c r="M187" t="e">
        <f>AND(#REF!,"AAAAAC7/hgw=")</f>
        <v>#REF!</v>
      </c>
      <c r="N187" t="e">
        <f>AND(#REF!,"AAAAAC7/hg0=")</f>
        <v>#REF!</v>
      </c>
      <c r="O187" t="e">
        <f>AND(#REF!,"AAAAAC7/hg4=")</f>
        <v>#REF!</v>
      </c>
      <c r="P187" t="e">
        <f>AND(#REF!,"AAAAAC7/hg8=")</f>
        <v>#REF!</v>
      </c>
      <c r="Q187" t="e">
        <f>AND(#REF!,"AAAAAC7/hhA=")</f>
        <v>#REF!</v>
      </c>
      <c r="R187" t="e">
        <f>AND(#REF!,"AAAAAC7/hhE=")</f>
        <v>#REF!</v>
      </c>
      <c r="S187" t="e">
        <f>AND(#REF!,"AAAAAC7/hhI=")</f>
        <v>#REF!</v>
      </c>
      <c r="T187" t="e">
        <f>AND(#REF!,"AAAAAC7/hhM=")</f>
        <v>#REF!</v>
      </c>
      <c r="U187" t="e">
        <f>AND(#REF!,"AAAAAC7/hhQ=")</f>
        <v>#REF!</v>
      </c>
      <c r="V187" t="e">
        <f>AND(#REF!,"AAAAAC7/hhU=")</f>
        <v>#REF!</v>
      </c>
      <c r="W187" t="e">
        <f>AND(#REF!,"AAAAAC7/hhY=")</f>
        <v>#REF!</v>
      </c>
      <c r="X187" t="e">
        <f>AND(#REF!,"AAAAAC7/hhc=")</f>
        <v>#REF!</v>
      </c>
      <c r="Y187" t="e">
        <f>AND(#REF!,"AAAAAC7/hhg=")</f>
        <v>#REF!</v>
      </c>
      <c r="Z187" t="e">
        <f>AND(#REF!,"AAAAAC7/hhk=")</f>
        <v>#REF!</v>
      </c>
      <c r="AA187" t="e">
        <f>AND(#REF!,"AAAAAC7/hho=")</f>
        <v>#REF!</v>
      </c>
      <c r="AB187" t="e">
        <f>AND(#REF!,"AAAAAC7/hhs=")</f>
        <v>#REF!</v>
      </c>
      <c r="AC187" t="e">
        <f>AND(#REF!,"AAAAAC7/hhw=")</f>
        <v>#REF!</v>
      </c>
      <c r="AD187" t="e">
        <f>AND(#REF!,"AAAAAC7/hh0=")</f>
        <v>#REF!</v>
      </c>
      <c r="AE187" t="e">
        <f>AND(#REF!,"AAAAAC7/hh4=")</f>
        <v>#REF!</v>
      </c>
      <c r="AF187" t="e">
        <f>AND(#REF!,"AAAAAC7/hh8=")</f>
        <v>#REF!</v>
      </c>
      <c r="AG187" t="e">
        <f>AND(#REF!,"AAAAAC7/hiA=")</f>
        <v>#REF!</v>
      </c>
      <c r="AH187" t="e">
        <f>AND(#REF!,"AAAAAC7/hiE=")</f>
        <v>#REF!</v>
      </c>
      <c r="AI187" t="e">
        <f>AND(#REF!,"AAAAAC7/hiI=")</f>
        <v>#REF!</v>
      </c>
      <c r="AJ187" t="e">
        <f>AND(#REF!,"AAAAAC7/hiM=")</f>
        <v>#REF!</v>
      </c>
      <c r="AK187" t="e">
        <f>AND(#REF!,"AAAAAC7/hiQ=")</f>
        <v>#REF!</v>
      </c>
      <c r="AL187" t="e">
        <f>AND(#REF!,"AAAAAC7/hiU=")</f>
        <v>#REF!</v>
      </c>
      <c r="AM187" t="e">
        <f>AND(#REF!,"AAAAAC7/hiY=")</f>
        <v>#REF!</v>
      </c>
      <c r="AN187" t="e">
        <f>AND(#REF!,"AAAAAC7/hic=")</f>
        <v>#REF!</v>
      </c>
      <c r="AO187" t="e">
        <f>AND(#REF!,"AAAAAC7/hig=")</f>
        <v>#REF!</v>
      </c>
      <c r="AP187" t="e">
        <f>AND(#REF!,"AAAAAC7/hik=")</f>
        <v>#REF!</v>
      </c>
      <c r="AQ187" t="e">
        <f>AND(#REF!,"AAAAAC7/hio=")</f>
        <v>#REF!</v>
      </c>
      <c r="AR187" t="e">
        <f>AND(#REF!,"AAAAAC7/his=")</f>
        <v>#REF!</v>
      </c>
      <c r="AS187" t="e">
        <f>AND(#REF!,"AAAAAC7/hiw=")</f>
        <v>#REF!</v>
      </c>
      <c r="AT187" t="e">
        <f>IF(#REF!,"AAAAAC7/hi0=",0)</f>
        <v>#REF!</v>
      </c>
      <c r="AU187" t="e">
        <f>AND(#REF!,"AAAAAC7/hi4=")</f>
        <v>#REF!</v>
      </c>
      <c r="AV187" t="e">
        <f>AND(#REF!,"AAAAAC7/hi8=")</f>
        <v>#REF!</v>
      </c>
      <c r="AW187" t="e">
        <f>AND(#REF!,"AAAAAC7/hjA=")</f>
        <v>#REF!</v>
      </c>
      <c r="AX187" t="e">
        <f>AND(#REF!,"AAAAAC7/hjE=")</f>
        <v>#REF!</v>
      </c>
      <c r="AY187" t="e">
        <f>AND(#REF!,"AAAAAC7/hjI=")</f>
        <v>#REF!</v>
      </c>
      <c r="AZ187" t="e">
        <f>AND(#REF!,"AAAAAC7/hjM=")</f>
        <v>#REF!</v>
      </c>
      <c r="BA187" t="e">
        <f>AND(#REF!,"AAAAAC7/hjQ=")</f>
        <v>#REF!</v>
      </c>
      <c r="BB187" t="e">
        <f>AND(#REF!,"AAAAAC7/hjU=")</f>
        <v>#REF!</v>
      </c>
      <c r="BC187" t="e">
        <f>AND(#REF!,"AAAAAC7/hjY=")</f>
        <v>#REF!</v>
      </c>
      <c r="BD187" t="e">
        <f>AND(#REF!,"AAAAAC7/hjc=")</f>
        <v>#REF!</v>
      </c>
      <c r="BE187" t="e">
        <f>AND(#REF!,"AAAAAC7/hjg=")</f>
        <v>#REF!</v>
      </c>
      <c r="BF187" t="e">
        <f>AND(#REF!,"AAAAAC7/hjk=")</f>
        <v>#REF!</v>
      </c>
      <c r="BG187" t="e">
        <f>AND(#REF!,"AAAAAC7/hjo=")</f>
        <v>#REF!</v>
      </c>
      <c r="BH187" t="e">
        <f>AND(#REF!,"AAAAAC7/hjs=")</f>
        <v>#REF!</v>
      </c>
      <c r="BI187" t="e">
        <f>AND(#REF!,"AAAAAC7/hjw=")</f>
        <v>#REF!</v>
      </c>
      <c r="BJ187" t="e">
        <f>AND(#REF!,"AAAAAC7/hj0=")</f>
        <v>#REF!</v>
      </c>
      <c r="BK187" t="e">
        <f>AND(#REF!,"AAAAAC7/hj4=")</f>
        <v>#REF!</v>
      </c>
      <c r="BL187" t="e">
        <f>AND(#REF!,"AAAAAC7/hj8=")</f>
        <v>#REF!</v>
      </c>
      <c r="BM187" t="e">
        <f>AND(#REF!,"AAAAAC7/hkA=")</f>
        <v>#REF!</v>
      </c>
      <c r="BN187" t="e">
        <f>AND(#REF!,"AAAAAC7/hkE=")</f>
        <v>#REF!</v>
      </c>
      <c r="BO187" t="e">
        <f>AND(#REF!,"AAAAAC7/hkI=")</f>
        <v>#REF!</v>
      </c>
      <c r="BP187" t="e">
        <f>AND(#REF!,"AAAAAC7/hkM=")</f>
        <v>#REF!</v>
      </c>
      <c r="BQ187" t="e">
        <f>AND(#REF!,"AAAAAC7/hkQ=")</f>
        <v>#REF!</v>
      </c>
      <c r="BR187" t="e">
        <f>AND(#REF!,"AAAAAC7/hkU=")</f>
        <v>#REF!</v>
      </c>
      <c r="BS187" t="e">
        <f>AND(#REF!,"AAAAAC7/hkY=")</f>
        <v>#REF!</v>
      </c>
      <c r="BT187" t="e">
        <f>AND(#REF!,"AAAAAC7/hkc=")</f>
        <v>#REF!</v>
      </c>
      <c r="BU187" t="e">
        <f>AND(#REF!,"AAAAAC7/hkg=")</f>
        <v>#REF!</v>
      </c>
      <c r="BV187" t="e">
        <f>AND(#REF!,"AAAAAC7/hkk=")</f>
        <v>#REF!</v>
      </c>
      <c r="BW187" t="e">
        <f>AND(#REF!,"AAAAAC7/hko=")</f>
        <v>#REF!</v>
      </c>
      <c r="BX187" t="e">
        <f>AND(#REF!,"AAAAAC7/hks=")</f>
        <v>#REF!</v>
      </c>
      <c r="BY187" t="e">
        <f>AND(#REF!,"AAAAAC7/hkw=")</f>
        <v>#REF!</v>
      </c>
      <c r="BZ187" t="e">
        <f>AND(#REF!,"AAAAAC7/hk0=")</f>
        <v>#REF!</v>
      </c>
      <c r="CA187" t="e">
        <f>AND(#REF!,"AAAAAC7/hk4=")</f>
        <v>#REF!</v>
      </c>
      <c r="CB187" t="e">
        <f>AND(#REF!,"AAAAAC7/hk8=")</f>
        <v>#REF!</v>
      </c>
      <c r="CC187" t="e">
        <f>AND(#REF!,"AAAAAC7/hlA=")</f>
        <v>#REF!</v>
      </c>
      <c r="CD187" t="e">
        <f>AND(#REF!,"AAAAAC7/hlE=")</f>
        <v>#REF!</v>
      </c>
      <c r="CE187" t="e">
        <f>AND(#REF!,"AAAAAC7/hlI=")</f>
        <v>#REF!</v>
      </c>
      <c r="CF187" t="e">
        <f>AND(#REF!,"AAAAAC7/hlM=")</f>
        <v>#REF!</v>
      </c>
      <c r="CG187" t="e">
        <f>AND(#REF!,"AAAAAC7/hlQ=")</f>
        <v>#REF!</v>
      </c>
      <c r="CH187" t="e">
        <f>AND(#REF!,"AAAAAC7/hlU=")</f>
        <v>#REF!</v>
      </c>
      <c r="CI187" t="e">
        <f>AND(#REF!,"AAAAAC7/hlY=")</f>
        <v>#REF!</v>
      </c>
      <c r="CJ187" t="e">
        <f>AND(#REF!,"AAAAAC7/hlc=")</f>
        <v>#REF!</v>
      </c>
      <c r="CK187" t="e">
        <f>AND(#REF!,"AAAAAC7/hlg=")</f>
        <v>#REF!</v>
      </c>
      <c r="CL187" t="e">
        <f>AND(#REF!,"AAAAAC7/hlk=")</f>
        <v>#REF!</v>
      </c>
      <c r="CM187" t="e">
        <f>AND(#REF!,"AAAAAC7/hlo=")</f>
        <v>#REF!</v>
      </c>
      <c r="CN187" t="e">
        <f>AND(#REF!,"AAAAAC7/hls=")</f>
        <v>#REF!</v>
      </c>
      <c r="CO187" t="e">
        <f>AND(#REF!,"AAAAAC7/hlw=")</f>
        <v>#REF!</v>
      </c>
      <c r="CP187" t="e">
        <f>AND(#REF!,"AAAAAC7/hl0=")</f>
        <v>#REF!</v>
      </c>
      <c r="CQ187" t="e">
        <f>AND(#REF!,"AAAAAC7/hl4=")</f>
        <v>#REF!</v>
      </c>
      <c r="CR187" t="e">
        <f>AND(#REF!,"AAAAAC7/hl8=")</f>
        <v>#REF!</v>
      </c>
      <c r="CS187" t="e">
        <f>AND(#REF!,"AAAAAC7/hmA=")</f>
        <v>#REF!</v>
      </c>
      <c r="CT187" t="e">
        <f>AND(#REF!,"AAAAAC7/hmE=")</f>
        <v>#REF!</v>
      </c>
      <c r="CU187" t="e">
        <f>AND(#REF!,"AAAAAC7/hmI=")</f>
        <v>#REF!</v>
      </c>
      <c r="CV187" t="e">
        <f>AND(#REF!,"AAAAAC7/hmM=")</f>
        <v>#REF!</v>
      </c>
      <c r="CW187" t="e">
        <f>AND(#REF!,"AAAAAC7/hmQ=")</f>
        <v>#REF!</v>
      </c>
      <c r="CX187" t="e">
        <f>AND(#REF!,"AAAAAC7/hmU=")</f>
        <v>#REF!</v>
      </c>
      <c r="CY187" t="e">
        <f>AND(#REF!,"AAAAAC7/hmY=")</f>
        <v>#REF!</v>
      </c>
      <c r="CZ187" t="e">
        <f>AND(#REF!,"AAAAAC7/hmc=")</f>
        <v>#REF!</v>
      </c>
      <c r="DA187" t="e">
        <f>AND(#REF!,"AAAAAC7/hmg=")</f>
        <v>#REF!</v>
      </c>
      <c r="DB187" t="e">
        <f>AND(#REF!,"AAAAAC7/hmk=")</f>
        <v>#REF!</v>
      </c>
      <c r="DC187" t="e">
        <f>AND(#REF!,"AAAAAC7/hmo=")</f>
        <v>#REF!</v>
      </c>
      <c r="DD187" t="e">
        <f>AND(#REF!,"AAAAAC7/hms=")</f>
        <v>#REF!</v>
      </c>
      <c r="DE187" t="e">
        <f>AND(#REF!,"AAAAAC7/hmw=")</f>
        <v>#REF!</v>
      </c>
      <c r="DF187" t="e">
        <f>AND(#REF!,"AAAAAC7/hm0=")</f>
        <v>#REF!</v>
      </c>
      <c r="DG187" t="e">
        <f>AND(#REF!,"AAAAAC7/hm4=")</f>
        <v>#REF!</v>
      </c>
      <c r="DH187" t="e">
        <f>AND(#REF!,"AAAAAC7/hm8=")</f>
        <v>#REF!</v>
      </c>
      <c r="DI187" t="e">
        <f>AND(#REF!,"AAAAAC7/hnA=")</f>
        <v>#REF!</v>
      </c>
      <c r="DJ187" t="e">
        <f>AND(#REF!,"AAAAAC7/hnE=")</f>
        <v>#REF!</v>
      </c>
      <c r="DK187" t="e">
        <f>IF(#REF!,"AAAAAC7/hnI=",0)</f>
        <v>#REF!</v>
      </c>
      <c r="DL187" t="e">
        <f>AND(#REF!,"AAAAAC7/hnM=")</f>
        <v>#REF!</v>
      </c>
      <c r="DM187" t="e">
        <f>AND(#REF!,"AAAAAC7/hnQ=")</f>
        <v>#REF!</v>
      </c>
      <c r="DN187" t="e">
        <f>AND(#REF!,"AAAAAC7/hnU=")</f>
        <v>#REF!</v>
      </c>
      <c r="DO187" t="e">
        <f>AND(#REF!,"AAAAAC7/hnY=")</f>
        <v>#REF!</v>
      </c>
      <c r="DP187" t="e">
        <f>AND(#REF!,"AAAAAC7/hnc=")</f>
        <v>#REF!</v>
      </c>
      <c r="DQ187" t="e">
        <f>AND(#REF!,"AAAAAC7/hng=")</f>
        <v>#REF!</v>
      </c>
      <c r="DR187" t="e">
        <f>AND(#REF!,"AAAAAC7/hnk=")</f>
        <v>#REF!</v>
      </c>
      <c r="DS187" t="e">
        <f>AND(#REF!,"AAAAAC7/hno=")</f>
        <v>#REF!</v>
      </c>
      <c r="DT187" t="e">
        <f>AND(#REF!,"AAAAAC7/hns=")</f>
        <v>#REF!</v>
      </c>
      <c r="DU187" t="e">
        <f>AND(#REF!,"AAAAAC7/hnw=")</f>
        <v>#REF!</v>
      </c>
      <c r="DV187" t="e">
        <f>AND(#REF!,"AAAAAC7/hn0=")</f>
        <v>#REF!</v>
      </c>
      <c r="DW187" t="e">
        <f>AND(#REF!,"AAAAAC7/hn4=")</f>
        <v>#REF!</v>
      </c>
      <c r="DX187" t="e">
        <f>AND(#REF!,"AAAAAC7/hn8=")</f>
        <v>#REF!</v>
      </c>
      <c r="DY187" t="e">
        <f>AND(#REF!,"AAAAAC7/hoA=")</f>
        <v>#REF!</v>
      </c>
      <c r="DZ187" t="e">
        <f>AND(#REF!,"AAAAAC7/hoE=")</f>
        <v>#REF!</v>
      </c>
      <c r="EA187" t="e">
        <f>AND(#REF!,"AAAAAC7/hoI=")</f>
        <v>#REF!</v>
      </c>
      <c r="EB187" t="e">
        <f>AND(#REF!,"AAAAAC7/hoM=")</f>
        <v>#REF!</v>
      </c>
      <c r="EC187" t="e">
        <f>AND(#REF!,"AAAAAC7/hoQ=")</f>
        <v>#REF!</v>
      </c>
      <c r="ED187" t="e">
        <f>AND(#REF!,"AAAAAC7/hoU=")</f>
        <v>#REF!</v>
      </c>
      <c r="EE187" t="e">
        <f>AND(#REF!,"AAAAAC7/hoY=")</f>
        <v>#REF!</v>
      </c>
      <c r="EF187" t="e">
        <f>AND(#REF!,"AAAAAC7/hoc=")</f>
        <v>#REF!</v>
      </c>
      <c r="EG187" t="e">
        <f>AND(#REF!,"AAAAAC7/hog=")</f>
        <v>#REF!</v>
      </c>
      <c r="EH187" t="e">
        <f>AND(#REF!,"AAAAAC7/hok=")</f>
        <v>#REF!</v>
      </c>
      <c r="EI187" t="e">
        <f>AND(#REF!,"AAAAAC7/hoo=")</f>
        <v>#REF!</v>
      </c>
      <c r="EJ187" t="e">
        <f>AND(#REF!,"AAAAAC7/hos=")</f>
        <v>#REF!</v>
      </c>
      <c r="EK187" t="e">
        <f>AND(#REF!,"AAAAAC7/how=")</f>
        <v>#REF!</v>
      </c>
      <c r="EL187" t="e">
        <f>AND(#REF!,"AAAAAC7/ho0=")</f>
        <v>#REF!</v>
      </c>
      <c r="EM187" t="e">
        <f>AND(#REF!,"AAAAAC7/ho4=")</f>
        <v>#REF!</v>
      </c>
      <c r="EN187" t="e">
        <f>AND(#REF!,"AAAAAC7/ho8=")</f>
        <v>#REF!</v>
      </c>
      <c r="EO187" t="e">
        <f>AND(#REF!,"AAAAAC7/hpA=")</f>
        <v>#REF!</v>
      </c>
      <c r="EP187" t="e">
        <f>AND(#REF!,"AAAAAC7/hpE=")</f>
        <v>#REF!</v>
      </c>
      <c r="EQ187" t="e">
        <f>AND(#REF!,"AAAAAC7/hpI=")</f>
        <v>#REF!</v>
      </c>
      <c r="ER187" t="e">
        <f>AND(#REF!,"AAAAAC7/hpM=")</f>
        <v>#REF!</v>
      </c>
      <c r="ES187" t="e">
        <f>AND(#REF!,"AAAAAC7/hpQ=")</f>
        <v>#REF!</v>
      </c>
      <c r="ET187" t="e">
        <f>AND(#REF!,"AAAAAC7/hpU=")</f>
        <v>#REF!</v>
      </c>
      <c r="EU187" t="e">
        <f>AND(#REF!,"AAAAAC7/hpY=")</f>
        <v>#REF!</v>
      </c>
      <c r="EV187" t="e">
        <f>AND(#REF!,"AAAAAC7/hpc=")</f>
        <v>#REF!</v>
      </c>
      <c r="EW187" t="e">
        <f>AND(#REF!,"AAAAAC7/hpg=")</f>
        <v>#REF!</v>
      </c>
      <c r="EX187" t="e">
        <f>AND(#REF!,"AAAAAC7/hpk=")</f>
        <v>#REF!</v>
      </c>
      <c r="EY187" t="e">
        <f>AND(#REF!,"AAAAAC7/hpo=")</f>
        <v>#REF!</v>
      </c>
      <c r="EZ187" t="e">
        <f>AND(#REF!,"AAAAAC7/hps=")</f>
        <v>#REF!</v>
      </c>
      <c r="FA187" t="e">
        <f>AND(#REF!,"AAAAAC7/hpw=")</f>
        <v>#REF!</v>
      </c>
      <c r="FB187" t="e">
        <f>AND(#REF!,"AAAAAC7/hp0=")</f>
        <v>#REF!</v>
      </c>
      <c r="FC187" t="e">
        <f>AND(#REF!,"AAAAAC7/hp4=")</f>
        <v>#REF!</v>
      </c>
      <c r="FD187" t="e">
        <f>AND(#REF!,"AAAAAC7/hp8=")</f>
        <v>#REF!</v>
      </c>
      <c r="FE187" t="e">
        <f>AND(#REF!,"AAAAAC7/hqA=")</f>
        <v>#REF!</v>
      </c>
      <c r="FF187" t="e">
        <f>AND(#REF!,"AAAAAC7/hqE=")</f>
        <v>#REF!</v>
      </c>
      <c r="FG187" t="e">
        <f>AND(#REF!,"AAAAAC7/hqI=")</f>
        <v>#REF!</v>
      </c>
      <c r="FH187" t="e">
        <f>AND(#REF!,"AAAAAC7/hqM=")</f>
        <v>#REF!</v>
      </c>
      <c r="FI187" t="e">
        <f>AND(#REF!,"AAAAAC7/hqQ=")</f>
        <v>#REF!</v>
      </c>
      <c r="FJ187" t="e">
        <f>AND(#REF!,"AAAAAC7/hqU=")</f>
        <v>#REF!</v>
      </c>
      <c r="FK187" t="e">
        <f>AND(#REF!,"AAAAAC7/hqY=")</f>
        <v>#REF!</v>
      </c>
      <c r="FL187" t="e">
        <f>AND(#REF!,"AAAAAC7/hqc=")</f>
        <v>#REF!</v>
      </c>
      <c r="FM187" t="e">
        <f>AND(#REF!,"AAAAAC7/hqg=")</f>
        <v>#REF!</v>
      </c>
      <c r="FN187" t="e">
        <f>AND(#REF!,"AAAAAC7/hqk=")</f>
        <v>#REF!</v>
      </c>
      <c r="FO187" t="e">
        <f>AND(#REF!,"AAAAAC7/hqo=")</f>
        <v>#REF!</v>
      </c>
      <c r="FP187" t="e">
        <f>AND(#REF!,"AAAAAC7/hqs=")</f>
        <v>#REF!</v>
      </c>
      <c r="FQ187" t="e">
        <f>AND(#REF!,"AAAAAC7/hqw=")</f>
        <v>#REF!</v>
      </c>
      <c r="FR187" t="e">
        <f>AND(#REF!,"AAAAAC7/hq0=")</f>
        <v>#REF!</v>
      </c>
      <c r="FS187" t="e">
        <f>AND(#REF!,"AAAAAC7/hq4=")</f>
        <v>#REF!</v>
      </c>
      <c r="FT187" t="e">
        <f>AND(#REF!,"AAAAAC7/hq8=")</f>
        <v>#REF!</v>
      </c>
      <c r="FU187" t="e">
        <f>AND(#REF!,"AAAAAC7/hrA=")</f>
        <v>#REF!</v>
      </c>
      <c r="FV187" t="e">
        <f>AND(#REF!,"AAAAAC7/hrE=")</f>
        <v>#REF!</v>
      </c>
      <c r="FW187" t="e">
        <f>AND(#REF!,"AAAAAC7/hrI=")</f>
        <v>#REF!</v>
      </c>
      <c r="FX187" t="e">
        <f>AND(#REF!,"AAAAAC7/hrM=")</f>
        <v>#REF!</v>
      </c>
      <c r="FY187" t="e">
        <f>AND(#REF!,"AAAAAC7/hrQ=")</f>
        <v>#REF!</v>
      </c>
      <c r="FZ187" t="e">
        <f>AND(#REF!,"AAAAAC7/hrU=")</f>
        <v>#REF!</v>
      </c>
      <c r="GA187" t="e">
        <f>AND(#REF!,"AAAAAC7/hrY=")</f>
        <v>#REF!</v>
      </c>
      <c r="GB187" t="e">
        <f>IF(#REF!,"AAAAAC7/hrc=",0)</f>
        <v>#REF!</v>
      </c>
      <c r="GC187" t="e">
        <f>AND(#REF!,"AAAAAC7/hrg=")</f>
        <v>#REF!</v>
      </c>
      <c r="GD187" t="e">
        <f>AND(#REF!,"AAAAAC7/hrk=")</f>
        <v>#REF!</v>
      </c>
      <c r="GE187" t="e">
        <f>AND(#REF!,"AAAAAC7/hro=")</f>
        <v>#REF!</v>
      </c>
      <c r="GF187" t="e">
        <f>AND(#REF!,"AAAAAC7/hrs=")</f>
        <v>#REF!</v>
      </c>
      <c r="GG187" t="e">
        <f>AND(#REF!,"AAAAAC7/hrw=")</f>
        <v>#REF!</v>
      </c>
      <c r="GH187" t="e">
        <f>AND(#REF!,"AAAAAC7/hr0=")</f>
        <v>#REF!</v>
      </c>
      <c r="GI187" t="e">
        <f>AND(#REF!,"AAAAAC7/hr4=")</f>
        <v>#REF!</v>
      </c>
      <c r="GJ187" t="e">
        <f>AND(#REF!,"AAAAAC7/hr8=")</f>
        <v>#REF!</v>
      </c>
      <c r="GK187" t="e">
        <f>AND(#REF!,"AAAAAC7/hsA=")</f>
        <v>#REF!</v>
      </c>
      <c r="GL187" t="e">
        <f>AND(#REF!,"AAAAAC7/hsE=")</f>
        <v>#REF!</v>
      </c>
      <c r="GM187" t="e">
        <f>AND(#REF!,"AAAAAC7/hsI=")</f>
        <v>#REF!</v>
      </c>
      <c r="GN187" t="e">
        <f>AND(#REF!,"AAAAAC7/hsM=")</f>
        <v>#REF!</v>
      </c>
      <c r="GO187" t="e">
        <f>AND(#REF!,"AAAAAC7/hsQ=")</f>
        <v>#REF!</v>
      </c>
      <c r="GP187" t="e">
        <f>AND(#REF!,"AAAAAC7/hsU=")</f>
        <v>#REF!</v>
      </c>
      <c r="GQ187" t="e">
        <f>AND(#REF!,"AAAAAC7/hsY=")</f>
        <v>#REF!</v>
      </c>
      <c r="GR187" t="e">
        <f>AND(#REF!,"AAAAAC7/hsc=")</f>
        <v>#REF!</v>
      </c>
      <c r="GS187" t="e">
        <f>AND(#REF!,"AAAAAC7/hsg=")</f>
        <v>#REF!</v>
      </c>
      <c r="GT187" t="e">
        <f>AND(#REF!,"AAAAAC7/hsk=")</f>
        <v>#REF!</v>
      </c>
      <c r="GU187" t="e">
        <f>AND(#REF!,"AAAAAC7/hso=")</f>
        <v>#REF!</v>
      </c>
      <c r="GV187" t="e">
        <f>AND(#REF!,"AAAAAC7/hss=")</f>
        <v>#REF!</v>
      </c>
      <c r="GW187" t="e">
        <f>AND(#REF!,"AAAAAC7/hsw=")</f>
        <v>#REF!</v>
      </c>
      <c r="GX187" t="e">
        <f>AND(#REF!,"AAAAAC7/hs0=")</f>
        <v>#REF!</v>
      </c>
      <c r="GY187" t="e">
        <f>AND(#REF!,"AAAAAC7/hs4=")</f>
        <v>#REF!</v>
      </c>
      <c r="GZ187" t="e">
        <f>AND(#REF!,"AAAAAC7/hs8=")</f>
        <v>#REF!</v>
      </c>
      <c r="HA187" t="e">
        <f>AND(#REF!,"AAAAAC7/htA=")</f>
        <v>#REF!</v>
      </c>
      <c r="HB187" t="e">
        <f>AND(#REF!,"AAAAAC7/htE=")</f>
        <v>#REF!</v>
      </c>
      <c r="HC187" t="e">
        <f>AND(#REF!,"AAAAAC7/htI=")</f>
        <v>#REF!</v>
      </c>
      <c r="HD187" t="e">
        <f>AND(#REF!,"AAAAAC7/htM=")</f>
        <v>#REF!</v>
      </c>
      <c r="HE187" t="e">
        <f>AND(#REF!,"AAAAAC7/htQ=")</f>
        <v>#REF!</v>
      </c>
      <c r="HF187" t="e">
        <f>AND(#REF!,"AAAAAC7/htU=")</f>
        <v>#REF!</v>
      </c>
      <c r="HG187" t="e">
        <f>AND(#REF!,"AAAAAC7/htY=")</f>
        <v>#REF!</v>
      </c>
      <c r="HH187" t="e">
        <f>AND(#REF!,"AAAAAC7/htc=")</f>
        <v>#REF!</v>
      </c>
      <c r="HI187" t="e">
        <f>AND(#REF!,"AAAAAC7/htg=")</f>
        <v>#REF!</v>
      </c>
      <c r="HJ187" t="e">
        <f>AND(#REF!,"AAAAAC7/htk=")</f>
        <v>#REF!</v>
      </c>
      <c r="HK187" t="e">
        <f>AND(#REF!,"AAAAAC7/hto=")</f>
        <v>#REF!</v>
      </c>
      <c r="HL187" t="e">
        <f>AND(#REF!,"AAAAAC7/hts=")</f>
        <v>#REF!</v>
      </c>
      <c r="HM187" t="e">
        <f>AND(#REF!,"AAAAAC7/htw=")</f>
        <v>#REF!</v>
      </c>
      <c r="HN187" t="e">
        <f>AND(#REF!,"AAAAAC7/ht0=")</f>
        <v>#REF!</v>
      </c>
      <c r="HO187" t="e">
        <f>AND(#REF!,"AAAAAC7/ht4=")</f>
        <v>#REF!</v>
      </c>
      <c r="HP187" t="e">
        <f>AND(#REF!,"AAAAAC7/ht8=")</f>
        <v>#REF!</v>
      </c>
      <c r="HQ187" t="e">
        <f>AND(#REF!,"AAAAAC7/huA=")</f>
        <v>#REF!</v>
      </c>
      <c r="HR187" t="e">
        <f>AND(#REF!,"AAAAAC7/huE=")</f>
        <v>#REF!</v>
      </c>
      <c r="HS187" t="e">
        <f>AND(#REF!,"AAAAAC7/huI=")</f>
        <v>#REF!</v>
      </c>
      <c r="HT187" t="e">
        <f>AND(#REF!,"AAAAAC7/huM=")</f>
        <v>#REF!</v>
      </c>
      <c r="HU187" t="e">
        <f>AND(#REF!,"AAAAAC7/huQ=")</f>
        <v>#REF!</v>
      </c>
      <c r="HV187" t="e">
        <f>AND(#REF!,"AAAAAC7/huU=")</f>
        <v>#REF!</v>
      </c>
      <c r="HW187" t="e">
        <f>AND(#REF!,"AAAAAC7/huY=")</f>
        <v>#REF!</v>
      </c>
      <c r="HX187" t="e">
        <f>AND(#REF!,"AAAAAC7/huc=")</f>
        <v>#REF!</v>
      </c>
      <c r="HY187" t="e">
        <f>AND(#REF!,"AAAAAC7/hug=")</f>
        <v>#REF!</v>
      </c>
      <c r="HZ187" t="e">
        <f>AND(#REF!,"AAAAAC7/huk=")</f>
        <v>#REF!</v>
      </c>
      <c r="IA187" t="e">
        <f>AND(#REF!,"AAAAAC7/huo=")</f>
        <v>#REF!</v>
      </c>
      <c r="IB187" t="e">
        <f>AND(#REF!,"AAAAAC7/hus=")</f>
        <v>#REF!</v>
      </c>
      <c r="IC187" t="e">
        <f>AND(#REF!,"AAAAAC7/huw=")</f>
        <v>#REF!</v>
      </c>
      <c r="ID187" t="e">
        <f>AND(#REF!,"AAAAAC7/hu0=")</f>
        <v>#REF!</v>
      </c>
      <c r="IE187" t="e">
        <f>AND(#REF!,"AAAAAC7/hu4=")</f>
        <v>#REF!</v>
      </c>
      <c r="IF187" t="e">
        <f>AND(#REF!,"AAAAAC7/hu8=")</f>
        <v>#REF!</v>
      </c>
      <c r="IG187" t="e">
        <f>AND(#REF!,"AAAAAC7/hvA=")</f>
        <v>#REF!</v>
      </c>
      <c r="IH187" t="e">
        <f>AND(#REF!,"AAAAAC7/hvE=")</f>
        <v>#REF!</v>
      </c>
      <c r="II187" t="e">
        <f>AND(#REF!,"AAAAAC7/hvI=")</f>
        <v>#REF!</v>
      </c>
      <c r="IJ187" t="e">
        <f>AND(#REF!,"AAAAAC7/hvM=")</f>
        <v>#REF!</v>
      </c>
      <c r="IK187" t="e">
        <f>AND(#REF!,"AAAAAC7/hvQ=")</f>
        <v>#REF!</v>
      </c>
      <c r="IL187" t="e">
        <f>AND(#REF!,"AAAAAC7/hvU=")</f>
        <v>#REF!</v>
      </c>
      <c r="IM187" t="e">
        <f>AND(#REF!,"AAAAAC7/hvY=")</f>
        <v>#REF!</v>
      </c>
      <c r="IN187" t="e">
        <f>AND(#REF!,"AAAAAC7/hvc=")</f>
        <v>#REF!</v>
      </c>
      <c r="IO187" t="e">
        <f>AND(#REF!,"AAAAAC7/hvg=")</f>
        <v>#REF!</v>
      </c>
      <c r="IP187" t="e">
        <f>AND(#REF!,"AAAAAC7/hvk=")</f>
        <v>#REF!</v>
      </c>
      <c r="IQ187" t="e">
        <f>AND(#REF!,"AAAAAC7/hvo=")</f>
        <v>#REF!</v>
      </c>
      <c r="IR187" t="e">
        <f>AND(#REF!,"AAAAAC7/hvs=")</f>
        <v>#REF!</v>
      </c>
      <c r="IS187" t="e">
        <f>IF(#REF!,"AAAAAC7/hvw=",0)</f>
        <v>#REF!</v>
      </c>
      <c r="IT187" t="e">
        <f>AND(#REF!,"AAAAAC7/hv0=")</f>
        <v>#REF!</v>
      </c>
      <c r="IU187" t="e">
        <f>AND(#REF!,"AAAAAC7/hv4=")</f>
        <v>#REF!</v>
      </c>
      <c r="IV187" t="e">
        <f>AND(#REF!,"AAAAAC7/hv8=")</f>
        <v>#REF!</v>
      </c>
    </row>
    <row r="188" spans="1:256" x14ac:dyDescent="0.25">
      <c r="A188" t="e">
        <f>AND(#REF!,"AAAAAE///gA=")</f>
        <v>#REF!</v>
      </c>
      <c r="B188" t="e">
        <f>AND(#REF!,"AAAAAE///gE=")</f>
        <v>#REF!</v>
      </c>
      <c r="C188" t="e">
        <f>AND(#REF!,"AAAAAE///gI=")</f>
        <v>#REF!</v>
      </c>
      <c r="D188" t="e">
        <f>AND(#REF!,"AAAAAE///gM=")</f>
        <v>#REF!</v>
      </c>
      <c r="E188" t="e">
        <f>AND(#REF!,"AAAAAE///gQ=")</f>
        <v>#REF!</v>
      </c>
      <c r="F188" t="e">
        <f>AND(#REF!,"AAAAAE///gU=")</f>
        <v>#REF!</v>
      </c>
      <c r="G188" t="e">
        <f>AND(#REF!,"AAAAAE///gY=")</f>
        <v>#REF!</v>
      </c>
      <c r="H188" t="e">
        <f>AND(#REF!,"AAAAAE///gc=")</f>
        <v>#REF!</v>
      </c>
      <c r="I188" t="e">
        <f>AND(#REF!,"AAAAAE///gg=")</f>
        <v>#REF!</v>
      </c>
      <c r="J188" t="e">
        <f>AND(#REF!,"AAAAAE///gk=")</f>
        <v>#REF!</v>
      </c>
      <c r="K188" t="e">
        <f>AND(#REF!,"AAAAAE///go=")</f>
        <v>#REF!</v>
      </c>
      <c r="L188" t="e">
        <f>AND(#REF!,"AAAAAE///gs=")</f>
        <v>#REF!</v>
      </c>
      <c r="M188" t="e">
        <f>AND(#REF!,"AAAAAE///gw=")</f>
        <v>#REF!</v>
      </c>
      <c r="N188" t="e">
        <f>AND(#REF!,"AAAAAE///g0=")</f>
        <v>#REF!</v>
      </c>
      <c r="O188" t="e">
        <f>AND(#REF!,"AAAAAE///g4=")</f>
        <v>#REF!</v>
      </c>
      <c r="P188" t="e">
        <f>AND(#REF!,"AAAAAE///g8=")</f>
        <v>#REF!</v>
      </c>
      <c r="Q188" t="e">
        <f>AND(#REF!,"AAAAAE///hA=")</f>
        <v>#REF!</v>
      </c>
      <c r="R188" t="e">
        <f>AND(#REF!,"AAAAAE///hE=")</f>
        <v>#REF!</v>
      </c>
      <c r="S188" t="e">
        <f>AND(#REF!,"AAAAAE///hI=")</f>
        <v>#REF!</v>
      </c>
      <c r="T188" t="e">
        <f>AND(#REF!,"AAAAAE///hM=")</f>
        <v>#REF!</v>
      </c>
      <c r="U188" t="e">
        <f>AND(#REF!,"AAAAAE///hQ=")</f>
        <v>#REF!</v>
      </c>
      <c r="V188" t="e">
        <f>AND(#REF!,"AAAAAE///hU=")</f>
        <v>#REF!</v>
      </c>
      <c r="W188" t="e">
        <f>AND(#REF!,"AAAAAE///hY=")</f>
        <v>#REF!</v>
      </c>
      <c r="X188" t="e">
        <f>AND(#REF!,"AAAAAE///hc=")</f>
        <v>#REF!</v>
      </c>
      <c r="Y188" t="e">
        <f>AND(#REF!,"AAAAAE///hg=")</f>
        <v>#REF!</v>
      </c>
      <c r="Z188" t="e">
        <f>AND(#REF!,"AAAAAE///hk=")</f>
        <v>#REF!</v>
      </c>
      <c r="AA188" t="e">
        <f>AND(#REF!,"AAAAAE///ho=")</f>
        <v>#REF!</v>
      </c>
      <c r="AB188" t="e">
        <f>AND(#REF!,"AAAAAE///hs=")</f>
        <v>#REF!</v>
      </c>
      <c r="AC188" t="e">
        <f>AND(#REF!,"AAAAAE///hw=")</f>
        <v>#REF!</v>
      </c>
      <c r="AD188" t="e">
        <f>AND(#REF!,"AAAAAE///h0=")</f>
        <v>#REF!</v>
      </c>
      <c r="AE188" t="e">
        <f>AND(#REF!,"AAAAAE///h4=")</f>
        <v>#REF!</v>
      </c>
      <c r="AF188" t="e">
        <f>AND(#REF!,"AAAAAE///h8=")</f>
        <v>#REF!</v>
      </c>
      <c r="AG188" t="e">
        <f>AND(#REF!,"AAAAAE///iA=")</f>
        <v>#REF!</v>
      </c>
      <c r="AH188" t="e">
        <f>AND(#REF!,"AAAAAE///iE=")</f>
        <v>#REF!</v>
      </c>
      <c r="AI188" t="e">
        <f>AND(#REF!,"AAAAAE///iI=")</f>
        <v>#REF!</v>
      </c>
      <c r="AJ188" t="e">
        <f>AND(#REF!,"AAAAAE///iM=")</f>
        <v>#REF!</v>
      </c>
      <c r="AK188" t="e">
        <f>AND(#REF!,"AAAAAE///iQ=")</f>
        <v>#REF!</v>
      </c>
      <c r="AL188" t="e">
        <f>AND(#REF!,"AAAAAE///iU=")</f>
        <v>#REF!</v>
      </c>
      <c r="AM188" t="e">
        <f>AND(#REF!,"AAAAAE///iY=")</f>
        <v>#REF!</v>
      </c>
      <c r="AN188" t="e">
        <f>AND(#REF!,"AAAAAE///ic=")</f>
        <v>#REF!</v>
      </c>
      <c r="AO188" t="e">
        <f>AND(#REF!,"AAAAAE///ig=")</f>
        <v>#REF!</v>
      </c>
      <c r="AP188" t="e">
        <f>AND(#REF!,"AAAAAE///ik=")</f>
        <v>#REF!</v>
      </c>
      <c r="AQ188" t="e">
        <f>AND(#REF!,"AAAAAE///io=")</f>
        <v>#REF!</v>
      </c>
      <c r="AR188" t="e">
        <f>AND(#REF!,"AAAAAE///is=")</f>
        <v>#REF!</v>
      </c>
      <c r="AS188" t="e">
        <f>AND(#REF!,"AAAAAE///iw=")</f>
        <v>#REF!</v>
      </c>
      <c r="AT188" t="e">
        <f>AND(#REF!,"AAAAAE///i0=")</f>
        <v>#REF!</v>
      </c>
      <c r="AU188" t="e">
        <f>AND(#REF!,"AAAAAE///i4=")</f>
        <v>#REF!</v>
      </c>
      <c r="AV188" t="e">
        <f>AND(#REF!,"AAAAAE///i8=")</f>
        <v>#REF!</v>
      </c>
      <c r="AW188" t="e">
        <f>AND(#REF!,"AAAAAE///jA=")</f>
        <v>#REF!</v>
      </c>
      <c r="AX188" t="e">
        <f>AND(#REF!,"AAAAAE///jE=")</f>
        <v>#REF!</v>
      </c>
      <c r="AY188" t="e">
        <f>AND(#REF!,"AAAAAE///jI=")</f>
        <v>#REF!</v>
      </c>
      <c r="AZ188" t="e">
        <f>AND(#REF!,"AAAAAE///jM=")</f>
        <v>#REF!</v>
      </c>
      <c r="BA188" t="e">
        <f>AND(#REF!,"AAAAAE///jQ=")</f>
        <v>#REF!</v>
      </c>
      <c r="BB188" t="e">
        <f>AND(#REF!,"AAAAAE///jU=")</f>
        <v>#REF!</v>
      </c>
      <c r="BC188" t="e">
        <f>AND(#REF!,"AAAAAE///jY=")</f>
        <v>#REF!</v>
      </c>
      <c r="BD188" t="e">
        <f>AND(#REF!,"AAAAAE///jc=")</f>
        <v>#REF!</v>
      </c>
      <c r="BE188" t="e">
        <f>AND(#REF!,"AAAAAE///jg=")</f>
        <v>#REF!</v>
      </c>
      <c r="BF188" t="e">
        <f>AND(#REF!,"AAAAAE///jk=")</f>
        <v>#REF!</v>
      </c>
      <c r="BG188" t="e">
        <f>AND(#REF!,"AAAAAE///jo=")</f>
        <v>#REF!</v>
      </c>
      <c r="BH188" t="e">
        <f>AND(#REF!,"AAAAAE///js=")</f>
        <v>#REF!</v>
      </c>
      <c r="BI188" t="e">
        <f>AND(#REF!,"AAAAAE///jw=")</f>
        <v>#REF!</v>
      </c>
      <c r="BJ188" t="e">
        <f>AND(#REF!,"AAAAAE///j0=")</f>
        <v>#REF!</v>
      </c>
      <c r="BK188" t="e">
        <f>AND(#REF!,"AAAAAE///j4=")</f>
        <v>#REF!</v>
      </c>
      <c r="BL188" t="e">
        <f>AND(#REF!,"AAAAAE///j8=")</f>
        <v>#REF!</v>
      </c>
      <c r="BM188" t="e">
        <f>AND(#REF!,"AAAAAE///kA=")</f>
        <v>#REF!</v>
      </c>
      <c r="BN188" t="e">
        <f>IF(#REF!,"AAAAAE///kE=",0)</f>
        <v>#REF!</v>
      </c>
      <c r="BO188" t="e">
        <f>AND(#REF!,"AAAAAE///kI=")</f>
        <v>#REF!</v>
      </c>
      <c r="BP188" t="e">
        <f>AND(#REF!,"AAAAAE///kM=")</f>
        <v>#REF!</v>
      </c>
      <c r="BQ188" t="e">
        <f>AND(#REF!,"AAAAAE///kQ=")</f>
        <v>#REF!</v>
      </c>
      <c r="BR188" t="e">
        <f>AND(#REF!,"AAAAAE///kU=")</f>
        <v>#REF!</v>
      </c>
      <c r="BS188" t="e">
        <f>AND(#REF!,"AAAAAE///kY=")</f>
        <v>#REF!</v>
      </c>
      <c r="BT188" t="e">
        <f>AND(#REF!,"AAAAAE///kc=")</f>
        <v>#REF!</v>
      </c>
      <c r="BU188" t="e">
        <f>AND(#REF!,"AAAAAE///kg=")</f>
        <v>#REF!</v>
      </c>
      <c r="BV188" t="e">
        <f>AND(#REF!,"AAAAAE///kk=")</f>
        <v>#REF!</v>
      </c>
      <c r="BW188" t="e">
        <f>AND(#REF!,"AAAAAE///ko=")</f>
        <v>#REF!</v>
      </c>
      <c r="BX188" t="e">
        <f>AND(#REF!,"AAAAAE///ks=")</f>
        <v>#REF!</v>
      </c>
      <c r="BY188" t="e">
        <f>AND(#REF!,"AAAAAE///kw=")</f>
        <v>#REF!</v>
      </c>
      <c r="BZ188" t="e">
        <f>AND(#REF!,"AAAAAE///k0=")</f>
        <v>#REF!</v>
      </c>
      <c r="CA188" t="e">
        <f>AND(#REF!,"AAAAAE///k4=")</f>
        <v>#REF!</v>
      </c>
      <c r="CB188" t="e">
        <f>AND(#REF!,"AAAAAE///k8=")</f>
        <v>#REF!</v>
      </c>
      <c r="CC188" t="e">
        <f>AND(#REF!,"AAAAAE///lA=")</f>
        <v>#REF!</v>
      </c>
      <c r="CD188" t="e">
        <f>AND(#REF!,"AAAAAE///lE=")</f>
        <v>#REF!</v>
      </c>
      <c r="CE188" t="e">
        <f>AND(#REF!,"AAAAAE///lI=")</f>
        <v>#REF!</v>
      </c>
      <c r="CF188" t="e">
        <f>AND(#REF!,"AAAAAE///lM=")</f>
        <v>#REF!</v>
      </c>
      <c r="CG188" t="e">
        <f>AND(#REF!,"AAAAAE///lQ=")</f>
        <v>#REF!</v>
      </c>
      <c r="CH188" t="e">
        <f>AND(#REF!,"AAAAAE///lU=")</f>
        <v>#REF!</v>
      </c>
      <c r="CI188" t="e">
        <f>AND(#REF!,"AAAAAE///lY=")</f>
        <v>#REF!</v>
      </c>
      <c r="CJ188" t="e">
        <f>AND(#REF!,"AAAAAE///lc=")</f>
        <v>#REF!</v>
      </c>
      <c r="CK188" t="e">
        <f>AND(#REF!,"AAAAAE///lg=")</f>
        <v>#REF!</v>
      </c>
      <c r="CL188" t="e">
        <f>AND(#REF!,"AAAAAE///lk=")</f>
        <v>#REF!</v>
      </c>
      <c r="CM188" t="e">
        <f>AND(#REF!,"AAAAAE///lo=")</f>
        <v>#REF!</v>
      </c>
      <c r="CN188" t="e">
        <f>AND(#REF!,"AAAAAE///ls=")</f>
        <v>#REF!</v>
      </c>
      <c r="CO188" t="e">
        <f>AND(#REF!,"AAAAAE///lw=")</f>
        <v>#REF!</v>
      </c>
      <c r="CP188" t="e">
        <f>AND(#REF!,"AAAAAE///l0=")</f>
        <v>#REF!</v>
      </c>
      <c r="CQ188" t="e">
        <f>AND(#REF!,"AAAAAE///l4=")</f>
        <v>#REF!</v>
      </c>
      <c r="CR188" t="e">
        <f>AND(#REF!,"AAAAAE///l8=")</f>
        <v>#REF!</v>
      </c>
      <c r="CS188" t="e">
        <f>AND(#REF!,"AAAAAE///mA=")</f>
        <v>#REF!</v>
      </c>
      <c r="CT188" t="e">
        <f>AND(#REF!,"AAAAAE///mE=")</f>
        <v>#REF!</v>
      </c>
      <c r="CU188" t="e">
        <f>AND(#REF!,"AAAAAE///mI=")</f>
        <v>#REF!</v>
      </c>
      <c r="CV188" t="e">
        <f>AND(#REF!,"AAAAAE///mM=")</f>
        <v>#REF!</v>
      </c>
      <c r="CW188" t="e">
        <f>AND(#REF!,"AAAAAE///mQ=")</f>
        <v>#REF!</v>
      </c>
      <c r="CX188" t="e">
        <f>IF(#REF!,"AAAAAE///mU=",0)</f>
        <v>#REF!</v>
      </c>
      <c r="CY188" t="e">
        <f>AND(#REF!,"AAAAAE///mY=")</f>
        <v>#REF!</v>
      </c>
      <c r="CZ188" t="e">
        <f>AND(#REF!,"AAAAAE///mc=")</f>
        <v>#REF!</v>
      </c>
      <c r="DA188" t="e">
        <f>AND(#REF!,"AAAAAE///mg=")</f>
        <v>#REF!</v>
      </c>
      <c r="DB188" t="e">
        <f>AND(#REF!,"AAAAAE///mk=")</f>
        <v>#REF!</v>
      </c>
      <c r="DC188" t="e">
        <f>AND(#REF!,"AAAAAE///mo=")</f>
        <v>#REF!</v>
      </c>
      <c r="DD188" t="e">
        <f>AND(#REF!,"AAAAAE///ms=")</f>
        <v>#REF!</v>
      </c>
      <c r="DE188" t="e">
        <f>AND(#REF!,"AAAAAE///mw=")</f>
        <v>#REF!</v>
      </c>
      <c r="DF188" t="e">
        <f>AND(#REF!,"AAAAAE///m0=")</f>
        <v>#REF!</v>
      </c>
      <c r="DG188" t="e">
        <f>AND(#REF!,"AAAAAE///m4=")</f>
        <v>#REF!</v>
      </c>
      <c r="DH188" t="e">
        <f>AND(#REF!,"AAAAAE///m8=")</f>
        <v>#REF!</v>
      </c>
      <c r="DI188" t="e">
        <f>AND(#REF!,"AAAAAE///nA=")</f>
        <v>#REF!</v>
      </c>
      <c r="DJ188" t="e">
        <f>AND(#REF!,"AAAAAE///nE=")</f>
        <v>#REF!</v>
      </c>
      <c r="DK188" t="e">
        <f>AND(#REF!,"AAAAAE///nI=")</f>
        <v>#REF!</v>
      </c>
      <c r="DL188" t="e">
        <f>AND(#REF!,"AAAAAE///nM=")</f>
        <v>#REF!</v>
      </c>
      <c r="DM188" t="e">
        <f>AND(#REF!,"AAAAAE///nQ=")</f>
        <v>#REF!</v>
      </c>
      <c r="DN188" t="e">
        <f>AND(#REF!,"AAAAAE///nU=")</f>
        <v>#REF!</v>
      </c>
      <c r="DO188" t="e">
        <f>AND(#REF!,"AAAAAE///nY=")</f>
        <v>#REF!</v>
      </c>
      <c r="DP188" t="e">
        <f>AND(#REF!,"AAAAAE///nc=")</f>
        <v>#REF!</v>
      </c>
      <c r="DQ188" t="e">
        <f>AND(#REF!,"AAAAAE///ng=")</f>
        <v>#REF!</v>
      </c>
      <c r="DR188" t="e">
        <f>AND(#REF!,"AAAAAE///nk=")</f>
        <v>#REF!</v>
      </c>
      <c r="DS188" t="e">
        <f>AND(#REF!,"AAAAAE///no=")</f>
        <v>#REF!</v>
      </c>
      <c r="DT188" t="e">
        <f>AND(#REF!,"AAAAAE///ns=")</f>
        <v>#REF!</v>
      </c>
      <c r="DU188" t="e">
        <f>AND(#REF!,"AAAAAE///nw=")</f>
        <v>#REF!</v>
      </c>
      <c r="DV188" t="e">
        <f>AND(#REF!,"AAAAAE///n0=")</f>
        <v>#REF!</v>
      </c>
      <c r="DW188" t="e">
        <f>AND(#REF!,"AAAAAE///n4=")</f>
        <v>#REF!</v>
      </c>
      <c r="DX188" t="e">
        <f>AND(#REF!,"AAAAAE///n8=")</f>
        <v>#REF!</v>
      </c>
      <c r="DY188" t="e">
        <f>AND(#REF!,"AAAAAE///oA=")</f>
        <v>#REF!</v>
      </c>
      <c r="DZ188" t="e">
        <f>AND(#REF!,"AAAAAE///oE=")</f>
        <v>#REF!</v>
      </c>
      <c r="EA188" t="e">
        <f>AND(#REF!,"AAAAAE///oI=")</f>
        <v>#REF!</v>
      </c>
      <c r="EB188" t="e">
        <f>AND(#REF!,"AAAAAE///oM=")</f>
        <v>#REF!</v>
      </c>
      <c r="EC188" t="e">
        <f>AND(#REF!,"AAAAAE///oQ=")</f>
        <v>#REF!</v>
      </c>
      <c r="ED188" t="e">
        <f>AND(#REF!,"AAAAAE///oU=")</f>
        <v>#REF!</v>
      </c>
      <c r="EE188" t="e">
        <f>AND(#REF!,"AAAAAE///oY=")</f>
        <v>#REF!</v>
      </c>
      <c r="EF188" t="e">
        <f>AND(#REF!,"AAAAAE///oc=")</f>
        <v>#REF!</v>
      </c>
      <c r="EG188" t="e">
        <f>AND(#REF!,"AAAAAE///og=")</f>
        <v>#REF!</v>
      </c>
      <c r="EH188" t="e">
        <f>IF(#REF!,"AAAAAE///ok=",0)</f>
        <v>#REF!</v>
      </c>
      <c r="EI188" t="e">
        <f>AND(#REF!,"AAAAAE///oo=")</f>
        <v>#REF!</v>
      </c>
      <c r="EJ188" t="e">
        <f>AND(#REF!,"AAAAAE///os=")</f>
        <v>#REF!</v>
      </c>
      <c r="EK188" t="e">
        <f>AND(#REF!,"AAAAAE///ow=")</f>
        <v>#REF!</v>
      </c>
      <c r="EL188" t="e">
        <f>AND(#REF!,"AAAAAE///o0=")</f>
        <v>#REF!</v>
      </c>
      <c r="EM188" t="e">
        <f>AND(#REF!,"AAAAAE///o4=")</f>
        <v>#REF!</v>
      </c>
      <c r="EN188" t="e">
        <f>AND(#REF!,"AAAAAE///o8=")</f>
        <v>#REF!</v>
      </c>
      <c r="EO188" t="e">
        <f>AND(#REF!,"AAAAAE///pA=")</f>
        <v>#REF!</v>
      </c>
      <c r="EP188" t="e">
        <f>AND(#REF!,"AAAAAE///pE=")</f>
        <v>#REF!</v>
      </c>
      <c r="EQ188" t="e">
        <f>AND(#REF!,"AAAAAE///pI=")</f>
        <v>#REF!</v>
      </c>
      <c r="ER188" t="e">
        <f>AND(#REF!,"AAAAAE///pM=")</f>
        <v>#REF!</v>
      </c>
      <c r="ES188" t="e">
        <f>AND(#REF!,"AAAAAE///pQ=")</f>
        <v>#REF!</v>
      </c>
      <c r="ET188" t="e">
        <f>AND(#REF!,"AAAAAE///pU=")</f>
        <v>#REF!</v>
      </c>
      <c r="EU188" t="e">
        <f>AND(#REF!,"AAAAAE///pY=")</f>
        <v>#REF!</v>
      </c>
      <c r="EV188" t="e">
        <f>AND(#REF!,"AAAAAE///pc=")</f>
        <v>#REF!</v>
      </c>
      <c r="EW188" t="e">
        <f>AND(#REF!,"AAAAAE///pg=")</f>
        <v>#REF!</v>
      </c>
      <c r="EX188" t="e">
        <f>AND(#REF!,"AAAAAE///pk=")</f>
        <v>#REF!</v>
      </c>
      <c r="EY188" t="e">
        <f>AND(#REF!,"AAAAAE///po=")</f>
        <v>#REF!</v>
      </c>
      <c r="EZ188" t="e">
        <f>AND(#REF!,"AAAAAE///ps=")</f>
        <v>#REF!</v>
      </c>
      <c r="FA188" t="e">
        <f>AND(#REF!,"AAAAAE///pw=")</f>
        <v>#REF!</v>
      </c>
      <c r="FB188" t="e">
        <f>AND(#REF!,"AAAAAE///p0=")</f>
        <v>#REF!</v>
      </c>
      <c r="FC188" t="e">
        <f>AND(#REF!,"AAAAAE///p4=")</f>
        <v>#REF!</v>
      </c>
      <c r="FD188" t="e">
        <f>AND(#REF!,"AAAAAE///p8=")</f>
        <v>#REF!</v>
      </c>
      <c r="FE188" t="e">
        <f>AND(#REF!,"AAAAAE///qA=")</f>
        <v>#REF!</v>
      </c>
      <c r="FF188" t="e">
        <f>AND(#REF!,"AAAAAE///qE=")</f>
        <v>#REF!</v>
      </c>
      <c r="FG188" t="e">
        <f>AND(#REF!,"AAAAAE///qI=")</f>
        <v>#REF!</v>
      </c>
      <c r="FH188" t="e">
        <f>AND(#REF!,"AAAAAE///qM=")</f>
        <v>#REF!</v>
      </c>
      <c r="FI188" t="e">
        <f>AND(#REF!,"AAAAAE///qQ=")</f>
        <v>#REF!</v>
      </c>
      <c r="FJ188" t="e">
        <f>AND(#REF!,"AAAAAE///qU=")</f>
        <v>#REF!</v>
      </c>
      <c r="FK188" t="e">
        <f>AND(#REF!,"AAAAAE///qY=")</f>
        <v>#REF!</v>
      </c>
      <c r="FL188" t="e">
        <f>AND(#REF!,"AAAAAE///qc=")</f>
        <v>#REF!</v>
      </c>
      <c r="FM188" t="e">
        <f>AND(#REF!,"AAAAAE///qg=")</f>
        <v>#REF!</v>
      </c>
      <c r="FN188" t="e">
        <f>AND(#REF!,"AAAAAE///qk=")</f>
        <v>#REF!</v>
      </c>
      <c r="FO188" t="e">
        <f>AND(#REF!,"AAAAAE///qo=")</f>
        <v>#REF!</v>
      </c>
      <c r="FP188" t="e">
        <f>AND(#REF!,"AAAAAE///qs=")</f>
        <v>#REF!</v>
      </c>
      <c r="FQ188" t="e">
        <f>AND(#REF!,"AAAAAE///qw=")</f>
        <v>#REF!</v>
      </c>
      <c r="FR188" t="e">
        <f>IF(#REF!,"AAAAAE///q0=",0)</f>
        <v>#REF!</v>
      </c>
      <c r="FS188" t="e">
        <f>IF(#REF!,"AAAAAE///q4=",0)</f>
        <v>#REF!</v>
      </c>
      <c r="FT188" t="e">
        <f>IF(#REF!,"AAAAAE///q8=",0)</f>
        <v>#REF!</v>
      </c>
      <c r="FU188" t="e">
        <f>IF(#REF!,"AAAAAE///rA=",0)</f>
        <v>#REF!</v>
      </c>
      <c r="FV188" t="e">
        <f>IF(#REF!,"AAAAAE///rE=",0)</f>
        <v>#REF!</v>
      </c>
      <c r="FW188" t="e">
        <f>IF(#REF!,"AAAAAE///rI=",0)</f>
        <v>#REF!</v>
      </c>
      <c r="FX188" t="e">
        <f>IF(#REF!,"AAAAAE///rM=",0)</f>
        <v>#REF!</v>
      </c>
      <c r="FY188" t="e">
        <f>IF(#REF!,"AAAAAE///rQ=",0)</f>
        <v>#REF!</v>
      </c>
      <c r="FZ188" t="e">
        <f>IF(#REF!,"AAAAAE///rU=",0)</f>
        <v>#REF!</v>
      </c>
      <c r="GA188" t="e">
        <f>IF(#REF!,"AAAAAE///rY=",0)</f>
        <v>#REF!</v>
      </c>
      <c r="GB188" t="e">
        <f>IF(#REF!,"AAAAAE///rc=",0)</f>
        <v>#REF!</v>
      </c>
      <c r="GC188" t="e">
        <f>IF(#REF!,"AAAAAE///rg=",0)</f>
        <v>#REF!</v>
      </c>
      <c r="GD188" t="e">
        <f>IF(#REF!,"AAAAAE///rk=",0)</f>
        <v>#REF!</v>
      </c>
      <c r="GE188" t="e">
        <f>IF(#REF!,"AAAAAE///ro=",0)</f>
        <v>#REF!</v>
      </c>
      <c r="GF188" t="e">
        <f>IF(#REF!,"AAAAAE///rs=",0)</f>
        <v>#REF!</v>
      </c>
      <c r="GG188" t="e">
        <f>IF(#REF!,"AAAAAE///rw=",0)</f>
        <v>#REF!</v>
      </c>
      <c r="GH188" t="e">
        <f>IF(#REF!,"AAAAAE///r0=",0)</f>
        <v>#REF!</v>
      </c>
      <c r="GI188" t="e">
        <f>IF(#REF!,"AAAAAE///r4=",0)</f>
        <v>#REF!</v>
      </c>
      <c r="GJ188" t="e">
        <f>IF(#REF!,"AAAAAE///r8=",0)</f>
        <v>#REF!</v>
      </c>
      <c r="GK188" t="e">
        <f>IF(#REF!,"AAAAAE///sA=",0)</f>
        <v>#REF!</v>
      </c>
      <c r="GL188" t="e">
        <f>IF(#REF!,"AAAAAE///sE=",0)</f>
        <v>#REF!</v>
      </c>
      <c r="GM188" t="e">
        <f>IF(#REF!,"AAAAAE///sI=",0)</f>
        <v>#REF!</v>
      </c>
      <c r="GN188" t="e">
        <f>IF(#REF!,"AAAAAE///sM=",0)</f>
        <v>#REF!</v>
      </c>
      <c r="GO188" t="e">
        <f>IF(#REF!,"AAAAAE///sQ=",0)</f>
        <v>#REF!</v>
      </c>
      <c r="GP188" t="e">
        <f>IF(#REF!,"AAAAAE///sU=",0)</f>
        <v>#REF!</v>
      </c>
      <c r="GQ188" t="e">
        <f>IF(#REF!,"AAAAAE///sY=",0)</f>
        <v>#REF!</v>
      </c>
      <c r="GR188" t="e">
        <f>IF(#REF!,"AAAAAE///sc=",0)</f>
        <v>#REF!</v>
      </c>
      <c r="GS188" t="e">
        <f>IF(#REF!,"AAAAAE///sg=",0)</f>
        <v>#REF!</v>
      </c>
      <c r="GT188" t="e">
        <f>IF(#REF!,"AAAAAE///sk=",0)</f>
        <v>#REF!</v>
      </c>
      <c r="GU188" t="e">
        <f>IF(#REF!,"AAAAAE///so=",0)</f>
        <v>#REF!</v>
      </c>
      <c r="GV188" t="e">
        <f>IF(#REF!,"AAAAAE///ss=",0)</f>
        <v>#REF!</v>
      </c>
      <c r="GW188" t="e">
        <f>IF(#REF!,"AAAAAE///sw=",0)</f>
        <v>#REF!</v>
      </c>
      <c r="GX188" t="e">
        <f>IF(#REF!,"AAAAAE///s0=",0)</f>
        <v>#REF!</v>
      </c>
      <c r="GY188" t="e">
        <f>IF(#REF!,"AAAAAE///s4=",0)</f>
        <v>#REF!</v>
      </c>
      <c r="GZ188" t="e">
        <f>IF(#REF!,"AAAAAE///s8=",0)</f>
        <v>#REF!</v>
      </c>
      <c r="HA188" t="e">
        <f>IF(#REF!,"AAAAAE///tA=",0)</f>
        <v>#REF!</v>
      </c>
      <c r="HB188" t="e">
        <f>IF(#REF!,"AAAAAE///tE=",0)</f>
        <v>#REF!</v>
      </c>
      <c r="HC188" t="e">
        <f>IF(#REF!,"AAAAAE///tI=",0)</f>
        <v>#REF!</v>
      </c>
      <c r="HD188" t="e">
        <f>IF(#REF!,"AAAAAE///tM=",0)</f>
        <v>#REF!</v>
      </c>
      <c r="HE188" t="e">
        <f>IF(#REF!,"AAAAAE///tQ=",0)</f>
        <v>#REF!</v>
      </c>
      <c r="HF188" t="e">
        <f>IF(#REF!,"AAAAAE///tU=",0)</f>
        <v>#REF!</v>
      </c>
      <c r="HG188" t="e">
        <f>IF(#REF!,"AAAAAE///tY=",0)</f>
        <v>#REF!</v>
      </c>
      <c r="HH188" t="e">
        <f>IF(#REF!,"AAAAAE///tc=",0)</f>
        <v>#REF!</v>
      </c>
      <c r="HI188" t="e">
        <f>IF(#REF!,"AAAAAE///tg=",0)</f>
        <v>#REF!</v>
      </c>
      <c r="HJ188" t="e">
        <f>IF(#REF!,"AAAAAE///tk=",0)</f>
        <v>#REF!</v>
      </c>
      <c r="HK188" t="e">
        <f>IF(#REF!,"AAAAAE///to=",0)</f>
        <v>#REF!</v>
      </c>
      <c r="HL188" t="e">
        <f>IF(#REF!,"AAAAAE///ts=",0)</f>
        <v>#REF!</v>
      </c>
      <c r="HM188" t="e">
        <f>IF(#REF!,"AAAAAE///tw=",0)</f>
        <v>#REF!</v>
      </c>
      <c r="HN188" t="e">
        <f>IF(#REF!,"AAAAAE///t0=",0)</f>
        <v>#REF!</v>
      </c>
      <c r="HO188" t="e">
        <f>IF(#REF!,"AAAAAE///t4=",0)</f>
        <v>#REF!</v>
      </c>
      <c r="HP188" t="e">
        <f>IF(#REF!,"AAAAAE///t8=",0)</f>
        <v>#REF!</v>
      </c>
      <c r="HQ188" t="e">
        <f>IF(#REF!,"AAAAAE///uA=",0)</f>
        <v>#REF!</v>
      </c>
      <c r="HR188" t="e">
        <f>IF(#REF!,"AAAAAE///uE=",0)</f>
        <v>#REF!</v>
      </c>
      <c r="HS188" t="e">
        <f>IF(#REF!,"AAAAAE///uI=",0)</f>
        <v>#REF!</v>
      </c>
      <c r="HT188" t="e">
        <f>IF(#REF!,"AAAAAE///uM=",0)</f>
        <v>#REF!</v>
      </c>
      <c r="HU188" t="e">
        <f>IF(#REF!,"AAAAAE///uQ=",0)</f>
        <v>#REF!</v>
      </c>
      <c r="HV188" t="e">
        <f>IF(#REF!,"AAAAAE///uU=",0)</f>
        <v>#REF!</v>
      </c>
      <c r="HW188" t="e">
        <f>IF(#REF!,"AAAAAE///uY=",0)</f>
        <v>#REF!</v>
      </c>
      <c r="HX188" t="e">
        <f>IF(#REF!,"AAAAAE///uc=",0)</f>
        <v>#REF!</v>
      </c>
      <c r="HY188" t="e">
        <f>IF(#REF!,"AAAAAE///ug=",0)</f>
        <v>#REF!</v>
      </c>
      <c r="HZ188" t="e">
        <f>IF(#REF!,"AAAAAE///uk=",0)</f>
        <v>#REF!</v>
      </c>
      <c r="IA188" t="e">
        <f>IF(#REF!,"AAAAAE///uo=",0)</f>
        <v>#REF!</v>
      </c>
      <c r="IB188" t="e">
        <f>IF(#REF!,"AAAAAE///us=",0)</f>
        <v>#REF!</v>
      </c>
      <c r="IC188" t="e">
        <f>IF(#REF!,"AAAAAE///uw=",0)</f>
        <v>#REF!</v>
      </c>
      <c r="ID188" t="e">
        <f>IF(#REF!,"AAAAAE///u0=",0)</f>
        <v>#REF!</v>
      </c>
      <c r="IE188" t="e">
        <f>IF(#REF!,"AAAAAE///u4=",0)</f>
        <v>#REF!</v>
      </c>
      <c r="IF188" t="e">
        <f>IF(#REF!,"AAAAAE///u8=",0)</f>
        <v>#REF!</v>
      </c>
      <c r="IG188" t="e">
        <f>IF(#REF!,"AAAAAE///vA=",0)</f>
        <v>#REF!</v>
      </c>
      <c r="IH188" t="e">
        <f>AND(#REF!,"AAAAAE///vE=")</f>
        <v>#REF!</v>
      </c>
      <c r="II188" t="e">
        <f>AND(#REF!,"AAAAAE///vI=")</f>
        <v>#REF!</v>
      </c>
      <c r="IJ188" t="e">
        <f>AND(#REF!,"AAAAAE///vM=")</f>
        <v>#REF!</v>
      </c>
      <c r="IK188" t="e">
        <f>AND(#REF!,"AAAAAE///vQ=")</f>
        <v>#REF!</v>
      </c>
      <c r="IL188" t="e">
        <f>AND(#REF!,"AAAAAE///vU=")</f>
        <v>#REF!</v>
      </c>
      <c r="IM188" t="e">
        <f>AND(#REF!,"AAAAAE///vY=")</f>
        <v>#REF!</v>
      </c>
      <c r="IN188" t="e">
        <f>AND(#REF!,"AAAAAE///vc=")</f>
        <v>#REF!</v>
      </c>
      <c r="IO188" t="e">
        <f>AND(#REF!,"AAAAAE///vg=")</f>
        <v>#REF!</v>
      </c>
      <c r="IP188" t="e">
        <f>AND(#REF!,"AAAAAE///vk=")</f>
        <v>#REF!</v>
      </c>
      <c r="IQ188" t="e">
        <f>AND(#REF!,"AAAAAE///vo=")</f>
        <v>#REF!</v>
      </c>
      <c r="IR188" t="e">
        <f>AND(#REF!,"AAAAAE///vs=")</f>
        <v>#REF!</v>
      </c>
      <c r="IS188" t="e">
        <f>AND(#REF!,"AAAAAE///vw=")</f>
        <v>#REF!</v>
      </c>
      <c r="IT188" t="e">
        <f>AND(#REF!,"AAAAAE///v0=")</f>
        <v>#REF!</v>
      </c>
      <c r="IU188" t="e">
        <f>AND(#REF!,"AAAAAE///v4=")</f>
        <v>#REF!</v>
      </c>
      <c r="IV188" t="e">
        <f>AND(#REF!,"AAAAAE///v8=")</f>
        <v>#REF!</v>
      </c>
    </row>
    <row r="189" spans="1:256" x14ac:dyDescent="0.25">
      <c r="A189" t="e">
        <f>AND(#REF!,"AAAAAF++tQA=")</f>
        <v>#REF!</v>
      </c>
      <c r="B189" t="e">
        <f>AND(#REF!,"AAAAAF++tQE=")</f>
        <v>#REF!</v>
      </c>
      <c r="C189" t="e">
        <f>AND(#REF!,"AAAAAF++tQI=")</f>
        <v>#REF!</v>
      </c>
      <c r="D189" t="e">
        <f>AND(#REF!,"AAAAAF++tQM=")</f>
        <v>#REF!</v>
      </c>
      <c r="E189" t="e">
        <f>AND(#REF!,"AAAAAF++tQQ=")</f>
        <v>#REF!</v>
      </c>
      <c r="F189" t="e">
        <f>AND(#REF!,"AAAAAF++tQU=")</f>
        <v>#REF!</v>
      </c>
      <c r="G189" t="e">
        <f>AND(#REF!,"AAAAAF++tQY=")</f>
        <v>#REF!</v>
      </c>
      <c r="H189" t="e">
        <f>AND(#REF!,"AAAAAF++tQc=")</f>
        <v>#REF!</v>
      </c>
      <c r="I189" t="e">
        <f>AND(#REF!,"AAAAAF++tQg=")</f>
        <v>#REF!</v>
      </c>
      <c r="J189" t="e">
        <f>AND(#REF!,"AAAAAF++tQk=")</f>
        <v>#REF!</v>
      </c>
      <c r="K189" t="e">
        <f>AND(#REF!,"AAAAAF++tQo=")</f>
        <v>#REF!</v>
      </c>
      <c r="L189" t="e">
        <f>AND(#REF!,"AAAAAF++tQs=")</f>
        <v>#REF!</v>
      </c>
      <c r="M189" t="e">
        <f>AND(#REF!,"AAAAAF++tQw=")</f>
        <v>#REF!</v>
      </c>
      <c r="N189" t="e">
        <f>AND(#REF!,"AAAAAF++tQ0=")</f>
        <v>#REF!</v>
      </c>
      <c r="O189" t="e">
        <f>AND(#REF!,"AAAAAF++tQ4=")</f>
        <v>#REF!</v>
      </c>
      <c r="P189" t="e">
        <f>AND(#REF!,"AAAAAF++tQ8=")</f>
        <v>#REF!</v>
      </c>
      <c r="Q189" t="e">
        <f>AND(#REF!,"AAAAAF++tRA=")</f>
        <v>#REF!</v>
      </c>
      <c r="R189" t="e">
        <f>AND(#REF!,"AAAAAF++tRE=")</f>
        <v>#REF!</v>
      </c>
      <c r="S189" t="e">
        <f>AND(#REF!,"AAAAAF++tRI=")</f>
        <v>#REF!</v>
      </c>
      <c r="T189" t="e">
        <f>AND(#REF!,"AAAAAF++tRM=")</f>
        <v>#REF!</v>
      </c>
      <c r="U189" t="e">
        <f>AND(#REF!,"AAAAAF++tRQ=")</f>
        <v>#REF!</v>
      </c>
      <c r="V189" t="e">
        <f>AND(#REF!,"AAAAAF++tRU=")</f>
        <v>#REF!</v>
      </c>
      <c r="W189" t="e">
        <f>AND(#REF!,"AAAAAF++tRY=")</f>
        <v>#REF!</v>
      </c>
      <c r="X189" t="e">
        <f>AND(#REF!,"AAAAAF++tRc=")</f>
        <v>#REF!</v>
      </c>
      <c r="Y189" t="e">
        <f>AND(#REF!,"AAAAAF++tRg=")</f>
        <v>#REF!</v>
      </c>
      <c r="Z189" t="e">
        <f>AND(#REF!,"AAAAAF++tRk=")</f>
        <v>#REF!</v>
      </c>
      <c r="AA189" t="e">
        <f>AND(#REF!,"AAAAAF++tRo=")</f>
        <v>#REF!</v>
      </c>
      <c r="AB189" t="e">
        <f>AND(#REF!,"AAAAAF++tRs=")</f>
        <v>#REF!</v>
      </c>
      <c r="AC189" t="e">
        <f>AND(#REF!,"AAAAAF++tRw=")</f>
        <v>#REF!</v>
      </c>
      <c r="AD189" t="e">
        <f>AND(#REF!,"AAAAAF++tR0=")</f>
        <v>#REF!</v>
      </c>
      <c r="AE189" t="e">
        <f>AND(#REF!,"AAAAAF++tR4=")</f>
        <v>#REF!</v>
      </c>
      <c r="AF189" t="e">
        <f>AND(#REF!,"AAAAAF++tR8=")</f>
        <v>#REF!</v>
      </c>
      <c r="AG189" t="e">
        <f>AND(#REF!,"AAAAAF++tSA=")</f>
        <v>#REF!</v>
      </c>
      <c r="AH189" t="e">
        <f>AND(#REF!,"AAAAAF++tSE=")</f>
        <v>#REF!</v>
      </c>
      <c r="AI189" t="e">
        <f>AND(#REF!,"AAAAAF++tSI=")</f>
        <v>#REF!</v>
      </c>
      <c r="AJ189" t="e">
        <f>AND(#REF!,"AAAAAF++tSM=")</f>
        <v>#REF!</v>
      </c>
      <c r="AK189" t="e">
        <f>AND(#REF!,"AAAAAF++tSQ=")</f>
        <v>#REF!</v>
      </c>
      <c r="AL189" t="e">
        <f>AND(#REF!,"AAAAAF++tSU=")</f>
        <v>#REF!</v>
      </c>
      <c r="AM189" t="e">
        <f>AND(#REF!,"AAAAAF++tSY=")</f>
        <v>#REF!</v>
      </c>
      <c r="AN189" t="e">
        <f>AND(#REF!,"AAAAAF++tSc=")</f>
        <v>#REF!</v>
      </c>
      <c r="AO189" t="e">
        <f>AND(#REF!,"AAAAAF++tSg=")</f>
        <v>#REF!</v>
      </c>
      <c r="AP189" t="e">
        <f>AND(#REF!,"AAAAAF++tSk=")</f>
        <v>#REF!</v>
      </c>
      <c r="AQ189" t="e">
        <f>AND(#REF!,"AAAAAF++tSo=")</f>
        <v>#REF!</v>
      </c>
      <c r="AR189" t="e">
        <f>AND(#REF!,"AAAAAF++tSs=")</f>
        <v>#REF!</v>
      </c>
      <c r="AS189" t="e">
        <f>AND(#REF!,"AAAAAF++tSw=")</f>
        <v>#REF!</v>
      </c>
      <c r="AT189" t="e">
        <f>AND(#REF!,"AAAAAF++tS0=")</f>
        <v>#REF!</v>
      </c>
      <c r="AU189" t="e">
        <f>AND(#REF!,"AAAAAF++tS4=")</f>
        <v>#REF!</v>
      </c>
      <c r="AV189" t="e">
        <f>AND(#REF!,"AAAAAF++tS8=")</f>
        <v>#REF!</v>
      </c>
      <c r="AW189" t="e">
        <f>AND(#REF!,"AAAAAF++tTA=")</f>
        <v>#REF!</v>
      </c>
      <c r="AX189" t="e">
        <f>AND(#REF!,"AAAAAF++tTE=")</f>
        <v>#REF!</v>
      </c>
      <c r="AY189" t="e">
        <f>AND(#REF!,"AAAAAF++tTI=")</f>
        <v>#REF!</v>
      </c>
      <c r="AZ189" t="e">
        <f>AND(#REF!,"AAAAAF++tTM=")</f>
        <v>#REF!</v>
      </c>
      <c r="BA189" t="e">
        <f>AND(#REF!,"AAAAAF++tTQ=")</f>
        <v>#REF!</v>
      </c>
      <c r="BB189" t="e">
        <f>AND(#REF!,"AAAAAF++tTU=")</f>
        <v>#REF!</v>
      </c>
      <c r="BC189" t="e">
        <f>AND(#REF!,"AAAAAF++tTY=")</f>
        <v>#REF!</v>
      </c>
      <c r="BD189" t="e">
        <f>AND(#REF!,"AAAAAF++tTc=")</f>
        <v>#REF!</v>
      </c>
      <c r="BE189" t="e">
        <f>AND(#REF!,"AAAAAF++tTg=")</f>
        <v>#REF!</v>
      </c>
      <c r="BF189" t="e">
        <f>AND(#REF!,"AAAAAF++tTk=")</f>
        <v>#REF!</v>
      </c>
      <c r="BG189" t="e">
        <f>AND(#REF!,"AAAAAF++tTo=")</f>
        <v>#REF!</v>
      </c>
      <c r="BH189" t="e">
        <f>AND(#REF!,"AAAAAF++tTs=")</f>
        <v>#REF!</v>
      </c>
      <c r="BI189" t="e">
        <f>AND(#REF!,"AAAAAF++tTw=")</f>
        <v>#REF!</v>
      </c>
      <c r="BJ189" t="e">
        <f>AND(#REF!,"AAAAAF++tT0=")</f>
        <v>#REF!</v>
      </c>
      <c r="BK189" t="e">
        <f>AND(#REF!,"AAAAAF++tT4=")</f>
        <v>#REF!</v>
      </c>
      <c r="BL189" t="e">
        <f>AND(#REF!,"AAAAAF++tT8=")</f>
        <v>#REF!</v>
      </c>
      <c r="BM189" t="e">
        <f>AND(#REF!,"AAAAAF++tUA=")</f>
        <v>#REF!</v>
      </c>
      <c r="BN189" t="e">
        <f>AND(#REF!,"AAAAAF++tUE=")</f>
        <v>#REF!</v>
      </c>
      <c r="BO189" t="e">
        <f>AND(#REF!,"AAAAAF++tUI=")</f>
        <v>#REF!</v>
      </c>
      <c r="BP189" t="e">
        <f>AND(#REF!,"AAAAAF++tUM=")</f>
        <v>#REF!</v>
      </c>
      <c r="BQ189" t="e">
        <f>AND(#REF!,"AAAAAF++tUQ=")</f>
        <v>#REF!</v>
      </c>
      <c r="BR189" t="e">
        <f>AND(#REF!,"AAAAAF++tUU=")</f>
        <v>#REF!</v>
      </c>
      <c r="BS189" t="e">
        <f>AND(#REF!,"AAAAAF++tUY=")</f>
        <v>#REF!</v>
      </c>
      <c r="BT189" t="e">
        <f>AND(#REF!,"AAAAAF++tUc=")</f>
        <v>#REF!</v>
      </c>
      <c r="BU189" t="e">
        <f>AND(#REF!,"AAAAAF++tUg=")</f>
        <v>#REF!</v>
      </c>
      <c r="BV189" t="e">
        <f>AND(#REF!,"AAAAAF++tUk=")</f>
        <v>#REF!</v>
      </c>
      <c r="BW189" t="e">
        <f>AND(#REF!,"AAAAAF++tUo=")</f>
        <v>#REF!</v>
      </c>
      <c r="BX189" t="e">
        <f>AND(#REF!,"AAAAAF++tUs=")</f>
        <v>#REF!</v>
      </c>
      <c r="BY189" t="e">
        <f>AND(#REF!,"AAAAAF++tUw=")</f>
        <v>#REF!</v>
      </c>
      <c r="BZ189" t="e">
        <f>AND(#REF!,"AAAAAF++tU0=")</f>
        <v>#REF!</v>
      </c>
      <c r="CA189" t="e">
        <f>AND(#REF!,"AAAAAF++tU4=")</f>
        <v>#REF!</v>
      </c>
      <c r="CB189" t="e">
        <f>AND(#REF!,"AAAAAF++tU8=")</f>
        <v>#REF!</v>
      </c>
      <c r="CC189" t="e">
        <f>AND(#REF!,"AAAAAF++tVA=")</f>
        <v>#REF!</v>
      </c>
      <c r="CD189" t="e">
        <f>AND(#REF!,"AAAAAF++tVE=")</f>
        <v>#REF!</v>
      </c>
      <c r="CE189" t="e">
        <f>AND(#REF!,"AAAAAF++tVI=")</f>
        <v>#REF!</v>
      </c>
      <c r="CF189" t="e">
        <f>AND(#REF!,"AAAAAF++tVM=")</f>
        <v>#REF!</v>
      </c>
      <c r="CG189" t="e">
        <f>AND(#REF!,"AAAAAF++tVQ=")</f>
        <v>#REF!</v>
      </c>
      <c r="CH189" t="e">
        <f>AND(#REF!,"AAAAAF++tVU=")</f>
        <v>#REF!</v>
      </c>
      <c r="CI189" t="e">
        <f>AND(#REF!,"AAAAAF++tVY=")</f>
        <v>#REF!</v>
      </c>
      <c r="CJ189" t="e">
        <f>AND(#REF!,"AAAAAF++tVc=")</f>
        <v>#REF!</v>
      </c>
      <c r="CK189" t="e">
        <f>AND(#REF!,"AAAAAF++tVg=")</f>
        <v>#REF!</v>
      </c>
      <c r="CL189" t="e">
        <f>AND(#REF!,"AAAAAF++tVk=")</f>
        <v>#REF!</v>
      </c>
      <c r="CM189" t="e">
        <f>AND(#REF!,"AAAAAF++tVo=")</f>
        <v>#REF!</v>
      </c>
      <c r="CN189" t="e">
        <f>AND(#REF!,"AAAAAF++tVs=")</f>
        <v>#REF!</v>
      </c>
      <c r="CO189" t="e">
        <f>AND(#REF!,"AAAAAF++tVw=")</f>
        <v>#REF!</v>
      </c>
      <c r="CP189" t="e">
        <f>AND(#REF!,"AAAAAF++tV0=")</f>
        <v>#REF!</v>
      </c>
      <c r="CQ189" t="e">
        <f>AND(#REF!,"AAAAAF++tV4=")</f>
        <v>#REF!</v>
      </c>
      <c r="CR189" t="e">
        <f>AND(#REF!,"AAAAAF++tV8=")</f>
        <v>#REF!</v>
      </c>
      <c r="CS189" t="e">
        <f>AND(#REF!,"AAAAAF++tWA=")</f>
        <v>#REF!</v>
      </c>
      <c r="CT189" t="e">
        <f>AND(#REF!,"AAAAAF++tWE=")</f>
        <v>#REF!</v>
      </c>
      <c r="CU189" t="e">
        <f>AND(#REF!,"AAAAAF++tWI=")</f>
        <v>#REF!</v>
      </c>
      <c r="CV189" t="e">
        <f>AND(#REF!,"AAAAAF++tWM=")</f>
        <v>#REF!</v>
      </c>
      <c r="CW189" t="e">
        <f>AND(#REF!,"AAAAAF++tWQ=")</f>
        <v>#REF!</v>
      </c>
      <c r="CX189" t="e">
        <f>AND(#REF!,"AAAAAF++tWU=")</f>
        <v>#REF!</v>
      </c>
      <c r="CY189" t="e">
        <f>AND(#REF!,"AAAAAF++tWY=")</f>
        <v>#REF!</v>
      </c>
      <c r="CZ189" t="e">
        <f>AND(#REF!,"AAAAAF++tWc=")</f>
        <v>#REF!</v>
      </c>
      <c r="DA189" t="e">
        <f>AND(#REF!,"AAAAAF++tWg=")</f>
        <v>#REF!</v>
      </c>
      <c r="DB189" t="e">
        <f>AND(#REF!,"AAAAAF++tWk=")</f>
        <v>#REF!</v>
      </c>
      <c r="DC189" t="e">
        <f>AND(#REF!,"AAAAAF++tWo=")</f>
        <v>#REF!</v>
      </c>
      <c r="DD189" t="e">
        <f>AND(#REF!,"AAAAAF++tWs=")</f>
        <v>#REF!</v>
      </c>
      <c r="DE189" t="e">
        <f>AND(#REF!,"AAAAAF++tWw=")</f>
        <v>#REF!</v>
      </c>
      <c r="DF189" t="e">
        <f>AND(#REF!,"AAAAAF++tW0=")</f>
        <v>#REF!</v>
      </c>
      <c r="DG189" t="e">
        <f>AND(#REF!,"AAAAAF++tW4=")</f>
        <v>#REF!</v>
      </c>
      <c r="DH189" t="e">
        <f>AND(#REF!,"AAAAAF++tW8=")</f>
        <v>#REF!</v>
      </c>
      <c r="DI189" t="e">
        <f>AND(#REF!,"AAAAAF++tXA=")</f>
        <v>#REF!</v>
      </c>
      <c r="DJ189" t="e">
        <f>AND(#REF!,"AAAAAF++tXE=")</f>
        <v>#REF!</v>
      </c>
      <c r="DK189" t="e">
        <f>AND(#REF!,"AAAAAF++tXI=")</f>
        <v>#REF!</v>
      </c>
      <c r="DL189" t="e">
        <f>AND(#REF!,"AAAAAF++tXM=")</f>
        <v>#REF!</v>
      </c>
      <c r="DM189" t="e">
        <f>AND(#REF!,"AAAAAF++tXQ=")</f>
        <v>#REF!</v>
      </c>
      <c r="DN189" t="e">
        <f>AND(#REF!,"AAAAAF++tXU=")</f>
        <v>#REF!</v>
      </c>
      <c r="DO189" t="e">
        <f>AND(#REF!,"AAAAAF++tXY=")</f>
        <v>#REF!</v>
      </c>
      <c r="DP189" t="e">
        <f>AND(#REF!,"AAAAAF++tXc=")</f>
        <v>#REF!</v>
      </c>
      <c r="DQ189" t="e">
        <f>AND(#REF!,"AAAAAF++tXg=")</f>
        <v>#REF!</v>
      </c>
      <c r="DR189" t="e">
        <f>AND(#REF!,"AAAAAF++tXk=")</f>
        <v>#REF!</v>
      </c>
      <c r="DS189" t="e">
        <f>AND(#REF!,"AAAAAF++tXo=")</f>
        <v>#REF!</v>
      </c>
      <c r="DT189" t="e">
        <f>AND(#REF!,"AAAAAF++tXs=")</f>
        <v>#REF!</v>
      </c>
      <c r="DU189" t="e">
        <f>AND(#REF!,"AAAAAF++tXw=")</f>
        <v>#REF!</v>
      </c>
      <c r="DV189" t="e">
        <f>AND(#REF!,"AAAAAF++tX0=")</f>
        <v>#REF!</v>
      </c>
      <c r="DW189" t="e">
        <f>AND(#REF!,"AAAAAF++tX4=")</f>
        <v>#REF!</v>
      </c>
      <c r="DX189" t="e">
        <f>AND(#REF!,"AAAAAF++tX8=")</f>
        <v>#REF!</v>
      </c>
      <c r="DY189" t="e">
        <f>AND(#REF!,"AAAAAF++tYA=")</f>
        <v>#REF!</v>
      </c>
      <c r="DZ189" t="e">
        <f>AND(#REF!,"AAAAAF++tYE=")</f>
        <v>#REF!</v>
      </c>
      <c r="EA189" t="e">
        <f>AND(#REF!,"AAAAAF++tYI=")</f>
        <v>#REF!</v>
      </c>
      <c r="EB189" t="e">
        <f>AND(#REF!,"AAAAAF++tYM=")</f>
        <v>#REF!</v>
      </c>
      <c r="EC189" t="e">
        <f>AND(#REF!,"AAAAAF++tYQ=")</f>
        <v>#REF!</v>
      </c>
      <c r="ED189" t="e">
        <f>AND(#REF!,"AAAAAF++tYU=")</f>
        <v>#REF!</v>
      </c>
      <c r="EE189" t="e">
        <f>AND(#REF!,"AAAAAF++tYY=")</f>
        <v>#REF!</v>
      </c>
      <c r="EF189" t="e">
        <f>AND(#REF!,"AAAAAF++tYc=")</f>
        <v>#REF!</v>
      </c>
      <c r="EG189" t="e">
        <f>AND(#REF!,"AAAAAF++tYg=")</f>
        <v>#REF!</v>
      </c>
      <c r="EH189" t="e">
        <f>AND(#REF!,"AAAAAF++tYk=")</f>
        <v>#REF!</v>
      </c>
      <c r="EI189" t="e">
        <f>AND(#REF!,"AAAAAF++tYo=")</f>
        <v>#REF!</v>
      </c>
      <c r="EJ189" t="e">
        <f>AND(#REF!,"AAAAAF++tYs=")</f>
        <v>#REF!</v>
      </c>
      <c r="EK189" t="e">
        <f>AND(#REF!,"AAAAAF++tYw=")</f>
        <v>#REF!</v>
      </c>
      <c r="EL189" t="e">
        <f>AND(#REF!,"AAAAAF++tY0=")</f>
        <v>#REF!</v>
      </c>
      <c r="EM189" t="e">
        <f>AND(#REF!,"AAAAAF++tY4=")</f>
        <v>#REF!</v>
      </c>
      <c r="EN189" t="e">
        <f>AND(#REF!,"AAAAAF++tY8=")</f>
        <v>#REF!</v>
      </c>
      <c r="EO189" t="e">
        <f>AND(#REF!,"AAAAAF++tZA=")</f>
        <v>#REF!</v>
      </c>
      <c r="EP189" t="e">
        <f>AND(#REF!,"AAAAAF++tZE=")</f>
        <v>#REF!</v>
      </c>
      <c r="EQ189" t="e">
        <f>AND(#REF!,"AAAAAF++tZI=")</f>
        <v>#REF!</v>
      </c>
      <c r="ER189" t="e">
        <f>AND(#REF!,"AAAAAF++tZM=")</f>
        <v>#REF!</v>
      </c>
      <c r="ES189" t="e">
        <f>AND(#REF!,"AAAAAF++tZQ=")</f>
        <v>#REF!</v>
      </c>
      <c r="ET189" t="e">
        <f>AND(#REF!,"AAAAAF++tZU=")</f>
        <v>#REF!</v>
      </c>
      <c r="EU189" t="e">
        <f>AND(#REF!,"AAAAAF++tZY=")</f>
        <v>#REF!</v>
      </c>
      <c r="EV189" t="e">
        <f>AND(#REF!,"AAAAAF++tZc=")</f>
        <v>#REF!</v>
      </c>
      <c r="EW189" t="e">
        <f>AND(#REF!,"AAAAAF++tZg=")</f>
        <v>#REF!</v>
      </c>
      <c r="EX189" t="e">
        <f>AND(#REF!,"AAAAAF++tZk=")</f>
        <v>#REF!</v>
      </c>
      <c r="EY189" t="e">
        <f>AND(#REF!,"AAAAAF++tZo=")</f>
        <v>#REF!</v>
      </c>
      <c r="EZ189" t="e">
        <f>AND(#REF!,"AAAAAF++tZs=")</f>
        <v>#REF!</v>
      </c>
      <c r="FA189" t="e">
        <f>AND(#REF!,"AAAAAF++tZw=")</f>
        <v>#REF!</v>
      </c>
      <c r="FB189" t="e">
        <f>AND(#REF!,"AAAAAF++tZ0=")</f>
        <v>#REF!</v>
      </c>
      <c r="FC189" t="e">
        <f>AND(#REF!,"AAAAAF++tZ4=")</f>
        <v>#REF!</v>
      </c>
      <c r="FD189" t="e">
        <f>AND(#REF!,"AAAAAF++tZ8=")</f>
        <v>#REF!</v>
      </c>
      <c r="FE189" t="e">
        <f>AND(#REF!,"AAAAAF++taA=")</f>
        <v>#REF!</v>
      </c>
      <c r="FF189" t="e">
        <f>AND(#REF!,"AAAAAF++taE=")</f>
        <v>#REF!</v>
      </c>
      <c r="FG189" t="e">
        <f>AND(#REF!,"AAAAAF++taI=")</f>
        <v>#REF!</v>
      </c>
      <c r="FH189" t="e">
        <f>AND(#REF!,"AAAAAF++taM=")</f>
        <v>#REF!</v>
      </c>
      <c r="FI189" t="e">
        <f>AND(#REF!,"AAAAAF++taQ=")</f>
        <v>#REF!</v>
      </c>
      <c r="FJ189" t="e">
        <f>AND(#REF!,"AAAAAF++taU=")</f>
        <v>#REF!</v>
      </c>
      <c r="FK189" t="e">
        <f>AND(#REF!,"AAAAAF++taY=")</f>
        <v>#REF!</v>
      </c>
      <c r="FL189" t="e">
        <f>AND(#REF!,"AAAAAF++tac=")</f>
        <v>#REF!</v>
      </c>
      <c r="FM189" t="e">
        <f>AND(#REF!,"AAAAAF++tag=")</f>
        <v>#REF!</v>
      </c>
      <c r="FN189" t="e">
        <f>AND(#REF!,"AAAAAF++tak=")</f>
        <v>#REF!</v>
      </c>
      <c r="FO189" t="e">
        <f>AND(#REF!,"AAAAAF++tao=")</f>
        <v>#REF!</v>
      </c>
      <c r="FP189" t="e">
        <f>AND(#REF!,"AAAAAF++tas=")</f>
        <v>#REF!</v>
      </c>
      <c r="FQ189" t="e">
        <f>AND(#REF!,"AAAAAF++taw=")</f>
        <v>#REF!</v>
      </c>
      <c r="FR189" t="e">
        <f>AND(#REF!,"AAAAAF++ta0=")</f>
        <v>#REF!</v>
      </c>
      <c r="FS189" t="e">
        <f>AND(#REF!,"AAAAAF++ta4=")</f>
        <v>#REF!</v>
      </c>
      <c r="FT189" t="e">
        <f>AND(#REF!,"AAAAAF++ta8=")</f>
        <v>#REF!</v>
      </c>
      <c r="FU189" t="e">
        <f>AND(#REF!,"AAAAAF++tbA=")</f>
        <v>#REF!</v>
      </c>
      <c r="FV189" t="e">
        <f>AND(#REF!,"AAAAAF++tbE=")</f>
        <v>#REF!</v>
      </c>
      <c r="FW189" t="e">
        <f>AND(#REF!,"AAAAAF++tbI=")</f>
        <v>#REF!</v>
      </c>
      <c r="FX189" t="e">
        <f>AND(#REF!,"AAAAAF++tbM=")</f>
        <v>#REF!</v>
      </c>
      <c r="FY189" t="e">
        <f>AND(#REF!,"AAAAAF++tbQ=")</f>
        <v>#REF!</v>
      </c>
      <c r="FZ189" t="e">
        <f>AND(#REF!,"AAAAAF++tbU=")</f>
        <v>#REF!</v>
      </c>
      <c r="GA189" t="e">
        <f>AND(#REF!,"AAAAAF++tbY=")</f>
        <v>#REF!</v>
      </c>
      <c r="GB189" t="e">
        <f>AND(#REF!,"AAAAAF++tbc=")</f>
        <v>#REF!</v>
      </c>
      <c r="GC189" t="e">
        <f>AND(#REF!,"AAAAAF++tbg=")</f>
        <v>#REF!</v>
      </c>
      <c r="GD189" t="e">
        <f>AND(#REF!,"AAAAAF++tbk=")</f>
        <v>#REF!</v>
      </c>
      <c r="GE189" t="e">
        <f>AND(#REF!,"AAAAAF++tbo=")</f>
        <v>#REF!</v>
      </c>
      <c r="GF189" t="e">
        <f>AND(#REF!,"AAAAAF++tbs=")</f>
        <v>#REF!</v>
      </c>
      <c r="GG189" t="e">
        <f>AND(#REF!,"AAAAAF++tbw=")</f>
        <v>#REF!</v>
      </c>
      <c r="GH189" t="e">
        <f>AND(#REF!,"AAAAAF++tb0=")</f>
        <v>#REF!</v>
      </c>
      <c r="GI189" t="e">
        <f>AND(#REF!,"AAAAAF++tb4=")</f>
        <v>#REF!</v>
      </c>
      <c r="GJ189" t="e">
        <f>AND(#REF!,"AAAAAF++tb8=")</f>
        <v>#REF!</v>
      </c>
      <c r="GK189" t="e">
        <f>AND(#REF!,"AAAAAF++tcA=")</f>
        <v>#REF!</v>
      </c>
      <c r="GL189" t="e">
        <f>AND(#REF!,"AAAAAF++tcE=")</f>
        <v>#REF!</v>
      </c>
      <c r="GM189" t="e">
        <f>AND(#REF!,"AAAAAF++tcI=")</f>
        <v>#REF!</v>
      </c>
      <c r="GN189" t="e">
        <f>AND(#REF!,"AAAAAF++tcM=")</f>
        <v>#REF!</v>
      </c>
      <c r="GO189" t="e">
        <f>AND(#REF!,"AAAAAF++tcQ=")</f>
        <v>#REF!</v>
      </c>
      <c r="GP189" t="e">
        <f>AND(#REF!,"AAAAAF++tcU=")</f>
        <v>#REF!</v>
      </c>
      <c r="GQ189" t="e">
        <f>AND(#REF!,"AAAAAF++tcY=")</f>
        <v>#REF!</v>
      </c>
      <c r="GR189" t="e">
        <f>AND(#REF!,"AAAAAF++tcc=")</f>
        <v>#REF!</v>
      </c>
      <c r="GS189" t="e">
        <f>AND(#REF!,"AAAAAF++tcg=")</f>
        <v>#REF!</v>
      </c>
      <c r="GT189" t="e">
        <f>AND(#REF!,"AAAAAF++tck=")</f>
        <v>#REF!</v>
      </c>
      <c r="GU189" t="e">
        <f>AND(#REF!,"AAAAAF++tco=")</f>
        <v>#REF!</v>
      </c>
      <c r="GV189" t="e">
        <f>AND(#REF!,"AAAAAF++tcs=")</f>
        <v>#REF!</v>
      </c>
      <c r="GW189" t="e">
        <f>AND(#REF!,"AAAAAF++tcw=")</f>
        <v>#REF!</v>
      </c>
      <c r="GX189" t="e">
        <f>AND(#REF!,"AAAAAF++tc0=")</f>
        <v>#REF!</v>
      </c>
      <c r="GY189" t="e">
        <f>AND(#REF!,"AAAAAF++tc4=")</f>
        <v>#REF!</v>
      </c>
      <c r="GZ189" t="e">
        <f>AND(#REF!,"AAAAAF++tc8=")</f>
        <v>#REF!</v>
      </c>
      <c r="HA189" t="e">
        <f>AND(#REF!,"AAAAAF++tdA=")</f>
        <v>#REF!</v>
      </c>
      <c r="HB189" t="e">
        <f>AND(#REF!,"AAAAAF++tdE=")</f>
        <v>#REF!</v>
      </c>
      <c r="HC189" t="e">
        <f>AND(#REF!,"AAAAAF++tdI=")</f>
        <v>#REF!</v>
      </c>
      <c r="HD189" t="e">
        <f>AND(#REF!,"AAAAAF++tdM=")</f>
        <v>#REF!</v>
      </c>
      <c r="HE189" t="e">
        <f>AND(#REF!,"AAAAAF++tdQ=")</f>
        <v>#REF!</v>
      </c>
      <c r="HF189" t="e">
        <f>AND(#REF!,"AAAAAF++tdU=")</f>
        <v>#REF!</v>
      </c>
      <c r="HG189" t="e">
        <f>AND(#REF!,"AAAAAF++tdY=")</f>
        <v>#REF!</v>
      </c>
      <c r="HH189" t="e">
        <f>AND(#REF!,"AAAAAF++tdc=")</f>
        <v>#REF!</v>
      </c>
      <c r="HI189" t="e">
        <f>AND(#REF!,"AAAAAF++tdg=")</f>
        <v>#REF!</v>
      </c>
      <c r="HJ189" t="e">
        <f>AND(#REF!,"AAAAAF++tdk=")</f>
        <v>#REF!</v>
      </c>
      <c r="HK189" t="e">
        <f>AND(#REF!,"AAAAAF++tdo=")</f>
        <v>#REF!</v>
      </c>
      <c r="HL189" t="e">
        <f>AND(#REF!,"AAAAAF++tds=")</f>
        <v>#REF!</v>
      </c>
      <c r="HM189" t="e">
        <f>AND(#REF!,"AAAAAF++tdw=")</f>
        <v>#REF!</v>
      </c>
      <c r="HN189" t="e">
        <f>AND(#REF!,"AAAAAF++td0=")</f>
        <v>#REF!</v>
      </c>
      <c r="HO189" t="e">
        <f>AND(#REF!,"AAAAAF++td4=")</f>
        <v>#REF!</v>
      </c>
      <c r="HP189" t="e">
        <f>AND(#REF!,"AAAAAF++td8=")</f>
        <v>#REF!</v>
      </c>
      <c r="HQ189" t="e">
        <f>AND(#REF!,"AAAAAF++teA=")</f>
        <v>#REF!</v>
      </c>
      <c r="HR189" t="e">
        <f>AND(#REF!,"AAAAAF++teE=")</f>
        <v>#REF!</v>
      </c>
      <c r="HS189" t="e">
        <f>AND(#REF!,"AAAAAF++teI=")</f>
        <v>#REF!</v>
      </c>
      <c r="HT189" t="e">
        <f>AND(#REF!,"AAAAAF++teM=")</f>
        <v>#REF!</v>
      </c>
      <c r="HU189" t="e">
        <f>AND(#REF!,"AAAAAF++teQ=")</f>
        <v>#REF!</v>
      </c>
      <c r="HV189" t="e">
        <f>AND(#REF!,"AAAAAF++teU=")</f>
        <v>#REF!</v>
      </c>
      <c r="HW189" t="e">
        <f>AND(#REF!,"AAAAAF++teY=")</f>
        <v>#REF!</v>
      </c>
      <c r="HX189" t="e">
        <f>AND(#REF!,"AAAAAF++tec=")</f>
        <v>#REF!</v>
      </c>
      <c r="HY189" t="e">
        <f>AND(#REF!,"AAAAAF++teg=")</f>
        <v>#REF!</v>
      </c>
      <c r="HZ189" t="e">
        <f>AND(#REF!,"AAAAAF++tek=")</f>
        <v>#REF!</v>
      </c>
      <c r="IA189" t="e">
        <f>AND(#REF!,"AAAAAF++teo=")</f>
        <v>#REF!</v>
      </c>
      <c r="IB189" t="e">
        <f>AND(#REF!,"AAAAAF++tes=")</f>
        <v>#REF!</v>
      </c>
      <c r="IC189" t="e">
        <f>AND(#REF!,"AAAAAF++tew=")</f>
        <v>#REF!</v>
      </c>
      <c r="ID189" t="e">
        <f>AND(#REF!,"AAAAAF++te0=")</f>
        <v>#REF!</v>
      </c>
      <c r="IE189" t="e">
        <f>AND(#REF!,"AAAAAF++te4=")</f>
        <v>#REF!</v>
      </c>
      <c r="IF189" t="e">
        <f>AND(#REF!,"AAAAAF++te8=")</f>
        <v>#REF!</v>
      </c>
      <c r="IG189" t="e">
        <f>AND(#REF!,"AAAAAF++tfA=")</f>
        <v>#REF!</v>
      </c>
      <c r="IH189" t="e">
        <f>AND(#REF!,"AAAAAF++tfE=")</f>
        <v>#REF!</v>
      </c>
      <c r="II189" t="e">
        <f>AND(#REF!,"AAAAAF++tfI=")</f>
        <v>#REF!</v>
      </c>
      <c r="IJ189" t="e">
        <f>AND(#REF!,"AAAAAF++tfM=")</f>
        <v>#REF!</v>
      </c>
      <c r="IK189" t="e">
        <f>AND(#REF!,"AAAAAF++tfQ=")</f>
        <v>#REF!</v>
      </c>
      <c r="IL189" t="e">
        <f>AND(#REF!,"AAAAAF++tfU=")</f>
        <v>#REF!</v>
      </c>
      <c r="IM189" t="e">
        <f>AND(#REF!,"AAAAAF++tfY=")</f>
        <v>#REF!</v>
      </c>
      <c r="IN189" t="e">
        <f>AND(#REF!,"AAAAAF++tfc=")</f>
        <v>#REF!</v>
      </c>
      <c r="IO189" t="e">
        <f>AND(#REF!,"AAAAAF++tfg=")</f>
        <v>#REF!</v>
      </c>
      <c r="IP189" t="e">
        <f>AND(#REF!,"AAAAAF++tfk=")</f>
        <v>#REF!</v>
      </c>
      <c r="IQ189" t="e">
        <f>AND(#REF!,"AAAAAF++tfo=")</f>
        <v>#REF!</v>
      </c>
      <c r="IR189" t="e">
        <f>AND(#REF!,"AAAAAF++tfs=")</f>
        <v>#REF!</v>
      </c>
      <c r="IS189" t="e">
        <f>AND(#REF!,"AAAAAF++tfw=")</f>
        <v>#REF!</v>
      </c>
      <c r="IT189" t="e">
        <f>AND(#REF!,"AAAAAF++tf0=")</f>
        <v>#REF!</v>
      </c>
      <c r="IU189" t="e">
        <f>AND(#REF!,"AAAAAF++tf4=")</f>
        <v>#REF!</v>
      </c>
      <c r="IV189" t="e">
        <f>AND(#REF!,"AAAAAF++tf8=")</f>
        <v>#REF!</v>
      </c>
    </row>
    <row r="190" spans="1:256" x14ac:dyDescent="0.25">
      <c r="A190" t="e">
        <f>AND(#REF!,"AAAAAGW//wA=")</f>
        <v>#REF!</v>
      </c>
      <c r="B190" t="e">
        <f>AND(#REF!,"AAAAAGW//wE=")</f>
        <v>#REF!</v>
      </c>
      <c r="C190" t="e">
        <f>AND(#REF!,"AAAAAGW//wI=")</f>
        <v>#REF!</v>
      </c>
      <c r="D190" t="e">
        <f>AND(#REF!,"AAAAAGW//wM=")</f>
        <v>#REF!</v>
      </c>
      <c r="E190" t="e">
        <f>AND(#REF!,"AAAAAGW//wQ=")</f>
        <v>#REF!</v>
      </c>
      <c r="F190" t="e">
        <f>AND(#REF!,"AAAAAGW//wU=")</f>
        <v>#REF!</v>
      </c>
      <c r="G190" t="e">
        <f>AND(#REF!,"AAAAAGW//wY=")</f>
        <v>#REF!</v>
      </c>
      <c r="H190" t="e">
        <f>AND(#REF!,"AAAAAGW//wc=")</f>
        <v>#REF!</v>
      </c>
      <c r="I190" t="e">
        <f>AND(#REF!,"AAAAAGW//wg=")</f>
        <v>#REF!</v>
      </c>
      <c r="J190" t="e">
        <f>AND(#REF!,"AAAAAGW//wk=")</f>
        <v>#REF!</v>
      </c>
      <c r="K190" t="e">
        <f>AND(#REF!,"AAAAAGW//wo=")</f>
        <v>#REF!</v>
      </c>
      <c r="L190" t="e">
        <f>AND(#REF!,"AAAAAGW//ws=")</f>
        <v>#REF!</v>
      </c>
      <c r="M190" t="e">
        <f>AND(#REF!,"AAAAAGW//ww=")</f>
        <v>#REF!</v>
      </c>
      <c r="N190" t="e">
        <f>AND(#REF!,"AAAAAGW//w0=")</f>
        <v>#REF!</v>
      </c>
      <c r="O190" t="e">
        <f>AND(#REF!,"AAAAAGW//w4=")</f>
        <v>#REF!</v>
      </c>
      <c r="P190" t="e">
        <f>AND(#REF!,"AAAAAGW//w8=")</f>
        <v>#REF!</v>
      </c>
      <c r="Q190" t="e">
        <f>AND(#REF!,"AAAAAGW//xA=")</f>
        <v>#REF!</v>
      </c>
      <c r="R190" t="e">
        <f>AND(#REF!,"AAAAAGW//xE=")</f>
        <v>#REF!</v>
      </c>
      <c r="S190" t="e">
        <f>AND(#REF!,"AAAAAGW//xI=")</f>
        <v>#REF!</v>
      </c>
      <c r="T190" t="e">
        <f>AND(#REF!,"AAAAAGW//xM=")</f>
        <v>#REF!</v>
      </c>
      <c r="U190" t="e">
        <f>AND(#REF!,"AAAAAGW//xQ=")</f>
        <v>#REF!</v>
      </c>
      <c r="V190" t="e">
        <f>AND(#REF!,"AAAAAGW//xU=")</f>
        <v>#REF!</v>
      </c>
      <c r="W190" t="e">
        <f>AND(#REF!,"AAAAAGW//xY=")</f>
        <v>#REF!</v>
      </c>
      <c r="X190" t="e">
        <f>AND(#REF!,"AAAAAGW//xc=")</f>
        <v>#REF!</v>
      </c>
      <c r="Y190" t="e">
        <f>AND(#REF!,"AAAAAGW//xg=")</f>
        <v>#REF!</v>
      </c>
      <c r="Z190" t="e">
        <f>AND(#REF!,"AAAAAGW//xk=")</f>
        <v>#REF!</v>
      </c>
      <c r="AA190" t="e">
        <f>AND(#REF!,"AAAAAGW//xo=")</f>
        <v>#REF!</v>
      </c>
      <c r="AB190" t="e">
        <f>AND(#REF!,"AAAAAGW//xs=")</f>
        <v>#REF!</v>
      </c>
      <c r="AC190" t="e">
        <f>AND(#REF!,"AAAAAGW//xw=")</f>
        <v>#REF!</v>
      </c>
      <c r="AD190" t="e">
        <f>AND(#REF!,"AAAAAGW//x0=")</f>
        <v>#REF!</v>
      </c>
      <c r="AE190" t="e">
        <f>AND(#REF!,"AAAAAGW//x4=")</f>
        <v>#REF!</v>
      </c>
      <c r="AF190" t="e">
        <f>AND(#REF!,"AAAAAGW//x8=")</f>
        <v>#REF!</v>
      </c>
      <c r="AG190" t="e">
        <f>AND(#REF!,"AAAAAGW//yA=")</f>
        <v>#REF!</v>
      </c>
      <c r="AH190" t="e">
        <f>AND(#REF!,"AAAAAGW//yE=")</f>
        <v>#REF!</v>
      </c>
      <c r="AI190" t="e">
        <f>AND(#REF!,"AAAAAGW//yI=")</f>
        <v>#REF!</v>
      </c>
      <c r="AJ190" t="e">
        <f>AND(#REF!,"AAAAAGW//yM=")</f>
        <v>#REF!</v>
      </c>
      <c r="AK190" t="e">
        <f>AND(#REF!,"AAAAAGW//yQ=")</f>
        <v>#REF!</v>
      </c>
      <c r="AL190" t="e">
        <f>AND(#REF!,"AAAAAGW//yU=")</f>
        <v>#REF!</v>
      </c>
      <c r="AM190" t="e">
        <f>AND(#REF!,"AAAAAGW//yY=")</f>
        <v>#REF!</v>
      </c>
      <c r="AN190" t="e">
        <f>AND(#REF!,"AAAAAGW//yc=")</f>
        <v>#REF!</v>
      </c>
      <c r="AO190" t="e">
        <f>AND(#REF!,"AAAAAGW//yg=")</f>
        <v>#REF!</v>
      </c>
      <c r="AP190" t="e">
        <f>AND(#REF!,"AAAAAGW//yk=")</f>
        <v>#REF!</v>
      </c>
      <c r="AQ190" t="e">
        <f>AND(#REF!,"AAAAAGW//yo=")</f>
        <v>#REF!</v>
      </c>
      <c r="AR190" t="e">
        <f>AND(#REF!,"AAAAAGW//ys=")</f>
        <v>#REF!</v>
      </c>
      <c r="AS190" t="e">
        <f>AND(#REF!,"AAAAAGW//yw=")</f>
        <v>#REF!</v>
      </c>
      <c r="AT190" t="e">
        <f>AND(#REF!,"AAAAAGW//y0=")</f>
        <v>#REF!</v>
      </c>
      <c r="AU190" t="e">
        <f>AND(#REF!,"AAAAAGW//y4=")</f>
        <v>#REF!</v>
      </c>
      <c r="AV190" t="e">
        <f>AND(#REF!,"AAAAAGW//y8=")</f>
        <v>#REF!</v>
      </c>
      <c r="AW190" t="e">
        <f>AND(#REF!,"AAAAAGW//zA=")</f>
        <v>#REF!</v>
      </c>
      <c r="AX190" t="e">
        <f>AND(#REF!,"AAAAAGW//zE=")</f>
        <v>#REF!</v>
      </c>
      <c r="AY190" t="e">
        <f>AND(#REF!,"AAAAAGW//zI=")</f>
        <v>#REF!</v>
      </c>
      <c r="AZ190" t="e">
        <f>AND(#REF!,"AAAAAGW//zM=")</f>
        <v>#REF!</v>
      </c>
      <c r="BA190" t="e">
        <f>AND(#REF!,"AAAAAGW//zQ=")</f>
        <v>#REF!</v>
      </c>
      <c r="BB190" t="e">
        <f>AND(#REF!,"AAAAAGW//zU=")</f>
        <v>#REF!</v>
      </c>
      <c r="BC190" t="e">
        <f>AND(#REF!,"AAAAAGW//zY=")</f>
        <v>#REF!</v>
      </c>
      <c r="BD190" t="e">
        <f>AND(#REF!,"AAAAAGW//zc=")</f>
        <v>#REF!</v>
      </c>
      <c r="BE190" t="e">
        <f>AND(#REF!,"AAAAAGW//zg=")</f>
        <v>#REF!</v>
      </c>
      <c r="BF190" t="e">
        <f>AND(#REF!,"AAAAAGW//zk=")</f>
        <v>#REF!</v>
      </c>
      <c r="BG190" t="e">
        <f>AND(#REF!,"AAAAAGW//zo=")</f>
        <v>#REF!</v>
      </c>
      <c r="BH190" t="e">
        <f>AND(#REF!,"AAAAAGW//zs=")</f>
        <v>#REF!</v>
      </c>
      <c r="BI190" t="e">
        <f>AND(#REF!,"AAAAAGW//zw=")</f>
        <v>#REF!</v>
      </c>
      <c r="BJ190" t="e">
        <f>AND(#REF!,"AAAAAGW//z0=")</f>
        <v>#REF!</v>
      </c>
      <c r="BK190" t="e">
        <f>AND(#REF!,"AAAAAGW//z4=")</f>
        <v>#REF!</v>
      </c>
      <c r="BL190" t="e">
        <f>AND(#REF!,"AAAAAGW//z8=")</f>
        <v>#REF!</v>
      </c>
      <c r="BM190" t="e">
        <f>AND(#REF!,"AAAAAGW//0A=")</f>
        <v>#REF!</v>
      </c>
      <c r="BN190" t="e">
        <f>AND(#REF!,"AAAAAGW//0E=")</f>
        <v>#REF!</v>
      </c>
      <c r="BO190" t="e">
        <f>AND(#REF!,"AAAAAGW//0I=")</f>
        <v>#REF!</v>
      </c>
      <c r="BP190" t="e">
        <f>AND(#REF!,"AAAAAGW//0M=")</f>
        <v>#REF!</v>
      </c>
      <c r="BQ190" t="e">
        <f>AND(#REF!,"AAAAAGW//0Q=")</f>
        <v>#REF!</v>
      </c>
      <c r="BR190" t="e">
        <f>AND(#REF!,"AAAAAGW//0U=")</f>
        <v>#REF!</v>
      </c>
      <c r="BS190" t="e">
        <f>AND(#REF!,"AAAAAGW//0Y=")</f>
        <v>#REF!</v>
      </c>
      <c r="BT190" t="e">
        <f>AND(#REF!,"AAAAAGW//0c=")</f>
        <v>#REF!</v>
      </c>
      <c r="BU190" t="e">
        <f>AND(#REF!,"AAAAAGW//0g=")</f>
        <v>#REF!</v>
      </c>
      <c r="BV190" t="e">
        <f>AND(#REF!,"AAAAAGW//0k=")</f>
        <v>#REF!</v>
      </c>
      <c r="BW190" t="e">
        <f>AND(#REF!,"AAAAAGW//0o=")</f>
        <v>#REF!</v>
      </c>
      <c r="BX190" t="e">
        <f>AND(#REF!,"AAAAAGW//0s=")</f>
        <v>#REF!</v>
      </c>
      <c r="BY190" t="e">
        <f>AND(#REF!,"AAAAAGW//0w=")</f>
        <v>#REF!</v>
      </c>
      <c r="BZ190" t="e">
        <f>AND(#REF!,"AAAAAGW//00=")</f>
        <v>#REF!</v>
      </c>
      <c r="CA190" t="e">
        <f>AND(#REF!,"AAAAAGW//04=")</f>
        <v>#REF!</v>
      </c>
      <c r="CB190" t="e">
        <f>AND(#REF!,"AAAAAGW//08=")</f>
        <v>#REF!</v>
      </c>
      <c r="CC190" t="e">
        <f>AND(#REF!,"AAAAAGW//1A=")</f>
        <v>#REF!</v>
      </c>
      <c r="CD190" t="e">
        <f>AND(#REF!,"AAAAAGW//1E=")</f>
        <v>#REF!</v>
      </c>
      <c r="CE190" t="e">
        <f>AND(#REF!,"AAAAAGW//1I=")</f>
        <v>#REF!</v>
      </c>
      <c r="CF190" t="e">
        <f>AND(#REF!,"AAAAAGW//1M=")</f>
        <v>#REF!</v>
      </c>
      <c r="CG190" t="e">
        <f>AND(#REF!,"AAAAAGW//1Q=")</f>
        <v>#REF!</v>
      </c>
      <c r="CH190" t="e">
        <f>AND(#REF!,"AAAAAGW//1U=")</f>
        <v>#REF!</v>
      </c>
      <c r="CI190" t="e">
        <f>AND(#REF!,"AAAAAGW//1Y=")</f>
        <v>#REF!</v>
      </c>
      <c r="CJ190" t="e">
        <f>AND(#REF!,"AAAAAGW//1c=")</f>
        <v>#REF!</v>
      </c>
      <c r="CK190" t="e">
        <f>AND(#REF!,"AAAAAGW//1g=")</f>
        <v>#REF!</v>
      </c>
      <c r="CL190" t="e">
        <f>AND(#REF!,"AAAAAGW//1k=")</f>
        <v>#REF!</v>
      </c>
      <c r="CM190" t="e">
        <f>AND(#REF!,"AAAAAGW//1o=")</f>
        <v>#REF!</v>
      </c>
      <c r="CN190" t="e">
        <f>AND(#REF!,"AAAAAGW//1s=")</f>
        <v>#REF!</v>
      </c>
      <c r="CO190" t="e">
        <f>AND(#REF!,"AAAAAGW//1w=")</f>
        <v>#REF!</v>
      </c>
      <c r="CP190" t="e">
        <f>AND(#REF!,"AAAAAGW//10=")</f>
        <v>#REF!</v>
      </c>
      <c r="CQ190" t="e">
        <f>AND(#REF!,"AAAAAGW//14=")</f>
        <v>#REF!</v>
      </c>
      <c r="CR190" t="e">
        <f>AND(#REF!,"AAAAAGW//18=")</f>
        <v>#REF!</v>
      </c>
      <c r="CS190" t="e">
        <f>AND(#REF!,"AAAAAGW//2A=")</f>
        <v>#REF!</v>
      </c>
      <c r="CT190" t="e">
        <f>AND(#REF!,"AAAAAGW//2E=")</f>
        <v>#REF!</v>
      </c>
      <c r="CU190" t="e">
        <f>AND(#REF!,"AAAAAGW//2I=")</f>
        <v>#REF!</v>
      </c>
      <c r="CV190" t="e">
        <f>AND(#REF!,"AAAAAGW//2M=")</f>
        <v>#REF!</v>
      </c>
      <c r="CW190" t="e">
        <f>AND(#REF!,"AAAAAGW//2Q=")</f>
        <v>#REF!</v>
      </c>
      <c r="CX190" t="e">
        <f>AND(#REF!,"AAAAAGW//2U=")</f>
        <v>#REF!</v>
      </c>
      <c r="CY190" t="e">
        <f>AND(#REF!,"AAAAAGW//2Y=")</f>
        <v>#REF!</v>
      </c>
      <c r="CZ190" t="e">
        <f>AND(#REF!,"AAAAAGW//2c=")</f>
        <v>#REF!</v>
      </c>
      <c r="DA190" t="e">
        <f>AND(#REF!,"AAAAAGW//2g=")</f>
        <v>#REF!</v>
      </c>
      <c r="DB190" t="e">
        <f>AND(#REF!,"AAAAAGW//2k=")</f>
        <v>#REF!</v>
      </c>
      <c r="DC190" t="e">
        <f>AND(#REF!,"AAAAAGW//2o=")</f>
        <v>#REF!</v>
      </c>
      <c r="DD190" t="e">
        <f>AND(#REF!,"AAAAAGW//2s=")</f>
        <v>#REF!</v>
      </c>
      <c r="DE190" t="e">
        <f>AND(#REF!,"AAAAAGW//2w=")</f>
        <v>#REF!</v>
      </c>
      <c r="DF190" t="e">
        <f>AND(#REF!,"AAAAAGW//20=")</f>
        <v>#REF!</v>
      </c>
      <c r="DG190" t="e">
        <f>AND(#REF!,"AAAAAGW//24=")</f>
        <v>#REF!</v>
      </c>
      <c r="DH190" t="e">
        <f>AND(#REF!,"AAAAAGW//28=")</f>
        <v>#REF!</v>
      </c>
      <c r="DI190" t="e">
        <f>AND(#REF!,"AAAAAGW//3A=")</f>
        <v>#REF!</v>
      </c>
      <c r="DJ190" t="e">
        <f>AND(#REF!,"AAAAAGW//3E=")</f>
        <v>#REF!</v>
      </c>
      <c r="DK190" t="e">
        <f>AND(#REF!,"AAAAAGW//3I=")</f>
        <v>#REF!</v>
      </c>
      <c r="DL190" t="e">
        <f>AND(#REF!,"AAAAAGW//3M=")</f>
        <v>#REF!</v>
      </c>
      <c r="DM190" t="e">
        <f>AND(#REF!,"AAAAAGW//3Q=")</f>
        <v>#REF!</v>
      </c>
      <c r="DN190" t="e">
        <f>AND(#REF!,"AAAAAGW//3U=")</f>
        <v>#REF!</v>
      </c>
      <c r="DO190" t="e">
        <f>AND(#REF!,"AAAAAGW//3Y=")</f>
        <v>#REF!</v>
      </c>
      <c r="DP190" t="e">
        <f>AND(#REF!,"AAAAAGW//3c=")</f>
        <v>#REF!</v>
      </c>
      <c r="DQ190" t="e">
        <f>AND(#REF!,"AAAAAGW//3g=")</f>
        <v>#REF!</v>
      </c>
      <c r="DR190" t="e">
        <f>AND(#REF!,"AAAAAGW//3k=")</f>
        <v>#REF!</v>
      </c>
      <c r="DS190" t="e">
        <f>AND(#REF!,"AAAAAGW//3o=")</f>
        <v>#REF!</v>
      </c>
      <c r="DT190" t="e">
        <f>AND(#REF!,"AAAAAGW//3s=")</f>
        <v>#REF!</v>
      </c>
      <c r="DU190" t="e">
        <f>AND(#REF!,"AAAAAGW//3w=")</f>
        <v>#REF!</v>
      </c>
      <c r="DV190" t="e">
        <f>AND(#REF!,"AAAAAGW//30=")</f>
        <v>#REF!</v>
      </c>
      <c r="DW190" t="e">
        <f>AND(#REF!,"AAAAAGW//34=")</f>
        <v>#REF!</v>
      </c>
      <c r="DX190" t="e">
        <f>AND(#REF!,"AAAAAGW//38=")</f>
        <v>#REF!</v>
      </c>
      <c r="DY190" t="e">
        <f>AND(#REF!,"AAAAAGW//4A=")</f>
        <v>#REF!</v>
      </c>
      <c r="DZ190" t="e">
        <f>AND(#REF!,"AAAAAGW//4E=")</f>
        <v>#REF!</v>
      </c>
      <c r="EA190" t="e">
        <f>AND(#REF!,"AAAAAGW//4I=")</f>
        <v>#REF!</v>
      </c>
      <c r="EB190" t="e">
        <f>AND(#REF!,"AAAAAGW//4M=")</f>
        <v>#REF!</v>
      </c>
      <c r="EC190" t="e">
        <f>AND(#REF!,"AAAAAGW//4Q=")</f>
        <v>#REF!</v>
      </c>
      <c r="ED190" t="e">
        <f>AND(#REF!,"AAAAAGW//4U=")</f>
        <v>#REF!</v>
      </c>
      <c r="EE190" t="e">
        <f>AND(#REF!,"AAAAAGW//4Y=")</f>
        <v>#REF!</v>
      </c>
      <c r="EF190" t="e">
        <f>AND(#REF!,"AAAAAGW//4c=")</f>
        <v>#REF!</v>
      </c>
      <c r="EG190" t="e">
        <f>AND(#REF!,"AAAAAGW//4g=")</f>
        <v>#REF!</v>
      </c>
      <c r="EH190" t="e">
        <f>AND(#REF!,"AAAAAGW//4k=")</f>
        <v>#REF!</v>
      </c>
      <c r="EI190" t="e">
        <f>AND(#REF!,"AAAAAGW//4o=")</f>
        <v>#REF!</v>
      </c>
      <c r="EJ190" t="e">
        <f>AND(#REF!,"AAAAAGW//4s=")</f>
        <v>#REF!</v>
      </c>
      <c r="EK190" t="e">
        <f>AND(#REF!,"AAAAAGW//4w=")</f>
        <v>#REF!</v>
      </c>
      <c r="EL190" t="e">
        <f>AND(#REF!,"AAAAAGW//40=")</f>
        <v>#REF!</v>
      </c>
      <c r="EM190" t="e">
        <f>AND(#REF!,"AAAAAGW//44=")</f>
        <v>#REF!</v>
      </c>
      <c r="EN190" t="e">
        <f>AND(#REF!,"AAAAAGW//48=")</f>
        <v>#REF!</v>
      </c>
      <c r="EO190" t="e">
        <f>AND(#REF!,"AAAAAGW//5A=")</f>
        <v>#REF!</v>
      </c>
      <c r="EP190" t="e">
        <f>AND(#REF!,"AAAAAGW//5E=")</f>
        <v>#REF!</v>
      </c>
      <c r="EQ190" t="e">
        <f>AND(#REF!,"AAAAAGW//5I=")</f>
        <v>#REF!</v>
      </c>
      <c r="ER190" t="e">
        <f>AND(#REF!,"AAAAAGW//5M=")</f>
        <v>#REF!</v>
      </c>
      <c r="ES190" t="e">
        <f>AND(#REF!,"AAAAAGW//5Q=")</f>
        <v>#REF!</v>
      </c>
      <c r="ET190" t="e">
        <f>AND(#REF!,"AAAAAGW//5U=")</f>
        <v>#REF!</v>
      </c>
      <c r="EU190" t="e">
        <f>AND(#REF!,"AAAAAGW//5Y=")</f>
        <v>#REF!</v>
      </c>
      <c r="EV190" t="e">
        <f>AND(#REF!,"AAAAAGW//5c=")</f>
        <v>#REF!</v>
      </c>
      <c r="EW190" t="e">
        <f>AND(#REF!,"AAAAAGW//5g=")</f>
        <v>#REF!</v>
      </c>
      <c r="EX190" t="e">
        <f>AND(#REF!,"AAAAAGW//5k=")</f>
        <v>#REF!</v>
      </c>
      <c r="EY190" t="e">
        <f>AND(#REF!,"AAAAAGW//5o=")</f>
        <v>#REF!</v>
      </c>
      <c r="EZ190" t="e">
        <f>AND(#REF!,"AAAAAGW//5s=")</f>
        <v>#REF!</v>
      </c>
      <c r="FA190" t="e">
        <f>AND(#REF!,"AAAAAGW//5w=")</f>
        <v>#REF!</v>
      </c>
      <c r="FB190" t="e">
        <f>AND(#REF!,"AAAAAGW//50=")</f>
        <v>#REF!</v>
      </c>
      <c r="FC190" t="e">
        <f>AND(#REF!,"AAAAAGW//54=")</f>
        <v>#REF!</v>
      </c>
      <c r="FD190" t="e">
        <f>AND(#REF!,"AAAAAGW//58=")</f>
        <v>#REF!</v>
      </c>
      <c r="FE190" t="e">
        <f>AND(#REF!,"AAAAAGW//6A=")</f>
        <v>#REF!</v>
      </c>
      <c r="FF190" t="e">
        <f>AND(#REF!,"AAAAAGW//6E=")</f>
        <v>#REF!</v>
      </c>
      <c r="FG190" t="e">
        <f>AND(#REF!,"AAAAAGW//6I=")</f>
        <v>#REF!</v>
      </c>
      <c r="FH190" t="e">
        <f>AND(#REF!,"AAAAAGW//6M=")</f>
        <v>#REF!</v>
      </c>
      <c r="FI190" t="e">
        <f>AND(#REF!,"AAAAAGW//6Q=")</f>
        <v>#REF!</v>
      </c>
      <c r="FJ190" t="e">
        <f>AND(#REF!,"AAAAAGW//6U=")</f>
        <v>#REF!</v>
      </c>
      <c r="FK190" t="e">
        <f>AND(#REF!,"AAAAAGW//6Y=")</f>
        <v>#REF!</v>
      </c>
      <c r="FL190" t="e">
        <f>AND(#REF!,"AAAAAGW//6c=")</f>
        <v>#REF!</v>
      </c>
      <c r="FM190" t="e">
        <f>AND(#REF!,"AAAAAGW//6g=")</f>
        <v>#REF!</v>
      </c>
      <c r="FN190" t="e">
        <f>AND(#REF!,"AAAAAGW//6k=")</f>
        <v>#REF!</v>
      </c>
      <c r="FO190" t="e">
        <f>AND(#REF!,"AAAAAGW//6o=")</f>
        <v>#REF!</v>
      </c>
      <c r="FP190" t="e">
        <f>AND(#REF!,"AAAAAGW//6s=")</f>
        <v>#REF!</v>
      </c>
      <c r="FQ190" t="e">
        <f>AND(#REF!,"AAAAAGW//6w=")</f>
        <v>#REF!</v>
      </c>
      <c r="FR190" t="e">
        <f>AND(#REF!,"AAAAAGW//60=")</f>
        <v>#REF!</v>
      </c>
      <c r="FS190" t="e">
        <f>AND(#REF!,"AAAAAGW//64=")</f>
        <v>#REF!</v>
      </c>
      <c r="FT190" t="e">
        <f>AND(#REF!,"AAAAAGW//68=")</f>
        <v>#REF!</v>
      </c>
      <c r="FU190" t="e">
        <f>AND(#REF!,"AAAAAGW//7A=")</f>
        <v>#REF!</v>
      </c>
      <c r="FV190" t="e">
        <f>AND(#REF!,"AAAAAGW//7E=")</f>
        <v>#REF!</v>
      </c>
      <c r="FW190" t="e">
        <f>AND(#REF!,"AAAAAGW//7I=")</f>
        <v>#REF!</v>
      </c>
      <c r="FX190" t="e">
        <f>AND(#REF!,"AAAAAGW//7M=")</f>
        <v>#REF!</v>
      </c>
      <c r="FY190" t="e">
        <f>AND(#REF!,"AAAAAGW//7Q=")</f>
        <v>#REF!</v>
      </c>
      <c r="FZ190" t="e">
        <f>AND(#REF!,"AAAAAGW//7U=")</f>
        <v>#REF!</v>
      </c>
      <c r="GA190" t="e">
        <f>AND(#REF!,"AAAAAGW//7Y=")</f>
        <v>#REF!</v>
      </c>
      <c r="GB190" t="e">
        <f>AND(#REF!,"AAAAAGW//7c=")</f>
        <v>#REF!</v>
      </c>
      <c r="GC190" t="e">
        <f>AND(#REF!,"AAAAAGW//7g=")</f>
        <v>#REF!</v>
      </c>
      <c r="GD190" t="e">
        <f>AND(#REF!,"AAAAAGW//7k=")</f>
        <v>#REF!</v>
      </c>
      <c r="GE190" t="e">
        <f>AND(#REF!,"AAAAAGW//7o=")</f>
        <v>#REF!</v>
      </c>
      <c r="GF190" t="e">
        <f>AND(#REF!,"AAAAAGW//7s=")</f>
        <v>#REF!</v>
      </c>
      <c r="GG190" t="e">
        <f>AND(#REF!,"AAAAAGW//7w=")</f>
        <v>#REF!</v>
      </c>
      <c r="GH190" t="e">
        <f>AND(#REF!,"AAAAAGW//70=")</f>
        <v>#REF!</v>
      </c>
      <c r="GI190" t="e">
        <f>AND(#REF!,"AAAAAGW//74=")</f>
        <v>#REF!</v>
      </c>
      <c r="GJ190" t="e">
        <f>AND(#REF!,"AAAAAGW//78=")</f>
        <v>#REF!</v>
      </c>
      <c r="GK190" t="e">
        <f>AND(#REF!,"AAAAAGW//8A=")</f>
        <v>#REF!</v>
      </c>
      <c r="GL190" t="e">
        <f>AND(#REF!,"AAAAAGW//8E=")</f>
        <v>#REF!</v>
      </c>
      <c r="GM190" t="e">
        <f>AND(#REF!,"AAAAAGW//8I=")</f>
        <v>#REF!</v>
      </c>
      <c r="GN190" t="e">
        <f>AND(#REF!,"AAAAAGW//8M=")</f>
        <v>#REF!</v>
      </c>
      <c r="GO190" t="e">
        <f>AND(#REF!,"AAAAAGW//8Q=")</f>
        <v>#REF!</v>
      </c>
      <c r="GP190" t="e">
        <f>AND(#REF!,"AAAAAGW//8U=")</f>
        <v>#REF!</v>
      </c>
      <c r="GQ190" t="e">
        <f>AND(#REF!,"AAAAAGW//8Y=")</f>
        <v>#REF!</v>
      </c>
      <c r="GR190" t="e">
        <f>AND(#REF!,"AAAAAGW//8c=")</f>
        <v>#REF!</v>
      </c>
      <c r="GS190" t="e">
        <f>AND(#REF!,"AAAAAGW//8g=")</f>
        <v>#REF!</v>
      </c>
      <c r="GT190" t="e">
        <f>AND(#REF!,"AAAAAGW//8k=")</f>
        <v>#REF!</v>
      </c>
      <c r="GU190" t="e">
        <f>AND(#REF!,"AAAAAGW//8o=")</f>
        <v>#REF!</v>
      </c>
      <c r="GV190" t="e">
        <f>AND(#REF!,"AAAAAGW//8s=")</f>
        <v>#REF!</v>
      </c>
      <c r="GW190" t="e">
        <f>AND(#REF!,"AAAAAGW//8w=")</f>
        <v>#REF!</v>
      </c>
      <c r="GX190" t="e">
        <f>AND(#REF!,"AAAAAGW//80=")</f>
        <v>#REF!</v>
      </c>
      <c r="GY190" t="e">
        <f>AND(#REF!,"AAAAAGW//84=")</f>
        <v>#REF!</v>
      </c>
      <c r="GZ190" t="e">
        <f>AND(#REF!,"AAAAAGW//88=")</f>
        <v>#REF!</v>
      </c>
      <c r="HA190" t="e">
        <f>AND(#REF!,"AAAAAGW//9A=")</f>
        <v>#REF!</v>
      </c>
      <c r="HB190" t="e">
        <f>AND(#REF!,"AAAAAGW//9E=")</f>
        <v>#REF!</v>
      </c>
      <c r="HC190" t="e">
        <f>AND(#REF!,"AAAAAGW//9I=")</f>
        <v>#REF!</v>
      </c>
      <c r="HD190" t="e">
        <f>AND(#REF!,"AAAAAGW//9M=")</f>
        <v>#REF!</v>
      </c>
      <c r="HE190" t="e">
        <f>AND(#REF!,"AAAAAGW//9Q=")</f>
        <v>#REF!</v>
      </c>
      <c r="HF190" t="e">
        <f>AND(#REF!,"AAAAAGW//9U=")</f>
        <v>#REF!</v>
      </c>
      <c r="HG190" t="e">
        <f>AND(#REF!,"AAAAAGW//9Y=")</f>
        <v>#REF!</v>
      </c>
      <c r="HH190" t="e">
        <f>AND(#REF!,"AAAAAGW//9c=")</f>
        <v>#REF!</v>
      </c>
      <c r="HI190" t="e">
        <f>AND(#REF!,"AAAAAGW//9g=")</f>
        <v>#REF!</v>
      </c>
      <c r="HJ190" t="e">
        <f>AND(#REF!,"AAAAAGW//9k=")</f>
        <v>#REF!</v>
      </c>
      <c r="HK190" t="e">
        <f>AND(#REF!,"AAAAAGW//9o=")</f>
        <v>#REF!</v>
      </c>
      <c r="HL190" t="e">
        <f>AND(#REF!,"AAAAAGW//9s=")</f>
        <v>#REF!</v>
      </c>
      <c r="HM190" t="e">
        <f>AND(#REF!,"AAAAAGW//9w=")</f>
        <v>#REF!</v>
      </c>
      <c r="HN190" t="e">
        <f>AND(#REF!,"AAAAAGW//90=")</f>
        <v>#REF!</v>
      </c>
      <c r="HO190" t="e">
        <f>AND(#REF!,"AAAAAGW//94=")</f>
        <v>#REF!</v>
      </c>
      <c r="HP190" t="e">
        <f>AND(#REF!,"AAAAAGW//98=")</f>
        <v>#REF!</v>
      </c>
      <c r="HQ190" t="e">
        <f>AND(#REF!,"AAAAAGW//+A=")</f>
        <v>#REF!</v>
      </c>
      <c r="HR190" t="e">
        <f>AND(#REF!,"AAAAAGW//+E=")</f>
        <v>#REF!</v>
      </c>
      <c r="HS190" t="e">
        <f>AND(#REF!,"AAAAAGW//+I=")</f>
        <v>#REF!</v>
      </c>
      <c r="HT190" t="e">
        <f>AND(#REF!,"AAAAAGW//+M=")</f>
        <v>#REF!</v>
      </c>
      <c r="HU190" t="e">
        <f>AND(#REF!,"AAAAAGW//+Q=")</f>
        <v>#REF!</v>
      </c>
      <c r="HV190" t="e">
        <f>AND(#REF!,"AAAAAGW//+U=")</f>
        <v>#REF!</v>
      </c>
      <c r="HW190" t="e">
        <f>AND(#REF!,"AAAAAGW//+Y=")</f>
        <v>#REF!</v>
      </c>
      <c r="HX190" t="e">
        <f>AND(#REF!,"AAAAAGW//+c=")</f>
        <v>#REF!</v>
      </c>
      <c r="HY190" t="e">
        <f>AND(#REF!,"AAAAAGW//+g=")</f>
        <v>#REF!</v>
      </c>
      <c r="HZ190" t="e">
        <f>AND(#REF!,"AAAAAGW//+k=")</f>
        <v>#REF!</v>
      </c>
      <c r="IA190" t="e">
        <f>AND(#REF!,"AAAAAGW//+o=")</f>
        <v>#REF!</v>
      </c>
      <c r="IB190" t="e">
        <f>AND(#REF!,"AAAAAGW//+s=")</f>
        <v>#REF!</v>
      </c>
      <c r="IC190" t="e">
        <f>AND(#REF!,"AAAAAGW//+w=")</f>
        <v>#REF!</v>
      </c>
      <c r="ID190" t="e">
        <f>AND(#REF!,"AAAAAGW//+0=")</f>
        <v>#REF!</v>
      </c>
      <c r="IE190" t="e">
        <f>AND(#REF!,"AAAAAGW//+4=")</f>
        <v>#REF!</v>
      </c>
      <c r="IF190" t="e">
        <f>AND(#REF!,"AAAAAGW//+8=")</f>
        <v>#REF!</v>
      </c>
      <c r="IG190" t="e">
        <f>AND(#REF!,"AAAAAGW///A=")</f>
        <v>#REF!</v>
      </c>
      <c r="IH190" t="e">
        <f>AND(#REF!,"AAAAAGW///E=")</f>
        <v>#REF!</v>
      </c>
      <c r="II190" t="e">
        <f>AND(#REF!,"AAAAAGW///I=")</f>
        <v>#REF!</v>
      </c>
      <c r="IJ190" t="e">
        <f>AND(#REF!,"AAAAAGW///M=")</f>
        <v>#REF!</v>
      </c>
      <c r="IK190" t="e">
        <f>AND(#REF!,"AAAAAGW///Q=")</f>
        <v>#REF!</v>
      </c>
      <c r="IL190" t="e">
        <f>AND(#REF!,"AAAAAGW///U=")</f>
        <v>#REF!</v>
      </c>
      <c r="IM190" t="e">
        <f>AND(#REF!,"AAAAAGW///Y=")</f>
        <v>#REF!</v>
      </c>
      <c r="IN190" t="e">
        <f>AND(#REF!,"AAAAAGW///c=")</f>
        <v>#REF!</v>
      </c>
      <c r="IO190" t="e">
        <f>AND(#REF!,"AAAAAGW///g=")</f>
        <v>#REF!</v>
      </c>
      <c r="IP190" t="e">
        <f>AND(#REF!,"AAAAAGW///k=")</f>
        <v>#REF!</v>
      </c>
      <c r="IQ190" t="e">
        <f>AND(#REF!,"AAAAAGW///o=")</f>
        <v>#REF!</v>
      </c>
      <c r="IR190" t="e">
        <f>AND(#REF!,"AAAAAGW///s=")</f>
        <v>#REF!</v>
      </c>
      <c r="IS190" t="e">
        <f>AND(#REF!,"AAAAAGW///w=")</f>
        <v>#REF!</v>
      </c>
      <c r="IT190" t="e">
        <f>AND(#REF!,"AAAAAGW///0=")</f>
        <v>#REF!</v>
      </c>
      <c r="IU190" t="e">
        <f>AND(#REF!,"AAAAAGW///4=")</f>
        <v>#REF!</v>
      </c>
      <c r="IV190" t="e">
        <f>AND(#REF!,"AAAAAGW///8=")</f>
        <v>#REF!</v>
      </c>
    </row>
    <row r="191" spans="1:256" x14ac:dyDescent="0.25">
      <c r="A191" t="e">
        <f>AND(#REF!,"AAAAAB/63gA=")</f>
        <v>#REF!</v>
      </c>
      <c r="B191" t="e">
        <f>AND(#REF!,"AAAAAB/63gE=")</f>
        <v>#REF!</v>
      </c>
      <c r="C191" t="e">
        <f>AND(#REF!,"AAAAAB/63gI=")</f>
        <v>#REF!</v>
      </c>
      <c r="D191" t="e">
        <f>AND(#REF!,"AAAAAB/63gM=")</f>
        <v>#REF!</v>
      </c>
      <c r="E191" t="e">
        <f>AND(#REF!,"AAAAAB/63gQ=")</f>
        <v>#REF!</v>
      </c>
      <c r="F191" t="e">
        <f>AND(#REF!,"AAAAAB/63gU=")</f>
        <v>#REF!</v>
      </c>
      <c r="G191" t="e">
        <f>AND(#REF!,"AAAAAB/63gY=")</f>
        <v>#REF!</v>
      </c>
      <c r="H191" t="e">
        <f>AND(#REF!,"AAAAAB/63gc=")</f>
        <v>#REF!</v>
      </c>
      <c r="I191" t="e">
        <f>AND(#REF!,"AAAAAB/63gg=")</f>
        <v>#REF!</v>
      </c>
      <c r="J191" t="e">
        <f>AND(#REF!,"AAAAAB/63gk=")</f>
        <v>#REF!</v>
      </c>
      <c r="K191" t="e">
        <f>AND(#REF!,"AAAAAB/63go=")</f>
        <v>#REF!</v>
      </c>
      <c r="L191" t="e">
        <f>AND(#REF!,"AAAAAB/63gs=")</f>
        <v>#REF!</v>
      </c>
      <c r="M191" t="e">
        <f>AND(#REF!,"AAAAAB/63gw=")</f>
        <v>#REF!</v>
      </c>
      <c r="N191" t="e">
        <f>AND(#REF!,"AAAAAB/63g0=")</f>
        <v>#REF!</v>
      </c>
      <c r="O191" t="e">
        <f>AND(#REF!,"AAAAAB/63g4=")</f>
        <v>#REF!</v>
      </c>
      <c r="P191" t="e">
        <f>AND(#REF!,"AAAAAB/63g8=")</f>
        <v>#REF!</v>
      </c>
      <c r="Q191" t="e">
        <f>AND(#REF!,"AAAAAB/63hA=")</f>
        <v>#REF!</v>
      </c>
      <c r="R191" t="e">
        <f>AND(#REF!,"AAAAAB/63hE=")</f>
        <v>#REF!</v>
      </c>
      <c r="S191" t="e">
        <f>AND(#REF!,"AAAAAB/63hI=")</f>
        <v>#REF!</v>
      </c>
      <c r="T191" t="e">
        <f>AND(#REF!,"AAAAAB/63hM=")</f>
        <v>#REF!</v>
      </c>
      <c r="U191" t="e">
        <f>AND(#REF!,"AAAAAB/63hQ=")</f>
        <v>#REF!</v>
      </c>
      <c r="V191" t="e">
        <f>AND(#REF!,"AAAAAB/63hU=")</f>
        <v>#REF!</v>
      </c>
      <c r="W191" t="e">
        <f>AND(#REF!,"AAAAAB/63hY=")</f>
        <v>#REF!</v>
      </c>
      <c r="X191" t="e">
        <f>AND(#REF!,"AAAAAB/63hc=")</f>
        <v>#REF!</v>
      </c>
      <c r="Y191" t="e">
        <f>AND(#REF!,"AAAAAB/63hg=")</f>
        <v>#REF!</v>
      </c>
      <c r="Z191" t="e">
        <f>AND(#REF!,"AAAAAB/63hk=")</f>
        <v>#REF!</v>
      </c>
      <c r="AA191" t="e">
        <f>AND(#REF!,"AAAAAB/63ho=")</f>
        <v>#REF!</v>
      </c>
      <c r="AB191" t="e">
        <f>AND(#REF!,"AAAAAB/63hs=")</f>
        <v>#REF!</v>
      </c>
      <c r="AC191" t="e">
        <f>AND(#REF!,"AAAAAB/63hw=")</f>
        <v>#REF!</v>
      </c>
      <c r="AD191" t="e">
        <f>AND(#REF!,"AAAAAB/63h0=")</f>
        <v>#REF!</v>
      </c>
      <c r="AE191" t="e">
        <f>AND(#REF!,"AAAAAB/63h4=")</f>
        <v>#REF!</v>
      </c>
      <c r="AF191" t="e">
        <f>AND(#REF!,"AAAAAB/63h8=")</f>
        <v>#REF!</v>
      </c>
      <c r="AG191" t="e">
        <f>AND(#REF!,"AAAAAB/63iA=")</f>
        <v>#REF!</v>
      </c>
      <c r="AH191" t="e">
        <f>AND(#REF!,"AAAAAB/63iE=")</f>
        <v>#REF!</v>
      </c>
      <c r="AI191" t="e">
        <f>AND(#REF!,"AAAAAB/63iI=")</f>
        <v>#REF!</v>
      </c>
      <c r="AJ191" t="e">
        <f>AND(#REF!,"AAAAAB/63iM=")</f>
        <v>#REF!</v>
      </c>
      <c r="AK191" t="e">
        <f>AND(#REF!,"AAAAAB/63iQ=")</f>
        <v>#REF!</v>
      </c>
      <c r="AL191" t="e">
        <f>AND(#REF!,"AAAAAB/63iU=")</f>
        <v>#REF!</v>
      </c>
      <c r="AM191" t="e">
        <f>AND(#REF!,"AAAAAB/63iY=")</f>
        <v>#REF!</v>
      </c>
      <c r="AN191" t="e">
        <f>AND(#REF!,"AAAAAB/63ic=")</f>
        <v>#REF!</v>
      </c>
      <c r="AO191" t="e">
        <f>AND(#REF!,"AAAAAB/63ig=")</f>
        <v>#REF!</v>
      </c>
      <c r="AP191" t="e">
        <f>AND(#REF!,"AAAAAB/63ik=")</f>
        <v>#REF!</v>
      </c>
      <c r="AQ191" t="e">
        <f>AND(#REF!,"AAAAAB/63io=")</f>
        <v>#REF!</v>
      </c>
      <c r="AR191" t="e">
        <f>AND(#REF!,"AAAAAB/63is=")</f>
        <v>#REF!</v>
      </c>
      <c r="AS191" t="e">
        <f>AND(#REF!,"AAAAAB/63iw=")</f>
        <v>#REF!</v>
      </c>
      <c r="AT191" t="e">
        <f>AND(#REF!,"AAAAAB/63i0=")</f>
        <v>#REF!</v>
      </c>
      <c r="AU191" t="e">
        <f>AND(#REF!,"AAAAAB/63i4=")</f>
        <v>#REF!</v>
      </c>
      <c r="AV191" t="e">
        <f>AND(#REF!,"AAAAAB/63i8=")</f>
        <v>#REF!</v>
      </c>
      <c r="AW191" t="e">
        <f>AND(#REF!,"AAAAAB/63jA=")</f>
        <v>#REF!</v>
      </c>
      <c r="AX191" t="e">
        <f>AND(#REF!,"AAAAAB/63jE=")</f>
        <v>#REF!</v>
      </c>
      <c r="AY191" t="e">
        <f>AND(#REF!,"AAAAAB/63jI=")</f>
        <v>#REF!</v>
      </c>
      <c r="AZ191" t="e">
        <f>AND(#REF!,"AAAAAB/63jM=")</f>
        <v>#REF!</v>
      </c>
      <c r="BA191" t="e">
        <f>AND(#REF!,"AAAAAB/63jQ=")</f>
        <v>#REF!</v>
      </c>
      <c r="BB191" t="e">
        <f>AND(#REF!,"AAAAAB/63jU=")</f>
        <v>#REF!</v>
      </c>
      <c r="BC191" t="e">
        <f>AND(#REF!,"AAAAAB/63jY=")</f>
        <v>#REF!</v>
      </c>
      <c r="BD191" t="e">
        <f>AND(#REF!,"AAAAAB/63jc=")</f>
        <v>#REF!</v>
      </c>
      <c r="BE191" t="e">
        <f>AND(#REF!,"AAAAAB/63jg=")</f>
        <v>#REF!</v>
      </c>
      <c r="BF191" t="e">
        <f>AND(#REF!,"AAAAAB/63jk=")</f>
        <v>#REF!</v>
      </c>
      <c r="BG191" t="e">
        <f>AND(#REF!,"AAAAAB/63jo=")</f>
        <v>#REF!</v>
      </c>
      <c r="BH191" t="e">
        <f>AND(#REF!,"AAAAAB/63js=")</f>
        <v>#REF!</v>
      </c>
      <c r="BI191" t="e">
        <f>AND(#REF!,"AAAAAB/63jw=")</f>
        <v>#REF!</v>
      </c>
      <c r="BJ191" t="e">
        <f>AND(#REF!,"AAAAAB/63j0=")</f>
        <v>#REF!</v>
      </c>
      <c r="BK191" t="e">
        <f>AND(#REF!,"AAAAAB/63j4=")</f>
        <v>#REF!</v>
      </c>
      <c r="BL191" t="e">
        <f>AND(#REF!,"AAAAAB/63j8=")</f>
        <v>#REF!</v>
      </c>
      <c r="BM191" t="e">
        <f>AND(#REF!,"AAAAAB/63kA=")</f>
        <v>#REF!</v>
      </c>
      <c r="BN191" t="e">
        <f>AND(#REF!,"AAAAAB/63kE=")</f>
        <v>#REF!</v>
      </c>
      <c r="BO191" t="e">
        <f>AND(#REF!,"AAAAAB/63kI=")</f>
        <v>#REF!</v>
      </c>
      <c r="BP191" t="e">
        <f>AND(#REF!,"AAAAAB/63kM=")</f>
        <v>#REF!</v>
      </c>
      <c r="BQ191" t="e">
        <f>AND(#REF!,"AAAAAB/63kQ=")</f>
        <v>#REF!</v>
      </c>
      <c r="BR191" t="e">
        <f>AND(#REF!,"AAAAAB/63kU=")</f>
        <v>#REF!</v>
      </c>
      <c r="BS191" t="e">
        <f>AND(#REF!,"AAAAAB/63kY=")</f>
        <v>#REF!</v>
      </c>
      <c r="BT191" t="e">
        <f>AND(#REF!,"AAAAAB/63kc=")</f>
        <v>#REF!</v>
      </c>
      <c r="BU191" t="e">
        <f>AND(#REF!,"AAAAAB/63kg=")</f>
        <v>#REF!</v>
      </c>
      <c r="BV191" t="e">
        <f>AND(#REF!,"AAAAAB/63kk=")</f>
        <v>#REF!</v>
      </c>
      <c r="BW191" t="e">
        <f>AND(#REF!,"AAAAAB/63ko=")</f>
        <v>#REF!</v>
      </c>
      <c r="BX191" t="e">
        <f>AND(#REF!,"AAAAAB/63ks=")</f>
        <v>#REF!</v>
      </c>
      <c r="BY191" t="e">
        <f>AND(#REF!,"AAAAAB/63kw=")</f>
        <v>#REF!</v>
      </c>
      <c r="BZ191" t="e">
        <f>AND(#REF!,"AAAAAB/63k0=")</f>
        <v>#REF!</v>
      </c>
      <c r="CA191" t="e">
        <f>AND(#REF!,"AAAAAB/63k4=")</f>
        <v>#REF!</v>
      </c>
      <c r="CB191" t="e">
        <f>AND(#REF!,"AAAAAB/63k8=")</f>
        <v>#REF!</v>
      </c>
      <c r="CC191" t="e">
        <f>AND(#REF!,"AAAAAB/63lA=")</f>
        <v>#REF!</v>
      </c>
      <c r="CD191" t="e">
        <f>AND(#REF!,"AAAAAB/63lE=")</f>
        <v>#REF!</v>
      </c>
      <c r="CE191" t="e">
        <f>AND(#REF!,"AAAAAB/63lI=")</f>
        <v>#REF!</v>
      </c>
      <c r="CF191" t="e">
        <f>AND(#REF!,"AAAAAB/63lM=")</f>
        <v>#REF!</v>
      </c>
      <c r="CG191" t="e">
        <f>AND(#REF!,"AAAAAB/63lQ=")</f>
        <v>#REF!</v>
      </c>
      <c r="CH191" t="e">
        <f>AND(#REF!,"AAAAAB/63lU=")</f>
        <v>#REF!</v>
      </c>
      <c r="CI191" t="e">
        <f>AND(#REF!,"AAAAAB/63lY=")</f>
        <v>#REF!</v>
      </c>
      <c r="CJ191" t="e">
        <f>AND(#REF!,"AAAAAB/63lc=")</f>
        <v>#REF!</v>
      </c>
      <c r="CK191" t="e">
        <f>AND(#REF!,"AAAAAB/63lg=")</f>
        <v>#REF!</v>
      </c>
      <c r="CL191" t="e">
        <f>AND(#REF!,"AAAAAB/63lk=")</f>
        <v>#REF!</v>
      </c>
      <c r="CM191" t="e">
        <f>AND(#REF!,"AAAAAB/63lo=")</f>
        <v>#REF!</v>
      </c>
      <c r="CN191" t="e">
        <f>AND(#REF!,"AAAAAB/63ls=")</f>
        <v>#REF!</v>
      </c>
      <c r="CO191" t="e">
        <f>AND(#REF!,"AAAAAB/63lw=")</f>
        <v>#REF!</v>
      </c>
      <c r="CP191" t="e">
        <f>AND(#REF!,"AAAAAB/63l0=")</f>
        <v>#REF!</v>
      </c>
      <c r="CQ191" t="e">
        <f>AND(#REF!,"AAAAAB/63l4=")</f>
        <v>#REF!</v>
      </c>
      <c r="CR191" t="e">
        <f>AND(#REF!,"AAAAAB/63l8=")</f>
        <v>#REF!</v>
      </c>
      <c r="CS191" t="e">
        <f>AND(#REF!,"AAAAAB/63mA=")</f>
        <v>#REF!</v>
      </c>
      <c r="CT191" t="e">
        <f>AND(#REF!,"AAAAAB/63mE=")</f>
        <v>#REF!</v>
      </c>
      <c r="CU191" t="e">
        <f>AND(#REF!,"AAAAAB/63mI=")</f>
        <v>#REF!</v>
      </c>
      <c r="CV191" t="e">
        <f>AND(#REF!,"AAAAAB/63mM=")</f>
        <v>#REF!</v>
      </c>
      <c r="CW191" t="e">
        <f>AND(#REF!,"AAAAAB/63mQ=")</f>
        <v>#REF!</v>
      </c>
      <c r="CX191" t="e">
        <f>AND(#REF!,"AAAAAB/63mU=")</f>
        <v>#REF!</v>
      </c>
      <c r="CY191" t="e">
        <f>AND(#REF!,"AAAAAB/63mY=")</f>
        <v>#REF!</v>
      </c>
      <c r="CZ191" t="e">
        <f>AND(#REF!,"AAAAAB/63mc=")</f>
        <v>#REF!</v>
      </c>
      <c r="DA191" t="e">
        <f>AND(#REF!,"AAAAAB/63mg=")</f>
        <v>#REF!</v>
      </c>
      <c r="DB191" t="e">
        <f>AND(#REF!,"AAAAAB/63mk=")</f>
        <v>#REF!</v>
      </c>
      <c r="DC191" t="e">
        <f>AND(#REF!,"AAAAAB/63mo=")</f>
        <v>#REF!</v>
      </c>
      <c r="DD191" t="e">
        <f>AND(#REF!,"AAAAAB/63ms=")</f>
        <v>#REF!</v>
      </c>
      <c r="DE191" t="e">
        <f>AND(#REF!,"AAAAAB/63mw=")</f>
        <v>#REF!</v>
      </c>
      <c r="DF191" t="e">
        <f>AND(#REF!,"AAAAAB/63m0=")</f>
        <v>#REF!</v>
      </c>
      <c r="DG191" t="e">
        <f>AND(#REF!,"AAAAAB/63m4=")</f>
        <v>#REF!</v>
      </c>
      <c r="DH191" t="e">
        <f>AND(#REF!,"AAAAAB/63m8=")</f>
        <v>#REF!</v>
      </c>
      <c r="DI191" t="e">
        <f>AND(#REF!,"AAAAAB/63nA=")</f>
        <v>#REF!</v>
      </c>
      <c r="DJ191" t="e">
        <f>AND(#REF!,"AAAAAB/63nE=")</f>
        <v>#REF!</v>
      </c>
      <c r="DK191" t="e">
        <f>AND(#REF!,"AAAAAB/63nI=")</f>
        <v>#REF!</v>
      </c>
      <c r="DL191" t="e">
        <f>AND(#REF!,"AAAAAB/63nM=")</f>
        <v>#REF!</v>
      </c>
      <c r="DM191" t="e">
        <f>AND(#REF!,"AAAAAB/63nQ=")</f>
        <v>#REF!</v>
      </c>
      <c r="DN191" t="e">
        <f>AND(#REF!,"AAAAAB/63nU=")</f>
        <v>#REF!</v>
      </c>
      <c r="DO191" t="e">
        <f>AND(#REF!,"AAAAAB/63nY=")</f>
        <v>#REF!</v>
      </c>
      <c r="DP191" t="e">
        <f>AND(#REF!,"AAAAAB/63nc=")</f>
        <v>#REF!</v>
      </c>
      <c r="DQ191" t="e">
        <f>AND(#REF!,"AAAAAB/63ng=")</f>
        <v>#REF!</v>
      </c>
      <c r="DR191" t="e">
        <f>AND(#REF!,"AAAAAB/63nk=")</f>
        <v>#REF!</v>
      </c>
      <c r="DS191" t="e">
        <f>AND(#REF!,"AAAAAB/63no=")</f>
        <v>#REF!</v>
      </c>
      <c r="DT191" t="e">
        <f>AND(#REF!,"AAAAAB/63ns=")</f>
        <v>#REF!</v>
      </c>
      <c r="DU191" t="e">
        <f>AND(#REF!,"AAAAAB/63nw=")</f>
        <v>#REF!</v>
      </c>
      <c r="DV191" t="e">
        <f>AND(#REF!,"AAAAAB/63n0=")</f>
        <v>#REF!</v>
      </c>
      <c r="DW191" t="e">
        <f>AND(#REF!,"AAAAAB/63n4=")</f>
        <v>#REF!</v>
      </c>
      <c r="DX191" t="e">
        <f>AND(#REF!,"AAAAAB/63n8=")</f>
        <v>#REF!</v>
      </c>
      <c r="DY191" t="e">
        <f>AND(#REF!,"AAAAAB/63oA=")</f>
        <v>#REF!</v>
      </c>
      <c r="DZ191" t="e">
        <f>AND(#REF!,"AAAAAB/63oE=")</f>
        <v>#REF!</v>
      </c>
      <c r="EA191" t="e">
        <f>AND(#REF!,"AAAAAB/63oI=")</f>
        <v>#REF!</v>
      </c>
      <c r="EB191" t="e">
        <f>AND(#REF!,"AAAAAB/63oM=")</f>
        <v>#REF!</v>
      </c>
      <c r="EC191" t="e">
        <f>AND(#REF!,"AAAAAB/63oQ=")</f>
        <v>#REF!</v>
      </c>
      <c r="ED191" t="e">
        <f>AND(#REF!,"AAAAAB/63oU=")</f>
        <v>#REF!</v>
      </c>
      <c r="EE191" t="e">
        <f>AND(#REF!,"AAAAAB/63oY=")</f>
        <v>#REF!</v>
      </c>
      <c r="EF191" t="e">
        <f>AND(#REF!,"AAAAAB/63oc=")</f>
        <v>#REF!</v>
      </c>
      <c r="EG191" t="e">
        <f>AND(#REF!,"AAAAAB/63og=")</f>
        <v>#REF!</v>
      </c>
      <c r="EH191" t="e">
        <f>AND(#REF!,"AAAAAB/63ok=")</f>
        <v>#REF!</v>
      </c>
      <c r="EI191" t="e">
        <f>AND(#REF!,"AAAAAB/63oo=")</f>
        <v>#REF!</v>
      </c>
      <c r="EJ191" t="e">
        <f>AND(#REF!,"AAAAAB/63os=")</f>
        <v>#REF!</v>
      </c>
      <c r="EK191" t="e">
        <f>AND(#REF!,"AAAAAB/63ow=")</f>
        <v>#REF!</v>
      </c>
      <c r="EL191" t="e">
        <f>AND(#REF!,"AAAAAB/63o0=")</f>
        <v>#REF!</v>
      </c>
      <c r="EM191" t="e">
        <f>AND(#REF!,"AAAAAB/63o4=")</f>
        <v>#REF!</v>
      </c>
      <c r="EN191" t="e">
        <f>AND(#REF!,"AAAAAB/63o8=")</f>
        <v>#REF!</v>
      </c>
      <c r="EO191" t="e">
        <f>AND(#REF!,"AAAAAB/63pA=")</f>
        <v>#REF!</v>
      </c>
      <c r="EP191" t="e">
        <f>AND(#REF!,"AAAAAB/63pE=")</f>
        <v>#REF!</v>
      </c>
      <c r="EQ191" t="e">
        <f>AND(#REF!,"AAAAAB/63pI=")</f>
        <v>#REF!</v>
      </c>
      <c r="ER191" t="e">
        <f>AND(#REF!,"AAAAAB/63pM=")</f>
        <v>#REF!</v>
      </c>
      <c r="ES191" t="e">
        <f>AND(#REF!,"AAAAAB/63pQ=")</f>
        <v>#REF!</v>
      </c>
      <c r="ET191" t="e">
        <f>AND(#REF!,"AAAAAB/63pU=")</f>
        <v>#REF!</v>
      </c>
      <c r="EU191" t="e">
        <f>AND(#REF!,"AAAAAB/63pY=")</f>
        <v>#REF!</v>
      </c>
      <c r="EV191" t="e">
        <f>AND(#REF!,"AAAAAB/63pc=")</f>
        <v>#REF!</v>
      </c>
      <c r="EW191" t="e">
        <f>AND(#REF!,"AAAAAB/63pg=")</f>
        <v>#REF!</v>
      </c>
      <c r="EX191" t="e">
        <f>AND(#REF!,"AAAAAB/63pk=")</f>
        <v>#REF!</v>
      </c>
      <c r="EY191" t="e">
        <f>AND(#REF!,"AAAAAB/63po=")</f>
        <v>#REF!</v>
      </c>
      <c r="EZ191" t="e">
        <f>AND(#REF!,"AAAAAB/63ps=")</f>
        <v>#REF!</v>
      </c>
      <c r="FA191" t="e">
        <f>AND(#REF!,"AAAAAB/63pw=")</f>
        <v>#REF!</v>
      </c>
      <c r="FB191" t="e">
        <f>AND(#REF!,"AAAAAB/63p0=")</f>
        <v>#REF!</v>
      </c>
      <c r="FC191" t="e">
        <f>AND(#REF!,"AAAAAB/63p4=")</f>
        <v>#REF!</v>
      </c>
      <c r="FD191" t="e">
        <f>AND(#REF!,"AAAAAB/63p8=")</f>
        <v>#REF!</v>
      </c>
      <c r="FE191" t="e">
        <f>AND(#REF!,"AAAAAB/63qA=")</f>
        <v>#REF!</v>
      </c>
      <c r="FF191" t="e">
        <f>AND(#REF!,"AAAAAB/63qE=")</f>
        <v>#REF!</v>
      </c>
      <c r="FG191" t="e">
        <f>AND(#REF!,"AAAAAB/63qI=")</f>
        <v>#REF!</v>
      </c>
      <c r="FH191" t="e">
        <f>AND(#REF!,"AAAAAB/63qM=")</f>
        <v>#REF!</v>
      </c>
      <c r="FI191" t="e">
        <f>AND(#REF!,"AAAAAB/63qQ=")</f>
        <v>#REF!</v>
      </c>
      <c r="FJ191" t="e">
        <f>AND(#REF!,"AAAAAB/63qU=")</f>
        <v>#REF!</v>
      </c>
      <c r="FK191" t="e">
        <f>AND(#REF!,"AAAAAB/63qY=")</f>
        <v>#REF!</v>
      </c>
      <c r="FL191" t="e">
        <f>AND(#REF!,"AAAAAB/63qc=")</f>
        <v>#REF!</v>
      </c>
      <c r="FM191" t="e">
        <f>AND(#REF!,"AAAAAB/63qg=")</f>
        <v>#REF!</v>
      </c>
      <c r="FN191" t="e">
        <f>AND(#REF!,"AAAAAB/63qk=")</f>
        <v>#REF!</v>
      </c>
      <c r="FO191" t="e">
        <f>AND(#REF!,"AAAAAB/63qo=")</f>
        <v>#REF!</v>
      </c>
      <c r="FP191" t="e">
        <f>AND(#REF!,"AAAAAB/63qs=")</f>
        <v>#REF!</v>
      </c>
      <c r="FQ191" t="e">
        <f>AND(#REF!,"AAAAAB/63qw=")</f>
        <v>#REF!</v>
      </c>
      <c r="FR191" t="e">
        <f>AND(#REF!,"AAAAAB/63q0=")</f>
        <v>#REF!</v>
      </c>
      <c r="FS191" t="e">
        <f>AND(#REF!,"AAAAAB/63q4=")</f>
        <v>#REF!</v>
      </c>
      <c r="FT191" t="e">
        <f>AND(#REF!,"AAAAAB/63q8=")</f>
        <v>#REF!</v>
      </c>
      <c r="FU191" t="e">
        <f>AND(#REF!,"AAAAAB/63rA=")</f>
        <v>#REF!</v>
      </c>
      <c r="FV191" t="e">
        <f>AND(#REF!,"AAAAAB/63rE=")</f>
        <v>#REF!</v>
      </c>
      <c r="FW191" t="e">
        <f>AND(#REF!,"AAAAAB/63rI=")</f>
        <v>#REF!</v>
      </c>
      <c r="FX191" t="e">
        <f>AND(#REF!,"AAAAAB/63rM=")</f>
        <v>#REF!</v>
      </c>
      <c r="FY191" t="e">
        <f>AND(#REF!,"AAAAAB/63rQ=")</f>
        <v>#REF!</v>
      </c>
      <c r="FZ191" t="e">
        <f>AND(#REF!,"AAAAAB/63rU=")</f>
        <v>#REF!</v>
      </c>
      <c r="GA191" t="e">
        <f>AND(#REF!,"AAAAAB/63rY=")</f>
        <v>#REF!</v>
      </c>
      <c r="GB191" t="e">
        <f>AND(#REF!,"AAAAAB/63rc=")</f>
        <v>#REF!</v>
      </c>
      <c r="GC191" t="e">
        <f>AND(#REF!,"AAAAAB/63rg=")</f>
        <v>#REF!</v>
      </c>
      <c r="GD191" t="e">
        <f>AND(#REF!,"AAAAAB/63rk=")</f>
        <v>#REF!</v>
      </c>
      <c r="GE191" t="e">
        <f>AND(#REF!,"AAAAAB/63ro=")</f>
        <v>#REF!</v>
      </c>
      <c r="GF191" t="e">
        <f>AND(#REF!,"AAAAAB/63rs=")</f>
        <v>#REF!</v>
      </c>
      <c r="GG191" t="e">
        <f>AND(#REF!,"AAAAAB/63rw=")</f>
        <v>#REF!</v>
      </c>
      <c r="GH191" t="e">
        <f>AND(#REF!,"AAAAAB/63r0=")</f>
        <v>#REF!</v>
      </c>
      <c r="GI191" t="e">
        <f>AND(#REF!,"AAAAAB/63r4=")</f>
        <v>#REF!</v>
      </c>
      <c r="GJ191" t="e">
        <f>AND(#REF!,"AAAAAB/63r8=")</f>
        <v>#REF!</v>
      </c>
      <c r="GK191" t="e">
        <f>AND(#REF!,"AAAAAB/63sA=")</f>
        <v>#REF!</v>
      </c>
      <c r="GL191" t="e">
        <f>AND(#REF!,"AAAAAB/63sE=")</f>
        <v>#REF!</v>
      </c>
      <c r="GM191" t="e">
        <f>AND(#REF!,"AAAAAB/63sI=")</f>
        <v>#REF!</v>
      </c>
      <c r="GN191" t="e">
        <f>AND(#REF!,"AAAAAB/63sM=")</f>
        <v>#REF!</v>
      </c>
      <c r="GO191" t="e">
        <f>AND(#REF!,"AAAAAB/63sQ=")</f>
        <v>#REF!</v>
      </c>
      <c r="GP191" t="e">
        <f>AND(#REF!,"AAAAAB/63sU=")</f>
        <v>#REF!</v>
      </c>
      <c r="GQ191" t="e">
        <f>AND(#REF!,"AAAAAB/63sY=")</f>
        <v>#REF!</v>
      </c>
      <c r="GR191" t="e">
        <f>AND(#REF!,"AAAAAB/63sc=")</f>
        <v>#REF!</v>
      </c>
      <c r="GS191" t="e">
        <f>AND(#REF!,"AAAAAB/63sg=")</f>
        <v>#REF!</v>
      </c>
      <c r="GT191" t="e">
        <f>AND(#REF!,"AAAAAB/63sk=")</f>
        <v>#REF!</v>
      </c>
      <c r="GU191" t="e">
        <f>AND(#REF!,"AAAAAB/63so=")</f>
        <v>#REF!</v>
      </c>
      <c r="GV191" t="e">
        <f>AND(#REF!,"AAAAAB/63ss=")</f>
        <v>#REF!</v>
      </c>
      <c r="GW191" t="e">
        <f>AND(#REF!,"AAAAAB/63sw=")</f>
        <v>#REF!</v>
      </c>
      <c r="GX191" t="e">
        <f>AND(#REF!,"AAAAAB/63s0=")</f>
        <v>#REF!</v>
      </c>
      <c r="GY191" t="e">
        <f>AND(#REF!,"AAAAAB/63s4=")</f>
        <v>#REF!</v>
      </c>
      <c r="GZ191" t="e">
        <f>AND(#REF!,"AAAAAB/63s8=")</f>
        <v>#REF!</v>
      </c>
      <c r="HA191" t="e">
        <f>AND(#REF!,"AAAAAB/63tA=")</f>
        <v>#REF!</v>
      </c>
      <c r="HB191" t="e">
        <f>AND(#REF!,"AAAAAB/63tE=")</f>
        <v>#REF!</v>
      </c>
      <c r="HC191" t="e">
        <f>AND(#REF!,"AAAAAB/63tI=")</f>
        <v>#REF!</v>
      </c>
      <c r="HD191" t="e">
        <f>AND(#REF!,"AAAAAB/63tM=")</f>
        <v>#REF!</v>
      </c>
      <c r="HE191" t="e">
        <f>AND(#REF!,"AAAAAB/63tQ=")</f>
        <v>#REF!</v>
      </c>
      <c r="HF191" t="e">
        <f>AND(#REF!,"AAAAAB/63tU=")</f>
        <v>#REF!</v>
      </c>
      <c r="HG191" t="e">
        <f>AND(#REF!,"AAAAAB/63tY=")</f>
        <v>#REF!</v>
      </c>
      <c r="HH191" t="e">
        <f>AND(#REF!,"AAAAAB/63tc=")</f>
        <v>#REF!</v>
      </c>
      <c r="HI191" t="e">
        <f>AND(#REF!,"AAAAAB/63tg=")</f>
        <v>#REF!</v>
      </c>
      <c r="HJ191" t="e">
        <f>AND(#REF!,"AAAAAB/63tk=")</f>
        <v>#REF!</v>
      </c>
      <c r="HK191" t="e">
        <f>AND(#REF!,"AAAAAB/63to=")</f>
        <v>#REF!</v>
      </c>
      <c r="HL191" t="e">
        <f>AND(#REF!,"AAAAAB/63ts=")</f>
        <v>#REF!</v>
      </c>
      <c r="HM191" t="e">
        <f>AND(#REF!,"AAAAAB/63tw=")</f>
        <v>#REF!</v>
      </c>
      <c r="HN191" t="e">
        <f>AND(#REF!,"AAAAAB/63t0=")</f>
        <v>#REF!</v>
      </c>
      <c r="HO191" t="e">
        <f>AND(#REF!,"AAAAAB/63t4=")</f>
        <v>#REF!</v>
      </c>
      <c r="HP191" t="e">
        <f>AND(#REF!,"AAAAAB/63t8=")</f>
        <v>#REF!</v>
      </c>
      <c r="HQ191" t="e">
        <f>AND(#REF!,"AAAAAB/63uA=")</f>
        <v>#REF!</v>
      </c>
      <c r="HR191" t="e">
        <f>AND(#REF!,"AAAAAB/63uE=")</f>
        <v>#REF!</v>
      </c>
      <c r="HS191" t="e">
        <f>AND(#REF!,"AAAAAB/63uI=")</f>
        <v>#REF!</v>
      </c>
      <c r="HT191" t="e">
        <f>AND(#REF!,"AAAAAB/63uM=")</f>
        <v>#REF!</v>
      </c>
      <c r="HU191" t="e">
        <f>AND(#REF!,"AAAAAB/63uQ=")</f>
        <v>#REF!</v>
      </c>
      <c r="HV191" t="e">
        <f>AND(#REF!,"AAAAAB/63uU=")</f>
        <v>#REF!</v>
      </c>
      <c r="HW191" t="e">
        <f>AND(#REF!,"AAAAAB/63uY=")</f>
        <v>#REF!</v>
      </c>
      <c r="HX191" t="e">
        <f>AND(#REF!,"AAAAAB/63uc=")</f>
        <v>#REF!</v>
      </c>
      <c r="HY191" t="e">
        <f>AND(#REF!,"AAAAAB/63ug=")</f>
        <v>#REF!</v>
      </c>
      <c r="HZ191" t="e">
        <f>AND(#REF!,"AAAAAB/63uk=")</f>
        <v>#REF!</v>
      </c>
      <c r="IA191" t="e">
        <f>AND(#REF!,"AAAAAB/63uo=")</f>
        <v>#REF!</v>
      </c>
      <c r="IB191" t="e">
        <f>AND(#REF!,"AAAAAB/63us=")</f>
        <v>#REF!</v>
      </c>
      <c r="IC191" t="e">
        <f>AND(#REF!,"AAAAAB/63uw=")</f>
        <v>#REF!</v>
      </c>
      <c r="ID191" t="e">
        <f>AND(#REF!,"AAAAAB/63u0=")</f>
        <v>#REF!</v>
      </c>
      <c r="IE191" t="e">
        <f>AND(#REF!,"AAAAAB/63u4=")</f>
        <v>#REF!</v>
      </c>
      <c r="IF191" t="e">
        <f>AND(#REF!,"AAAAAB/63u8=")</f>
        <v>#REF!</v>
      </c>
      <c r="IG191" t="e">
        <f>AND(#REF!,"AAAAAB/63vA=")</f>
        <v>#REF!</v>
      </c>
      <c r="IH191" t="e">
        <f>AND(#REF!,"AAAAAB/63vE=")</f>
        <v>#REF!</v>
      </c>
      <c r="II191" t="e">
        <f>AND(#REF!,"AAAAAB/63vI=")</f>
        <v>#REF!</v>
      </c>
      <c r="IJ191" t="e">
        <f>AND(#REF!,"AAAAAB/63vM=")</f>
        <v>#REF!</v>
      </c>
      <c r="IK191" t="e">
        <f>AND(#REF!,"AAAAAB/63vQ=")</f>
        <v>#REF!</v>
      </c>
      <c r="IL191" t="e">
        <f>AND(#REF!,"AAAAAB/63vU=")</f>
        <v>#REF!</v>
      </c>
      <c r="IM191" t="e">
        <f>AND(#REF!,"AAAAAB/63vY=")</f>
        <v>#REF!</v>
      </c>
      <c r="IN191" t="e">
        <f>AND(#REF!,"AAAAAB/63vc=")</f>
        <v>#REF!</v>
      </c>
      <c r="IO191" t="e">
        <f>AND(#REF!,"AAAAAB/63vg=")</f>
        <v>#REF!</v>
      </c>
      <c r="IP191" t="e">
        <f>AND(#REF!,"AAAAAB/63vk=")</f>
        <v>#REF!</v>
      </c>
      <c r="IQ191" t="e">
        <f>AND(#REF!,"AAAAAB/63vo=")</f>
        <v>#REF!</v>
      </c>
      <c r="IR191" t="e">
        <f>AND(#REF!,"AAAAAB/63vs=")</f>
        <v>#REF!</v>
      </c>
      <c r="IS191" t="e">
        <f>AND(#REF!,"AAAAAB/63vw=")</f>
        <v>#REF!</v>
      </c>
      <c r="IT191" t="e">
        <f>AND(#REF!,"AAAAAB/63v0=")</f>
        <v>#REF!</v>
      </c>
      <c r="IU191" t="e">
        <f>AND(#REF!,"AAAAAB/63v4=")</f>
        <v>#REF!</v>
      </c>
      <c r="IV191" t="e">
        <f>AND(#REF!,"AAAAAB/63v8=")</f>
        <v>#REF!</v>
      </c>
    </row>
    <row r="192" spans="1:256" x14ac:dyDescent="0.25">
      <c r="A192" t="e">
        <f>AND(#REF!,"AAAAAHH3MwA=")</f>
        <v>#REF!</v>
      </c>
      <c r="B192" t="e">
        <f>AND(#REF!,"AAAAAHH3MwE=")</f>
        <v>#REF!</v>
      </c>
      <c r="C192" t="e">
        <f>AND(#REF!,"AAAAAHH3MwI=")</f>
        <v>#REF!</v>
      </c>
      <c r="D192" t="e">
        <f>AND(#REF!,"AAAAAHH3MwM=")</f>
        <v>#REF!</v>
      </c>
      <c r="E192" t="e">
        <f>AND(#REF!,"AAAAAHH3MwQ=")</f>
        <v>#REF!</v>
      </c>
      <c r="F192" t="e">
        <f>AND(#REF!,"AAAAAHH3MwU=")</f>
        <v>#REF!</v>
      </c>
      <c r="G192" t="e">
        <f>AND(#REF!,"AAAAAHH3MwY=")</f>
        <v>#REF!</v>
      </c>
      <c r="H192" t="e">
        <f>AND(#REF!,"AAAAAHH3Mwc=")</f>
        <v>#REF!</v>
      </c>
      <c r="I192" t="e">
        <f>AND(#REF!,"AAAAAHH3Mwg=")</f>
        <v>#REF!</v>
      </c>
      <c r="J192" t="e">
        <f>AND(#REF!,"AAAAAHH3Mwk=")</f>
        <v>#REF!</v>
      </c>
      <c r="K192" t="e">
        <f>AND(#REF!,"AAAAAHH3Mwo=")</f>
        <v>#REF!</v>
      </c>
      <c r="L192" t="e">
        <f>AND(#REF!,"AAAAAHH3Mws=")</f>
        <v>#REF!</v>
      </c>
      <c r="M192" t="e">
        <f>AND(#REF!,"AAAAAHH3Mww=")</f>
        <v>#REF!</v>
      </c>
      <c r="N192" t="e">
        <f>AND(#REF!,"AAAAAHH3Mw0=")</f>
        <v>#REF!</v>
      </c>
      <c r="O192" t="e">
        <f>AND(#REF!,"AAAAAHH3Mw4=")</f>
        <v>#REF!</v>
      </c>
      <c r="P192" t="e">
        <f>AND(#REF!,"AAAAAHH3Mw8=")</f>
        <v>#REF!</v>
      </c>
      <c r="Q192" t="e">
        <f>AND(#REF!,"AAAAAHH3MxA=")</f>
        <v>#REF!</v>
      </c>
      <c r="R192" t="e">
        <f>AND(#REF!,"AAAAAHH3MxE=")</f>
        <v>#REF!</v>
      </c>
      <c r="S192" t="e">
        <f>AND(#REF!,"AAAAAHH3MxI=")</f>
        <v>#REF!</v>
      </c>
      <c r="T192" t="e">
        <f>AND(#REF!,"AAAAAHH3MxM=")</f>
        <v>#REF!</v>
      </c>
      <c r="U192" t="e">
        <f>AND(#REF!,"AAAAAHH3MxQ=")</f>
        <v>#REF!</v>
      </c>
      <c r="V192" t="e">
        <f>AND(#REF!,"AAAAAHH3MxU=")</f>
        <v>#REF!</v>
      </c>
      <c r="W192" t="e">
        <f>AND(#REF!,"AAAAAHH3MxY=")</f>
        <v>#REF!</v>
      </c>
      <c r="X192" t="e">
        <f>AND(#REF!,"AAAAAHH3Mxc=")</f>
        <v>#REF!</v>
      </c>
      <c r="Y192" t="e">
        <f>AND(#REF!,"AAAAAHH3Mxg=")</f>
        <v>#REF!</v>
      </c>
      <c r="Z192" t="e">
        <f>AND(#REF!,"AAAAAHH3Mxk=")</f>
        <v>#REF!</v>
      </c>
      <c r="AA192" t="e">
        <f>AND(#REF!,"AAAAAHH3Mxo=")</f>
        <v>#REF!</v>
      </c>
      <c r="AB192" t="e">
        <f>AND(#REF!,"AAAAAHH3Mxs=")</f>
        <v>#REF!</v>
      </c>
      <c r="AC192" t="e">
        <f>AND(#REF!,"AAAAAHH3Mxw=")</f>
        <v>#REF!</v>
      </c>
      <c r="AD192" t="e">
        <f>AND(#REF!,"AAAAAHH3Mx0=")</f>
        <v>#REF!</v>
      </c>
      <c r="AE192" t="e">
        <f>AND(#REF!,"AAAAAHH3Mx4=")</f>
        <v>#REF!</v>
      </c>
      <c r="AF192" t="e">
        <f>AND(#REF!,"AAAAAHH3Mx8=")</f>
        <v>#REF!</v>
      </c>
      <c r="AG192" t="e">
        <f>AND(#REF!,"AAAAAHH3MyA=")</f>
        <v>#REF!</v>
      </c>
      <c r="AH192" t="e">
        <f>AND(#REF!,"AAAAAHH3MyE=")</f>
        <v>#REF!</v>
      </c>
      <c r="AI192" t="e">
        <f>AND(#REF!,"AAAAAHH3MyI=")</f>
        <v>#REF!</v>
      </c>
      <c r="AJ192" t="e">
        <f>AND(#REF!,"AAAAAHH3MyM=")</f>
        <v>#REF!</v>
      </c>
      <c r="AK192" t="e">
        <f>AND(#REF!,"AAAAAHH3MyQ=")</f>
        <v>#REF!</v>
      </c>
      <c r="AL192" t="e">
        <f>AND(#REF!,"AAAAAHH3MyU=")</f>
        <v>#REF!</v>
      </c>
      <c r="AM192" t="e">
        <f>AND(#REF!,"AAAAAHH3MyY=")</f>
        <v>#REF!</v>
      </c>
      <c r="AN192" t="e">
        <f>AND(#REF!,"AAAAAHH3Myc=")</f>
        <v>#REF!</v>
      </c>
      <c r="AO192" t="e">
        <f>AND(#REF!,"AAAAAHH3Myg=")</f>
        <v>#REF!</v>
      </c>
      <c r="AP192" t="e">
        <f>AND(#REF!,"AAAAAHH3Myk=")</f>
        <v>#REF!</v>
      </c>
      <c r="AQ192" t="e">
        <f>AND(#REF!,"AAAAAHH3Myo=")</f>
        <v>#REF!</v>
      </c>
      <c r="AR192" t="e">
        <f>AND(#REF!,"AAAAAHH3Mys=")</f>
        <v>#REF!</v>
      </c>
      <c r="AS192" t="e">
        <f>AND(#REF!,"AAAAAHH3Myw=")</f>
        <v>#REF!</v>
      </c>
      <c r="AT192" t="e">
        <f>AND(#REF!,"AAAAAHH3My0=")</f>
        <v>#REF!</v>
      </c>
      <c r="AU192" t="e">
        <f>AND(#REF!,"AAAAAHH3My4=")</f>
        <v>#REF!</v>
      </c>
      <c r="AV192" t="e">
        <f>AND(#REF!,"AAAAAHH3My8=")</f>
        <v>#REF!</v>
      </c>
      <c r="AW192" t="e">
        <f>AND(#REF!,"AAAAAHH3MzA=")</f>
        <v>#REF!</v>
      </c>
      <c r="AX192" t="e">
        <f>AND(#REF!,"AAAAAHH3MzE=")</f>
        <v>#REF!</v>
      </c>
      <c r="AY192" t="e">
        <f>AND(#REF!,"AAAAAHH3MzI=")</f>
        <v>#REF!</v>
      </c>
      <c r="AZ192" t="e">
        <f>AND(#REF!,"AAAAAHH3MzM=")</f>
        <v>#REF!</v>
      </c>
      <c r="BA192" t="e">
        <f>AND(#REF!,"AAAAAHH3MzQ=")</f>
        <v>#REF!</v>
      </c>
      <c r="BB192" t="e">
        <f>AND(#REF!,"AAAAAHH3MzU=")</f>
        <v>#REF!</v>
      </c>
      <c r="BC192" t="e">
        <f>AND(#REF!,"AAAAAHH3MzY=")</f>
        <v>#REF!</v>
      </c>
      <c r="BD192" t="e">
        <f>AND(#REF!,"AAAAAHH3Mzc=")</f>
        <v>#REF!</v>
      </c>
      <c r="BE192" t="e">
        <f>AND(#REF!,"AAAAAHH3Mzg=")</f>
        <v>#REF!</v>
      </c>
      <c r="BF192" t="e">
        <f>AND(#REF!,"AAAAAHH3Mzk=")</f>
        <v>#REF!</v>
      </c>
      <c r="BG192" t="e">
        <f>AND(#REF!,"AAAAAHH3Mzo=")</f>
        <v>#REF!</v>
      </c>
      <c r="BH192" t="e">
        <f>AND(#REF!,"AAAAAHH3Mzs=")</f>
        <v>#REF!</v>
      </c>
      <c r="BI192" t="e">
        <f>AND(#REF!,"AAAAAHH3Mzw=")</f>
        <v>#REF!</v>
      </c>
      <c r="BJ192" t="e">
        <f>AND(#REF!,"AAAAAHH3Mz0=")</f>
        <v>#REF!</v>
      </c>
      <c r="BK192" t="e">
        <f>AND(#REF!,"AAAAAHH3Mz4=")</f>
        <v>#REF!</v>
      </c>
      <c r="BL192" t="e">
        <f>AND(#REF!,"AAAAAHH3Mz8=")</f>
        <v>#REF!</v>
      </c>
      <c r="BM192" t="e">
        <f>AND(#REF!,"AAAAAHH3M0A=")</f>
        <v>#REF!</v>
      </c>
      <c r="BN192" t="e">
        <f>AND(#REF!,"AAAAAHH3M0E=")</f>
        <v>#REF!</v>
      </c>
      <c r="BO192" t="e">
        <f>AND(#REF!,"AAAAAHH3M0I=")</f>
        <v>#REF!</v>
      </c>
      <c r="BP192" t="e">
        <f>AND(#REF!,"AAAAAHH3M0M=")</f>
        <v>#REF!</v>
      </c>
      <c r="BQ192" t="e">
        <f>AND(#REF!,"AAAAAHH3M0Q=")</f>
        <v>#REF!</v>
      </c>
      <c r="BR192" t="e">
        <f>AND(#REF!,"AAAAAHH3M0U=")</f>
        <v>#REF!</v>
      </c>
      <c r="BS192" t="e">
        <f>AND(#REF!,"AAAAAHH3M0Y=")</f>
        <v>#REF!</v>
      </c>
      <c r="BT192" t="e">
        <f>AND(#REF!,"AAAAAHH3M0c=")</f>
        <v>#REF!</v>
      </c>
      <c r="BU192" t="e">
        <f>AND(#REF!,"AAAAAHH3M0g=")</f>
        <v>#REF!</v>
      </c>
      <c r="BV192" t="e">
        <f>AND(#REF!,"AAAAAHH3M0k=")</f>
        <v>#REF!</v>
      </c>
      <c r="BW192" t="e">
        <f>AND(#REF!,"AAAAAHH3M0o=")</f>
        <v>#REF!</v>
      </c>
      <c r="BX192" t="e">
        <f>AND(#REF!,"AAAAAHH3M0s=")</f>
        <v>#REF!</v>
      </c>
      <c r="BY192" t="e">
        <f>AND(#REF!,"AAAAAHH3M0w=")</f>
        <v>#REF!</v>
      </c>
      <c r="BZ192" t="e">
        <f>AND(#REF!,"AAAAAHH3M00=")</f>
        <v>#REF!</v>
      </c>
      <c r="CA192" t="e">
        <f>AND(#REF!,"AAAAAHH3M04=")</f>
        <v>#REF!</v>
      </c>
      <c r="CB192" t="e">
        <f>AND(#REF!,"AAAAAHH3M08=")</f>
        <v>#REF!</v>
      </c>
      <c r="CC192" t="e">
        <f>AND(#REF!,"AAAAAHH3M1A=")</f>
        <v>#REF!</v>
      </c>
      <c r="CD192" t="e">
        <f>AND(#REF!,"AAAAAHH3M1E=")</f>
        <v>#REF!</v>
      </c>
      <c r="CE192" t="e">
        <f>AND(#REF!,"AAAAAHH3M1I=")</f>
        <v>#REF!</v>
      </c>
      <c r="CF192" t="e">
        <f>AND(#REF!,"AAAAAHH3M1M=")</f>
        <v>#REF!</v>
      </c>
      <c r="CG192" t="e">
        <f>AND(#REF!,"AAAAAHH3M1Q=")</f>
        <v>#REF!</v>
      </c>
      <c r="CH192" t="e">
        <f>AND(#REF!,"AAAAAHH3M1U=")</f>
        <v>#REF!</v>
      </c>
      <c r="CI192" t="e">
        <f>AND(#REF!,"AAAAAHH3M1Y=")</f>
        <v>#REF!</v>
      </c>
      <c r="CJ192" t="e">
        <f>AND(#REF!,"AAAAAHH3M1c=")</f>
        <v>#REF!</v>
      </c>
      <c r="CK192" t="e">
        <f>AND(#REF!,"AAAAAHH3M1g=")</f>
        <v>#REF!</v>
      </c>
      <c r="CL192" t="e">
        <f>AND(#REF!,"AAAAAHH3M1k=")</f>
        <v>#REF!</v>
      </c>
      <c r="CM192" t="e">
        <f>AND(#REF!,"AAAAAHH3M1o=")</f>
        <v>#REF!</v>
      </c>
      <c r="CN192" t="e">
        <f>AND(#REF!,"AAAAAHH3M1s=")</f>
        <v>#REF!</v>
      </c>
      <c r="CO192" t="e">
        <f>AND(#REF!,"AAAAAHH3M1w=")</f>
        <v>#REF!</v>
      </c>
      <c r="CP192" t="e">
        <f>AND(#REF!,"AAAAAHH3M10=")</f>
        <v>#REF!</v>
      </c>
      <c r="CQ192" t="e">
        <f>AND(#REF!,"AAAAAHH3M14=")</f>
        <v>#REF!</v>
      </c>
      <c r="CR192" t="e">
        <f>AND(#REF!,"AAAAAHH3M18=")</f>
        <v>#REF!</v>
      </c>
      <c r="CS192" t="e">
        <f>AND(#REF!,"AAAAAHH3M2A=")</f>
        <v>#REF!</v>
      </c>
      <c r="CT192" t="e">
        <f>AND(#REF!,"AAAAAHH3M2E=")</f>
        <v>#REF!</v>
      </c>
      <c r="CU192" t="e">
        <f>AND(#REF!,"AAAAAHH3M2I=")</f>
        <v>#REF!</v>
      </c>
      <c r="CV192" t="e">
        <f>AND(#REF!,"AAAAAHH3M2M=")</f>
        <v>#REF!</v>
      </c>
      <c r="CW192" t="e">
        <f>AND(#REF!,"AAAAAHH3M2Q=")</f>
        <v>#REF!</v>
      </c>
      <c r="CX192" t="e">
        <f>AND(#REF!,"AAAAAHH3M2U=")</f>
        <v>#REF!</v>
      </c>
      <c r="CY192" t="e">
        <f>AND(#REF!,"AAAAAHH3M2Y=")</f>
        <v>#REF!</v>
      </c>
      <c r="CZ192" t="e">
        <f>AND(#REF!,"AAAAAHH3M2c=")</f>
        <v>#REF!</v>
      </c>
      <c r="DA192" t="e">
        <f>AND(#REF!,"AAAAAHH3M2g=")</f>
        <v>#REF!</v>
      </c>
      <c r="DB192" t="e">
        <f>AND(#REF!,"AAAAAHH3M2k=")</f>
        <v>#REF!</v>
      </c>
      <c r="DC192" t="e">
        <f>AND(#REF!,"AAAAAHH3M2o=")</f>
        <v>#REF!</v>
      </c>
      <c r="DD192" t="e">
        <f>AND(#REF!,"AAAAAHH3M2s=")</f>
        <v>#REF!</v>
      </c>
      <c r="DE192" t="e">
        <f>AND(#REF!,"AAAAAHH3M2w=")</f>
        <v>#REF!</v>
      </c>
      <c r="DF192" t="e">
        <f>AND(#REF!,"AAAAAHH3M20=")</f>
        <v>#REF!</v>
      </c>
      <c r="DG192" t="e">
        <f>AND(#REF!,"AAAAAHH3M24=")</f>
        <v>#REF!</v>
      </c>
      <c r="DH192" t="e">
        <f>AND(#REF!,"AAAAAHH3M28=")</f>
        <v>#REF!</v>
      </c>
      <c r="DI192" t="e">
        <f>AND(#REF!,"AAAAAHH3M3A=")</f>
        <v>#REF!</v>
      </c>
      <c r="DJ192" t="e">
        <f>AND(#REF!,"AAAAAHH3M3E=")</f>
        <v>#REF!</v>
      </c>
      <c r="DK192" t="e">
        <f>AND(#REF!,"AAAAAHH3M3I=")</f>
        <v>#REF!</v>
      </c>
      <c r="DL192" t="e">
        <f>AND(#REF!,"AAAAAHH3M3M=")</f>
        <v>#REF!</v>
      </c>
      <c r="DM192" t="e">
        <f>AND(#REF!,"AAAAAHH3M3Q=")</f>
        <v>#REF!</v>
      </c>
      <c r="DN192" t="e">
        <f>AND(#REF!,"AAAAAHH3M3U=")</f>
        <v>#REF!</v>
      </c>
      <c r="DO192" t="e">
        <f>AND(#REF!,"AAAAAHH3M3Y=")</f>
        <v>#REF!</v>
      </c>
      <c r="DP192" t="e">
        <f>AND(#REF!,"AAAAAHH3M3c=")</f>
        <v>#REF!</v>
      </c>
      <c r="DQ192" t="e">
        <f>AND(#REF!,"AAAAAHH3M3g=")</f>
        <v>#REF!</v>
      </c>
      <c r="DR192" t="e">
        <f>AND(#REF!,"AAAAAHH3M3k=")</f>
        <v>#REF!</v>
      </c>
      <c r="DS192" t="e">
        <f>AND(#REF!,"AAAAAHH3M3o=")</f>
        <v>#REF!</v>
      </c>
      <c r="DT192" t="e">
        <f>AND(#REF!,"AAAAAHH3M3s=")</f>
        <v>#REF!</v>
      </c>
      <c r="DU192" t="e">
        <f>AND(#REF!,"AAAAAHH3M3w=")</f>
        <v>#REF!</v>
      </c>
      <c r="DV192" t="e">
        <f>AND(#REF!,"AAAAAHH3M30=")</f>
        <v>#REF!</v>
      </c>
      <c r="DW192" t="e">
        <f>AND(#REF!,"AAAAAHH3M34=")</f>
        <v>#REF!</v>
      </c>
      <c r="DX192" t="e">
        <f>AND(#REF!,"AAAAAHH3M38=")</f>
        <v>#REF!</v>
      </c>
      <c r="DY192" t="e">
        <f>AND(#REF!,"AAAAAHH3M4A=")</f>
        <v>#REF!</v>
      </c>
      <c r="DZ192" t="e">
        <f>AND(#REF!,"AAAAAHH3M4E=")</f>
        <v>#REF!</v>
      </c>
      <c r="EA192" t="e">
        <f>AND(#REF!,"AAAAAHH3M4I=")</f>
        <v>#REF!</v>
      </c>
      <c r="EB192" t="e">
        <f>AND(#REF!,"AAAAAHH3M4M=")</f>
        <v>#REF!</v>
      </c>
      <c r="EC192" t="e">
        <f>AND(#REF!,"AAAAAHH3M4Q=")</f>
        <v>#REF!</v>
      </c>
      <c r="ED192" t="e">
        <f>AND(#REF!,"AAAAAHH3M4U=")</f>
        <v>#REF!</v>
      </c>
      <c r="EE192" t="e">
        <f>AND(#REF!,"AAAAAHH3M4Y=")</f>
        <v>#REF!</v>
      </c>
      <c r="EF192" t="e">
        <f>AND(#REF!,"AAAAAHH3M4c=")</f>
        <v>#REF!</v>
      </c>
      <c r="EG192" t="e">
        <f>AND(#REF!,"AAAAAHH3M4g=")</f>
        <v>#REF!</v>
      </c>
      <c r="EH192" t="e">
        <f>AND(#REF!,"AAAAAHH3M4k=")</f>
        <v>#REF!</v>
      </c>
      <c r="EI192" t="e">
        <f>AND(#REF!,"AAAAAHH3M4o=")</f>
        <v>#REF!</v>
      </c>
      <c r="EJ192" t="e">
        <f>AND(#REF!,"AAAAAHH3M4s=")</f>
        <v>#REF!</v>
      </c>
      <c r="EK192" t="e">
        <f>AND(#REF!,"AAAAAHH3M4w=")</f>
        <v>#REF!</v>
      </c>
      <c r="EL192" t="e">
        <f>AND(#REF!,"AAAAAHH3M40=")</f>
        <v>#REF!</v>
      </c>
      <c r="EM192" t="e">
        <f>AND(#REF!,"AAAAAHH3M44=")</f>
        <v>#REF!</v>
      </c>
      <c r="EN192" t="e">
        <f>AND(#REF!,"AAAAAHH3M48=")</f>
        <v>#REF!</v>
      </c>
      <c r="EO192" t="e">
        <f>AND(#REF!,"AAAAAHH3M5A=")</f>
        <v>#REF!</v>
      </c>
      <c r="EP192" t="e">
        <f>AND(#REF!,"AAAAAHH3M5E=")</f>
        <v>#REF!</v>
      </c>
      <c r="EQ192" t="e">
        <f>AND(#REF!,"AAAAAHH3M5I=")</f>
        <v>#REF!</v>
      </c>
      <c r="ER192" t="e">
        <f>AND(#REF!,"AAAAAHH3M5M=")</f>
        <v>#REF!</v>
      </c>
      <c r="ES192" t="e">
        <f>AND(#REF!,"AAAAAHH3M5Q=")</f>
        <v>#REF!</v>
      </c>
      <c r="ET192" t="e">
        <f>AND(#REF!,"AAAAAHH3M5U=")</f>
        <v>#REF!</v>
      </c>
      <c r="EU192" t="e">
        <f>AND(#REF!,"AAAAAHH3M5Y=")</f>
        <v>#REF!</v>
      </c>
      <c r="EV192" t="e">
        <f>AND(#REF!,"AAAAAHH3M5c=")</f>
        <v>#REF!</v>
      </c>
      <c r="EW192" t="e">
        <f>AND(#REF!,"AAAAAHH3M5g=")</f>
        <v>#REF!</v>
      </c>
      <c r="EX192" t="e">
        <f>AND(#REF!,"AAAAAHH3M5k=")</f>
        <v>#REF!</v>
      </c>
      <c r="EY192" t="e">
        <f>AND(#REF!,"AAAAAHH3M5o=")</f>
        <v>#REF!</v>
      </c>
      <c r="EZ192" t="e">
        <f>AND(#REF!,"AAAAAHH3M5s=")</f>
        <v>#REF!</v>
      </c>
      <c r="FA192" t="e">
        <f>AND(#REF!,"AAAAAHH3M5w=")</f>
        <v>#REF!</v>
      </c>
      <c r="FB192" t="e">
        <f>AND(#REF!,"AAAAAHH3M50=")</f>
        <v>#REF!</v>
      </c>
      <c r="FC192" t="e">
        <f>AND(#REF!,"AAAAAHH3M54=")</f>
        <v>#REF!</v>
      </c>
      <c r="FD192" t="e">
        <f>AND(#REF!,"AAAAAHH3M58=")</f>
        <v>#REF!</v>
      </c>
      <c r="FE192" t="e">
        <f>AND(#REF!,"AAAAAHH3M6A=")</f>
        <v>#REF!</v>
      </c>
      <c r="FF192" t="e">
        <f>AND(#REF!,"AAAAAHH3M6E=")</f>
        <v>#REF!</v>
      </c>
      <c r="FG192" t="e">
        <f>AND(#REF!,"AAAAAHH3M6I=")</f>
        <v>#REF!</v>
      </c>
      <c r="FH192" t="e">
        <f>AND(#REF!,"AAAAAHH3M6M=")</f>
        <v>#REF!</v>
      </c>
      <c r="FI192" t="e">
        <f>AND(#REF!,"AAAAAHH3M6Q=")</f>
        <v>#REF!</v>
      </c>
      <c r="FJ192" t="e">
        <f>AND(#REF!,"AAAAAHH3M6U=")</f>
        <v>#REF!</v>
      </c>
      <c r="FK192" t="e">
        <f>AND(#REF!,"AAAAAHH3M6Y=")</f>
        <v>#REF!</v>
      </c>
      <c r="FL192" t="e">
        <f>AND(#REF!,"AAAAAHH3M6c=")</f>
        <v>#REF!</v>
      </c>
      <c r="FM192" t="e">
        <f>AND(#REF!,"AAAAAHH3M6g=")</f>
        <v>#REF!</v>
      </c>
      <c r="FN192" t="e">
        <f>AND(#REF!,"AAAAAHH3M6k=")</f>
        <v>#REF!</v>
      </c>
      <c r="FO192" t="e">
        <f>AND(#REF!,"AAAAAHH3M6o=")</f>
        <v>#REF!</v>
      </c>
      <c r="FP192" t="e">
        <f>AND(#REF!,"AAAAAHH3M6s=")</f>
        <v>#REF!</v>
      </c>
      <c r="FQ192" t="e">
        <f>AND(#REF!,"AAAAAHH3M6w=")</f>
        <v>#REF!</v>
      </c>
      <c r="FR192" t="e">
        <f>AND(#REF!,"AAAAAHH3M60=")</f>
        <v>#REF!</v>
      </c>
      <c r="FS192" t="e">
        <f>AND(#REF!,"AAAAAHH3M64=")</f>
        <v>#REF!</v>
      </c>
      <c r="FT192" t="e">
        <f>AND(#REF!,"AAAAAHH3M68=")</f>
        <v>#REF!</v>
      </c>
      <c r="FU192" t="e">
        <f>AND(#REF!,"AAAAAHH3M7A=")</f>
        <v>#REF!</v>
      </c>
      <c r="FV192" t="e">
        <f>AND(#REF!,"AAAAAHH3M7E=")</f>
        <v>#REF!</v>
      </c>
      <c r="FW192" t="e">
        <f>AND(#REF!,"AAAAAHH3M7I=")</f>
        <v>#REF!</v>
      </c>
      <c r="FX192" t="e">
        <f>AND(#REF!,"AAAAAHH3M7M=")</f>
        <v>#REF!</v>
      </c>
      <c r="FY192" t="e">
        <f>AND(#REF!,"AAAAAHH3M7Q=")</f>
        <v>#REF!</v>
      </c>
      <c r="FZ192" t="e">
        <f>AND(#REF!,"AAAAAHH3M7U=")</f>
        <v>#REF!</v>
      </c>
      <c r="GA192" t="e">
        <f>AND(#REF!,"AAAAAHH3M7Y=")</f>
        <v>#REF!</v>
      </c>
      <c r="GB192" t="e">
        <f>AND(#REF!,"AAAAAHH3M7c=")</f>
        <v>#REF!</v>
      </c>
      <c r="GC192" t="e">
        <f>AND(#REF!,"AAAAAHH3M7g=")</f>
        <v>#REF!</v>
      </c>
      <c r="GD192" t="e">
        <f>AND(#REF!,"AAAAAHH3M7k=")</f>
        <v>#REF!</v>
      </c>
      <c r="GE192" t="e">
        <f>AND(#REF!,"AAAAAHH3M7o=")</f>
        <v>#REF!</v>
      </c>
      <c r="GF192" t="e">
        <f>AND(#REF!,"AAAAAHH3M7s=")</f>
        <v>#REF!</v>
      </c>
      <c r="GG192" t="e">
        <f>AND(#REF!,"AAAAAHH3M7w=")</f>
        <v>#REF!</v>
      </c>
      <c r="GH192" t="e">
        <f>AND(#REF!,"AAAAAHH3M70=")</f>
        <v>#REF!</v>
      </c>
      <c r="GI192" t="e">
        <f>AND(#REF!,"AAAAAHH3M74=")</f>
        <v>#REF!</v>
      </c>
      <c r="GJ192" t="e">
        <f>AND(#REF!,"AAAAAHH3M78=")</f>
        <v>#REF!</v>
      </c>
      <c r="GK192" t="e">
        <f>AND(#REF!,"AAAAAHH3M8A=")</f>
        <v>#REF!</v>
      </c>
      <c r="GL192" t="e">
        <f>AND(#REF!,"AAAAAHH3M8E=")</f>
        <v>#REF!</v>
      </c>
      <c r="GM192" t="e">
        <f>AND(#REF!,"AAAAAHH3M8I=")</f>
        <v>#REF!</v>
      </c>
      <c r="GN192" t="e">
        <f>AND(#REF!,"AAAAAHH3M8M=")</f>
        <v>#REF!</v>
      </c>
      <c r="GO192" t="e">
        <f>AND(#REF!,"AAAAAHH3M8Q=")</f>
        <v>#REF!</v>
      </c>
      <c r="GP192" t="e">
        <f>AND(#REF!,"AAAAAHH3M8U=")</f>
        <v>#REF!</v>
      </c>
      <c r="GQ192" t="e">
        <f>AND(#REF!,"AAAAAHH3M8Y=")</f>
        <v>#REF!</v>
      </c>
      <c r="GR192" t="e">
        <f>AND(#REF!,"AAAAAHH3M8c=")</f>
        <v>#REF!</v>
      </c>
      <c r="GS192" t="e">
        <f>AND(#REF!,"AAAAAHH3M8g=")</f>
        <v>#REF!</v>
      </c>
      <c r="GT192" t="e">
        <f>AND(#REF!,"AAAAAHH3M8k=")</f>
        <v>#REF!</v>
      </c>
      <c r="GU192" t="e">
        <f>AND(#REF!,"AAAAAHH3M8o=")</f>
        <v>#REF!</v>
      </c>
      <c r="GV192" t="e">
        <f>AND(#REF!,"AAAAAHH3M8s=")</f>
        <v>#REF!</v>
      </c>
      <c r="GW192" t="e">
        <f>AND(#REF!,"AAAAAHH3M8w=")</f>
        <v>#REF!</v>
      </c>
      <c r="GX192" t="e">
        <f>AND(#REF!,"AAAAAHH3M80=")</f>
        <v>#REF!</v>
      </c>
      <c r="GY192" t="e">
        <f>AND(#REF!,"AAAAAHH3M84=")</f>
        <v>#REF!</v>
      </c>
      <c r="GZ192" t="e">
        <f>AND(#REF!,"AAAAAHH3M88=")</f>
        <v>#REF!</v>
      </c>
      <c r="HA192" t="e">
        <f>AND(#REF!,"AAAAAHH3M9A=")</f>
        <v>#REF!</v>
      </c>
      <c r="HB192" t="e">
        <f>AND(#REF!,"AAAAAHH3M9E=")</f>
        <v>#REF!</v>
      </c>
      <c r="HC192" t="e">
        <f>AND(#REF!,"AAAAAHH3M9I=")</f>
        <v>#REF!</v>
      </c>
      <c r="HD192" t="e">
        <f>AND(#REF!,"AAAAAHH3M9M=")</f>
        <v>#REF!</v>
      </c>
      <c r="HE192" t="e">
        <f>AND(#REF!,"AAAAAHH3M9Q=")</f>
        <v>#REF!</v>
      </c>
      <c r="HF192" t="e">
        <f>AND(#REF!,"AAAAAHH3M9U=")</f>
        <v>#REF!</v>
      </c>
      <c r="HG192" t="e">
        <f>AND(#REF!,"AAAAAHH3M9Y=")</f>
        <v>#REF!</v>
      </c>
      <c r="HH192" t="e">
        <f>AND(#REF!,"AAAAAHH3M9c=")</f>
        <v>#REF!</v>
      </c>
      <c r="HI192" t="e">
        <f>AND(#REF!,"AAAAAHH3M9g=")</f>
        <v>#REF!</v>
      </c>
      <c r="HJ192" t="e">
        <f>AND(#REF!,"AAAAAHH3M9k=")</f>
        <v>#REF!</v>
      </c>
      <c r="HK192" t="e">
        <f>AND(#REF!,"AAAAAHH3M9o=")</f>
        <v>#REF!</v>
      </c>
      <c r="HL192" t="e">
        <f>AND(#REF!,"AAAAAHH3M9s=")</f>
        <v>#REF!</v>
      </c>
      <c r="HM192" t="e">
        <f>AND(#REF!,"AAAAAHH3M9w=")</f>
        <v>#REF!</v>
      </c>
      <c r="HN192" t="e">
        <f>AND(#REF!,"AAAAAHH3M90=")</f>
        <v>#REF!</v>
      </c>
      <c r="HO192" t="e">
        <f>AND(#REF!,"AAAAAHH3M94=")</f>
        <v>#REF!</v>
      </c>
      <c r="HP192" t="e">
        <f>AND(#REF!,"AAAAAHH3M98=")</f>
        <v>#REF!</v>
      </c>
      <c r="HQ192" t="e">
        <f>AND(#REF!,"AAAAAHH3M+A=")</f>
        <v>#REF!</v>
      </c>
      <c r="HR192" t="e">
        <f>AND(#REF!,"AAAAAHH3M+E=")</f>
        <v>#REF!</v>
      </c>
      <c r="HS192" t="e">
        <f>AND(#REF!,"AAAAAHH3M+I=")</f>
        <v>#REF!</v>
      </c>
      <c r="HT192" t="e">
        <f>AND(#REF!,"AAAAAHH3M+M=")</f>
        <v>#REF!</v>
      </c>
      <c r="HU192" t="e">
        <f>AND(#REF!,"AAAAAHH3M+Q=")</f>
        <v>#REF!</v>
      </c>
      <c r="HV192" t="e">
        <f>AND(#REF!,"AAAAAHH3M+U=")</f>
        <v>#REF!</v>
      </c>
      <c r="HW192" t="e">
        <f>AND(#REF!,"AAAAAHH3M+Y=")</f>
        <v>#REF!</v>
      </c>
      <c r="HX192" t="e">
        <f>AND(#REF!,"AAAAAHH3M+c=")</f>
        <v>#REF!</v>
      </c>
      <c r="HY192" t="e">
        <f>AND(#REF!,"AAAAAHH3M+g=")</f>
        <v>#REF!</v>
      </c>
      <c r="HZ192" t="e">
        <f>AND(#REF!,"AAAAAHH3M+k=")</f>
        <v>#REF!</v>
      </c>
      <c r="IA192" t="e">
        <f>AND(#REF!,"AAAAAHH3M+o=")</f>
        <v>#REF!</v>
      </c>
      <c r="IB192" t="e">
        <f>AND(#REF!,"AAAAAHH3M+s=")</f>
        <v>#REF!</v>
      </c>
      <c r="IC192" t="e">
        <f>AND(#REF!,"AAAAAHH3M+w=")</f>
        <v>#REF!</v>
      </c>
      <c r="ID192" t="e">
        <f>AND(#REF!,"AAAAAHH3M+0=")</f>
        <v>#REF!</v>
      </c>
      <c r="IE192" t="e">
        <f>AND(#REF!,"AAAAAHH3M+4=")</f>
        <v>#REF!</v>
      </c>
      <c r="IF192" t="e">
        <f>AND(#REF!,"AAAAAHH3M+8=")</f>
        <v>#REF!</v>
      </c>
      <c r="IG192" t="e">
        <f>AND(#REF!,"AAAAAHH3M/A=")</f>
        <v>#REF!</v>
      </c>
      <c r="IH192" t="e">
        <f>AND(#REF!,"AAAAAHH3M/E=")</f>
        <v>#REF!</v>
      </c>
      <c r="II192" t="e">
        <f>AND(#REF!,"AAAAAHH3M/I=")</f>
        <v>#REF!</v>
      </c>
      <c r="IJ192" t="e">
        <f>AND(#REF!,"AAAAAHH3M/M=")</f>
        <v>#REF!</v>
      </c>
      <c r="IK192" t="e">
        <f>AND(#REF!,"AAAAAHH3M/Q=")</f>
        <v>#REF!</v>
      </c>
      <c r="IL192" t="e">
        <f>AND(#REF!,"AAAAAHH3M/U=")</f>
        <v>#REF!</v>
      </c>
      <c r="IM192" t="e">
        <f>AND(#REF!,"AAAAAHH3M/Y=")</f>
        <v>#REF!</v>
      </c>
      <c r="IN192" t="e">
        <f>AND(#REF!,"AAAAAHH3M/c=")</f>
        <v>#REF!</v>
      </c>
      <c r="IO192" t="e">
        <f>AND(#REF!,"AAAAAHH3M/g=")</f>
        <v>#REF!</v>
      </c>
      <c r="IP192" t="e">
        <f>AND(#REF!,"AAAAAHH3M/k=")</f>
        <v>#REF!</v>
      </c>
      <c r="IQ192" t="e">
        <f>AND(#REF!,"AAAAAHH3M/o=")</f>
        <v>#REF!</v>
      </c>
      <c r="IR192" t="e">
        <f>AND(#REF!,"AAAAAHH3M/s=")</f>
        <v>#REF!</v>
      </c>
      <c r="IS192" t="e">
        <f>AND(#REF!,"AAAAAHH3M/w=")</f>
        <v>#REF!</v>
      </c>
      <c r="IT192" t="e">
        <f>AND(#REF!,"AAAAAHH3M/0=")</f>
        <v>#REF!</v>
      </c>
      <c r="IU192" t="e">
        <f>AND(#REF!,"AAAAAHH3M/4=")</f>
        <v>#REF!</v>
      </c>
      <c r="IV192" t="e">
        <f>AND(#REF!,"AAAAAHH3M/8=")</f>
        <v>#REF!</v>
      </c>
    </row>
    <row r="193" spans="1:256" x14ac:dyDescent="0.25">
      <c r="A193" t="e">
        <f>AND(#REF!,"AAAAAHv6bwA=")</f>
        <v>#REF!</v>
      </c>
      <c r="B193" t="e">
        <f>AND(#REF!,"AAAAAHv6bwE=")</f>
        <v>#REF!</v>
      </c>
      <c r="C193" t="e">
        <f>AND(#REF!,"AAAAAHv6bwI=")</f>
        <v>#REF!</v>
      </c>
      <c r="D193" t="e">
        <f>AND(#REF!,"AAAAAHv6bwM=")</f>
        <v>#REF!</v>
      </c>
      <c r="E193" t="e">
        <f>AND(#REF!,"AAAAAHv6bwQ=")</f>
        <v>#REF!</v>
      </c>
      <c r="F193" t="e">
        <f>AND(#REF!,"AAAAAHv6bwU=")</f>
        <v>#REF!</v>
      </c>
      <c r="G193" t="e">
        <f>AND(#REF!,"AAAAAHv6bwY=")</f>
        <v>#REF!</v>
      </c>
      <c r="H193" t="e">
        <f>AND(#REF!,"AAAAAHv6bwc=")</f>
        <v>#REF!</v>
      </c>
      <c r="I193" t="e">
        <f>AND(#REF!,"AAAAAHv6bwg=")</f>
        <v>#REF!</v>
      </c>
      <c r="J193" t="e">
        <f>AND(#REF!,"AAAAAHv6bwk=")</f>
        <v>#REF!</v>
      </c>
      <c r="K193" t="e">
        <f>AND(#REF!,"AAAAAHv6bwo=")</f>
        <v>#REF!</v>
      </c>
      <c r="L193" t="e">
        <f>AND(#REF!,"AAAAAHv6bws=")</f>
        <v>#REF!</v>
      </c>
      <c r="M193" t="e">
        <f>AND(#REF!,"AAAAAHv6bww=")</f>
        <v>#REF!</v>
      </c>
      <c r="N193" t="e">
        <f>AND(#REF!,"AAAAAHv6bw0=")</f>
        <v>#REF!</v>
      </c>
      <c r="O193" t="e">
        <f>AND(#REF!,"AAAAAHv6bw4=")</f>
        <v>#REF!</v>
      </c>
      <c r="P193" t="e">
        <f>AND(#REF!,"AAAAAHv6bw8=")</f>
        <v>#REF!</v>
      </c>
      <c r="Q193" t="e">
        <f>AND(#REF!,"AAAAAHv6bxA=")</f>
        <v>#REF!</v>
      </c>
      <c r="R193" t="e">
        <f>AND(#REF!,"AAAAAHv6bxE=")</f>
        <v>#REF!</v>
      </c>
      <c r="S193" t="e">
        <f>AND(#REF!,"AAAAAHv6bxI=")</f>
        <v>#REF!</v>
      </c>
      <c r="T193" t="e">
        <f>AND(#REF!,"AAAAAHv6bxM=")</f>
        <v>#REF!</v>
      </c>
      <c r="U193" t="e">
        <f>AND(#REF!,"AAAAAHv6bxQ=")</f>
        <v>#REF!</v>
      </c>
      <c r="V193" t="e">
        <f>AND(#REF!,"AAAAAHv6bxU=")</f>
        <v>#REF!</v>
      </c>
      <c r="W193" t="e">
        <f>AND(#REF!,"AAAAAHv6bxY=")</f>
        <v>#REF!</v>
      </c>
      <c r="X193" t="e">
        <f>AND(#REF!,"AAAAAHv6bxc=")</f>
        <v>#REF!</v>
      </c>
      <c r="Y193" t="e">
        <f>AND(#REF!,"AAAAAHv6bxg=")</f>
        <v>#REF!</v>
      </c>
      <c r="Z193" t="e">
        <f>AND(#REF!,"AAAAAHv6bxk=")</f>
        <v>#REF!</v>
      </c>
      <c r="AA193" t="e">
        <f>AND(#REF!,"AAAAAHv6bxo=")</f>
        <v>#REF!</v>
      </c>
      <c r="AB193" t="e">
        <f>AND(#REF!,"AAAAAHv6bxs=")</f>
        <v>#REF!</v>
      </c>
      <c r="AC193" t="e">
        <f>AND(#REF!,"AAAAAHv6bxw=")</f>
        <v>#REF!</v>
      </c>
      <c r="AD193" t="e">
        <f>AND(#REF!,"AAAAAHv6bx0=")</f>
        <v>#REF!</v>
      </c>
      <c r="AE193" t="e">
        <f>AND(#REF!,"AAAAAHv6bx4=")</f>
        <v>#REF!</v>
      </c>
      <c r="AF193" t="e">
        <f>AND(#REF!,"AAAAAHv6bx8=")</f>
        <v>#REF!</v>
      </c>
      <c r="AG193" t="e">
        <f>AND(#REF!,"AAAAAHv6byA=")</f>
        <v>#REF!</v>
      </c>
      <c r="AH193" t="e">
        <f>AND(#REF!,"AAAAAHv6byE=")</f>
        <v>#REF!</v>
      </c>
      <c r="AI193" t="e">
        <f>AND(#REF!,"AAAAAHv6byI=")</f>
        <v>#REF!</v>
      </c>
      <c r="AJ193" t="e">
        <f>AND(#REF!,"AAAAAHv6byM=")</f>
        <v>#REF!</v>
      </c>
      <c r="AK193" t="e">
        <f>AND(#REF!,"AAAAAHv6byQ=")</f>
        <v>#REF!</v>
      </c>
      <c r="AL193" t="e">
        <f>AND(#REF!,"AAAAAHv6byU=")</f>
        <v>#REF!</v>
      </c>
      <c r="AM193" t="e">
        <f>AND(#REF!,"AAAAAHv6byY=")</f>
        <v>#REF!</v>
      </c>
      <c r="AN193" t="e">
        <f>AND(#REF!,"AAAAAHv6byc=")</f>
        <v>#REF!</v>
      </c>
      <c r="AO193" t="e">
        <f>AND(#REF!,"AAAAAHv6byg=")</f>
        <v>#REF!</v>
      </c>
      <c r="AP193" t="e">
        <f>AND(#REF!,"AAAAAHv6byk=")</f>
        <v>#REF!</v>
      </c>
      <c r="AQ193" t="e">
        <f>AND(#REF!,"AAAAAHv6byo=")</f>
        <v>#REF!</v>
      </c>
      <c r="AR193" t="e">
        <f>AND(#REF!,"AAAAAHv6bys=")</f>
        <v>#REF!</v>
      </c>
      <c r="AS193" t="e">
        <f>AND(#REF!,"AAAAAHv6byw=")</f>
        <v>#REF!</v>
      </c>
      <c r="AT193" t="e">
        <f>AND(#REF!,"AAAAAHv6by0=")</f>
        <v>#REF!</v>
      </c>
      <c r="AU193" t="e">
        <f>AND(#REF!,"AAAAAHv6by4=")</f>
        <v>#REF!</v>
      </c>
      <c r="AV193" t="e">
        <f>AND(#REF!,"AAAAAHv6by8=")</f>
        <v>#REF!</v>
      </c>
      <c r="AW193" t="e">
        <f>AND(#REF!,"AAAAAHv6bzA=")</f>
        <v>#REF!</v>
      </c>
      <c r="AX193" t="e">
        <f>AND(#REF!,"AAAAAHv6bzE=")</f>
        <v>#REF!</v>
      </c>
      <c r="AY193" t="e">
        <f>AND(#REF!,"AAAAAHv6bzI=")</f>
        <v>#REF!</v>
      </c>
      <c r="AZ193" t="e">
        <f>AND(#REF!,"AAAAAHv6bzM=")</f>
        <v>#REF!</v>
      </c>
      <c r="BA193" t="e">
        <f>AND(#REF!,"AAAAAHv6bzQ=")</f>
        <v>#REF!</v>
      </c>
      <c r="BB193" t="e">
        <f>AND(#REF!,"AAAAAHv6bzU=")</f>
        <v>#REF!</v>
      </c>
      <c r="BC193" t="e">
        <f>AND(#REF!,"AAAAAHv6bzY=")</f>
        <v>#REF!</v>
      </c>
      <c r="BD193" t="e">
        <f>AND(#REF!,"AAAAAHv6bzc=")</f>
        <v>#REF!</v>
      </c>
      <c r="BE193" t="e">
        <f>AND(#REF!,"AAAAAHv6bzg=")</f>
        <v>#REF!</v>
      </c>
      <c r="BF193" t="e">
        <f>AND(#REF!,"AAAAAHv6bzk=")</f>
        <v>#REF!</v>
      </c>
      <c r="BG193" t="e">
        <f>AND(#REF!,"AAAAAHv6bzo=")</f>
        <v>#REF!</v>
      </c>
      <c r="BH193" t="e">
        <f>AND(#REF!,"AAAAAHv6bzs=")</f>
        <v>#REF!</v>
      </c>
      <c r="BI193" t="e">
        <f>AND(#REF!,"AAAAAHv6bzw=")</f>
        <v>#REF!</v>
      </c>
      <c r="BJ193" t="e">
        <f>AND(#REF!,"AAAAAHv6bz0=")</f>
        <v>#REF!</v>
      </c>
      <c r="BK193" t="e">
        <f>AND(#REF!,"AAAAAHv6bz4=")</f>
        <v>#REF!</v>
      </c>
      <c r="BL193" t="e">
        <f>AND(#REF!,"AAAAAHv6bz8=")</f>
        <v>#REF!</v>
      </c>
      <c r="BM193" t="e">
        <f>AND(#REF!,"AAAAAHv6b0A=")</f>
        <v>#REF!</v>
      </c>
      <c r="BN193" t="e">
        <f>AND(#REF!,"AAAAAHv6b0E=")</f>
        <v>#REF!</v>
      </c>
      <c r="BO193" t="e">
        <f>AND(#REF!,"AAAAAHv6b0I=")</f>
        <v>#REF!</v>
      </c>
      <c r="BP193" t="e">
        <f>AND(#REF!,"AAAAAHv6b0M=")</f>
        <v>#REF!</v>
      </c>
      <c r="BQ193" t="e">
        <f>AND(#REF!,"AAAAAHv6b0Q=")</f>
        <v>#REF!</v>
      </c>
      <c r="BR193" t="e">
        <f>AND(#REF!,"AAAAAHv6b0U=")</f>
        <v>#REF!</v>
      </c>
      <c r="BS193" t="e">
        <f>AND(#REF!,"AAAAAHv6b0Y=")</f>
        <v>#REF!</v>
      </c>
      <c r="BT193" t="e">
        <f>AND(#REF!,"AAAAAHv6b0c=")</f>
        <v>#REF!</v>
      </c>
      <c r="BU193" t="e">
        <f>AND(#REF!,"AAAAAHv6b0g=")</f>
        <v>#REF!</v>
      </c>
      <c r="BV193" t="e">
        <f>AND(#REF!,"AAAAAHv6b0k=")</f>
        <v>#REF!</v>
      </c>
      <c r="BW193" t="e">
        <f>AND(#REF!,"AAAAAHv6b0o=")</f>
        <v>#REF!</v>
      </c>
      <c r="BX193" t="e">
        <f>AND(#REF!,"AAAAAHv6b0s=")</f>
        <v>#REF!</v>
      </c>
      <c r="BY193" t="e">
        <f>AND(#REF!,"AAAAAHv6b0w=")</f>
        <v>#REF!</v>
      </c>
      <c r="BZ193" t="e">
        <f>AND(#REF!,"AAAAAHv6b00=")</f>
        <v>#REF!</v>
      </c>
      <c r="CA193" t="e">
        <f>AND(#REF!,"AAAAAHv6b04=")</f>
        <v>#REF!</v>
      </c>
      <c r="CB193" t="e">
        <f>AND(#REF!,"AAAAAHv6b08=")</f>
        <v>#REF!</v>
      </c>
      <c r="CC193" t="e">
        <f>AND(#REF!,"AAAAAHv6b1A=")</f>
        <v>#REF!</v>
      </c>
      <c r="CD193" t="e">
        <f>AND(#REF!,"AAAAAHv6b1E=")</f>
        <v>#REF!</v>
      </c>
      <c r="CE193" t="e">
        <f>AND(#REF!,"AAAAAHv6b1I=")</f>
        <v>#REF!</v>
      </c>
      <c r="CF193" t="e">
        <f>AND(#REF!,"AAAAAHv6b1M=")</f>
        <v>#REF!</v>
      </c>
      <c r="CG193" t="e">
        <f>AND(#REF!,"AAAAAHv6b1Q=")</f>
        <v>#REF!</v>
      </c>
      <c r="CH193" t="e">
        <f>AND(#REF!,"AAAAAHv6b1U=")</f>
        <v>#REF!</v>
      </c>
      <c r="CI193" t="e">
        <f>AND(#REF!,"AAAAAHv6b1Y=")</f>
        <v>#REF!</v>
      </c>
      <c r="CJ193" t="e">
        <f>AND(#REF!,"AAAAAHv6b1c=")</f>
        <v>#REF!</v>
      </c>
      <c r="CK193" t="e">
        <f>AND(#REF!,"AAAAAHv6b1g=")</f>
        <v>#REF!</v>
      </c>
      <c r="CL193" t="e">
        <f>AND(#REF!,"AAAAAHv6b1k=")</f>
        <v>#REF!</v>
      </c>
      <c r="CM193" t="e">
        <f>AND(#REF!,"AAAAAHv6b1o=")</f>
        <v>#REF!</v>
      </c>
      <c r="CN193" t="e">
        <f>AND(#REF!,"AAAAAHv6b1s=")</f>
        <v>#REF!</v>
      </c>
      <c r="CO193" t="e">
        <f>AND(#REF!,"AAAAAHv6b1w=")</f>
        <v>#REF!</v>
      </c>
      <c r="CP193" t="e">
        <f>AND(#REF!,"AAAAAHv6b10=")</f>
        <v>#REF!</v>
      </c>
      <c r="CQ193" t="e">
        <f>AND(#REF!,"AAAAAHv6b14=")</f>
        <v>#REF!</v>
      </c>
      <c r="CR193" t="e">
        <f>AND(#REF!,"AAAAAHv6b18=")</f>
        <v>#REF!</v>
      </c>
      <c r="CS193" t="e">
        <f>AND(#REF!,"AAAAAHv6b2A=")</f>
        <v>#REF!</v>
      </c>
      <c r="CT193" t="e">
        <f>AND(#REF!,"AAAAAHv6b2E=")</f>
        <v>#REF!</v>
      </c>
      <c r="CU193" t="e">
        <f>AND(#REF!,"AAAAAHv6b2I=")</f>
        <v>#REF!</v>
      </c>
      <c r="CV193" t="e">
        <f>AND(#REF!,"AAAAAHv6b2M=")</f>
        <v>#REF!</v>
      </c>
      <c r="CW193" t="e">
        <f>AND(#REF!,"AAAAAHv6b2Q=")</f>
        <v>#REF!</v>
      </c>
      <c r="CX193" t="e">
        <f>AND(#REF!,"AAAAAHv6b2U=")</f>
        <v>#REF!</v>
      </c>
      <c r="CY193" t="e">
        <f>AND(#REF!,"AAAAAHv6b2Y=")</f>
        <v>#REF!</v>
      </c>
      <c r="CZ193" t="e">
        <f>AND(#REF!,"AAAAAHv6b2c=")</f>
        <v>#REF!</v>
      </c>
      <c r="DA193" t="e">
        <f>AND(#REF!,"AAAAAHv6b2g=")</f>
        <v>#REF!</v>
      </c>
      <c r="DB193" t="e">
        <f>AND(#REF!,"AAAAAHv6b2k=")</f>
        <v>#REF!</v>
      </c>
      <c r="DC193" t="e">
        <f>AND(#REF!,"AAAAAHv6b2o=")</f>
        <v>#REF!</v>
      </c>
      <c r="DD193" t="e">
        <f>AND(#REF!,"AAAAAHv6b2s=")</f>
        <v>#REF!</v>
      </c>
      <c r="DE193" t="e">
        <f>AND(#REF!,"AAAAAHv6b2w=")</f>
        <v>#REF!</v>
      </c>
      <c r="DF193" t="e">
        <f>AND(#REF!,"AAAAAHv6b20=")</f>
        <v>#REF!</v>
      </c>
      <c r="DG193" t="e">
        <f>AND(#REF!,"AAAAAHv6b24=")</f>
        <v>#REF!</v>
      </c>
      <c r="DH193" t="e">
        <f>AND(#REF!,"AAAAAHv6b28=")</f>
        <v>#REF!</v>
      </c>
      <c r="DI193" t="e">
        <f>AND(#REF!,"AAAAAHv6b3A=")</f>
        <v>#REF!</v>
      </c>
      <c r="DJ193" t="e">
        <f>AND(#REF!,"AAAAAHv6b3E=")</f>
        <v>#REF!</v>
      </c>
      <c r="DK193" t="e">
        <f>AND(#REF!,"AAAAAHv6b3I=")</f>
        <v>#REF!</v>
      </c>
      <c r="DL193" t="e">
        <f>AND(#REF!,"AAAAAHv6b3M=")</f>
        <v>#REF!</v>
      </c>
      <c r="DM193" t="e">
        <f>AND(#REF!,"AAAAAHv6b3Q=")</f>
        <v>#REF!</v>
      </c>
      <c r="DN193" t="e">
        <f>AND(#REF!,"AAAAAHv6b3U=")</f>
        <v>#REF!</v>
      </c>
      <c r="DO193" t="e">
        <f>AND(#REF!,"AAAAAHv6b3Y=")</f>
        <v>#REF!</v>
      </c>
      <c r="DP193" t="e">
        <f>AND(#REF!,"AAAAAHv6b3c=")</f>
        <v>#REF!</v>
      </c>
      <c r="DQ193" t="e">
        <f>AND(#REF!,"AAAAAHv6b3g=")</f>
        <v>#REF!</v>
      </c>
      <c r="DR193" t="e">
        <f>AND(#REF!,"AAAAAHv6b3k=")</f>
        <v>#REF!</v>
      </c>
      <c r="DS193" t="e">
        <f>AND(#REF!,"AAAAAHv6b3o=")</f>
        <v>#REF!</v>
      </c>
      <c r="DT193" t="e">
        <f>AND(#REF!,"AAAAAHv6b3s=")</f>
        <v>#REF!</v>
      </c>
      <c r="DU193" t="e">
        <f>AND(#REF!,"AAAAAHv6b3w=")</f>
        <v>#REF!</v>
      </c>
      <c r="DV193" t="e">
        <f>AND(#REF!,"AAAAAHv6b30=")</f>
        <v>#REF!</v>
      </c>
      <c r="DW193" t="e">
        <f>AND(#REF!,"AAAAAHv6b34=")</f>
        <v>#REF!</v>
      </c>
      <c r="DX193" t="e">
        <f>AND(#REF!,"AAAAAHv6b38=")</f>
        <v>#REF!</v>
      </c>
      <c r="DY193" t="e">
        <f>AND(#REF!,"AAAAAHv6b4A=")</f>
        <v>#REF!</v>
      </c>
      <c r="DZ193" t="e">
        <f>AND(#REF!,"AAAAAHv6b4E=")</f>
        <v>#REF!</v>
      </c>
      <c r="EA193" t="e">
        <f>AND(#REF!,"AAAAAHv6b4I=")</f>
        <v>#REF!</v>
      </c>
      <c r="EB193" t="e">
        <f>AND(#REF!,"AAAAAHv6b4M=")</f>
        <v>#REF!</v>
      </c>
      <c r="EC193" t="e">
        <f>AND(#REF!,"AAAAAHv6b4Q=")</f>
        <v>#REF!</v>
      </c>
      <c r="ED193" t="e">
        <f>AND(#REF!,"AAAAAHv6b4U=")</f>
        <v>#REF!</v>
      </c>
      <c r="EE193" t="e">
        <f>AND(#REF!,"AAAAAHv6b4Y=")</f>
        <v>#REF!</v>
      </c>
      <c r="EF193" t="e">
        <f>AND(#REF!,"AAAAAHv6b4c=")</f>
        <v>#REF!</v>
      </c>
      <c r="EG193" t="e">
        <f>AND(#REF!,"AAAAAHv6b4g=")</f>
        <v>#REF!</v>
      </c>
      <c r="EH193" t="e">
        <f>AND(#REF!,"AAAAAHv6b4k=")</f>
        <v>#REF!</v>
      </c>
      <c r="EI193" t="e">
        <f>AND(#REF!,"AAAAAHv6b4o=")</f>
        <v>#REF!</v>
      </c>
      <c r="EJ193" t="e">
        <f>AND(#REF!,"AAAAAHv6b4s=")</f>
        <v>#REF!</v>
      </c>
      <c r="EK193" t="e">
        <f>AND(#REF!,"AAAAAHv6b4w=")</f>
        <v>#REF!</v>
      </c>
      <c r="EL193" t="e">
        <f>AND(#REF!,"AAAAAHv6b40=")</f>
        <v>#REF!</v>
      </c>
      <c r="EM193" t="e">
        <f>AND(#REF!,"AAAAAHv6b44=")</f>
        <v>#REF!</v>
      </c>
      <c r="EN193" t="e">
        <f>AND(#REF!,"AAAAAHv6b48=")</f>
        <v>#REF!</v>
      </c>
      <c r="EO193" t="e">
        <f>AND(#REF!,"AAAAAHv6b5A=")</f>
        <v>#REF!</v>
      </c>
      <c r="EP193" t="e">
        <f>AND(#REF!,"AAAAAHv6b5E=")</f>
        <v>#REF!</v>
      </c>
      <c r="EQ193" t="e">
        <f>AND(#REF!,"AAAAAHv6b5I=")</f>
        <v>#REF!</v>
      </c>
      <c r="ER193" t="e">
        <f>AND(#REF!,"AAAAAHv6b5M=")</f>
        <v>#REF!</v>
      </c>
      <c r="ES193" t="e">
        <f>AND(#REF!,"AAAAAHv6b5Q=")</f>
        <v>#REF!</v>
      </c>
      <c r="ET193" t="e">
        <f>AND(#REF!,"AAAAAHv6b5U=")</f>
        <v>#REF!</v>
      </c>
      <c r="EU193" t="e">
        <f>AND(#REF!,"AAAAAHv6b5Y=")</f>
        <v>#REF!</v>
      </c>
      <c r="EV193" t="e">
        <f>AND(#REF!,"AAAAAHv6b5c=")</f>
        <v>#REF!</v>
      </c>
      <c r="EW193" t="e">
        <f>AND(#REF!,"AAAAAHv6b5g=")</f>
        <v>#REF!</v>
      </c>
      <c r="EX193" t="e">
        <f>AND(#REF!,"AAAAAHv6b5k=")</f>
        <v>#REF!</v>
      </c>
      <c r="EY193" t="e">
        <f>AND(#REF!,"AAAAAHv6b5o=")</f>
        <v>#REF!</v>
      </c>
      <c r="EZ193" t="e">
        <f>AND(#REF!,"AAAAAHv6b5s=")</f>
        <v>#REF!</v>
      </c>
      <c r="FA193" t="e">
        <f>IF(#REF!,"AAAAAHv6b5w=",0)</f>
        <v>#REF!</v>
      </c>
      <c r="FB193" t="e">
        <f>AND(#REF!,"AAAAAHv6b50=")</f>
        <v>#REF!</v>
      </c>
      <c r="FC193" t="e">
        <f>AND(#REF!,"AAAAAHv6b54=")</f>
        <v>#REF!</v>
      </c>
      <c r="FD193" t="e">
        <f>AND(#REF!,"AAAAAHv6b58=")</f>
        <v>#REF!</v>
      </c>
      <c r="FE193" t="e">
        <f>AND(#REF!,"AAAAAHv6b6A=")</f>
        <v>#REF!</v>
      </c>
      <c r="FF193" t="e">
        <f>AND(#REF!,"AAAAAHv6b6E=")</f>
        <v>#REF!</v>
      </c>
      <c r="FG193" t="e">
        <f>AND(#REF!,"AAAAAHv6b6I=")</f>
        <v>#REF!</v>
      </c>
      <c r="FH193" t="e">
        <f>AND(#REF!,"AAAAAHv6b6M=")</f>
        <v>#REF!</v>
      </c>
      <c r="FI193" t="e">
        <f>AND(#REF!,"AAAAAHv6b6Q=")</f>
        <v>#REF!</v>
      </c>
      <c r="FJ193" t="e">
        <f>AND(#REF!,"AAAAAHv6b6U=")</f>
        <v>#REF!</v>
      </c>
      <c r="FK193" t="e">
        <f>AND(#REF!,"AAAAAHv6b6Y=")</f>
        <v>#REF!</v>
      </c>
      <c r="FL193" t="e">
        <f>AND(#REF!,"AAAAAHv6b6c=")</f>
        <v>#REF!</v>
      </c>
      <c r="FM193" t="e">
        <f>AND(#REF!,"AAAAAHv6b6g=")</f>
        <v>#REF!</v>
      </c>
      <c r="FN193" t="e">
        <f>AND(#REF!,"AAAAAHv6b6k=")</f>
        <v>#REF!</v>
      </c>
      <c r="FO193" t="e">
        <f>AND(#REF!,"AAAAAHv6b6o=")</f>
        <v>#REF!</v>
      </c>
      <c r="FP193" t="e">
        <f>AND(#REF!,"AAAAAHv6b6s=")</f>
        <v>#REF!</v>
      </c>
      <c r="FQ193" t="e">
        <f>AND(#REF!,"AAAAAHv6b6w=")</f>
        <v>#REF!</v>
      </c>
      <c r="FR193" t="e">
        <f>AND(#REF!,"AAAAAHv6b60=")</f>
        <v>#REF!</v>
      </c>
      <c r="FS193" t="e">
        <f>AND(#REF!,"AAAAAHv6b64=")</f>
        <v>#REF!</v>
      </c>
      <c r="FT193" t="e">
        <f>AND(#REF!,"AAAAAHv6b68=")</f>
        <v>#REF!</v>
      </c>
      <c r="FU193" t="e">
        <f>AND(#REF!,"AAAAAHv6b7A=")</f>
        <v>#REF!</v>
      </c>
      <c r="FV193" t="e">
        <f>AND(#REF!,"AAAAAHv6b7E=")</f>
        <v>#REF!</v>
      </c>
      <c r="FW193" t="e">
        <f>AND(#REF!,"AAAAAHv6b7I=")</f>
        <v>#REF!</v>
      </c>
      <c r="FX193" t="e">
        <f>AND(#REF!,"AAAAAHv6b7M=")</f>
        <v>#REF!</v>
      </c>
      <c r="FY193" t="e">
        <f>AND(#REF!,"AAAAAHv6b7Q=")</f>
        <v>#REF!</v>
      </c>
      <c r="FZ193" t="e">
        <f>AND(#REF!,"AAAAAHv6b7U=")</f>
        <v>#REF!</v>
      </c>
      <c r="GA193" t="e">
        <f>AND(#REF!,"AAAAAHv6b7Y=")</f>
        <v>#REF!</v>
      </c>
      <c r="GB193" t="e">
        <f>AND(#REF!,"AAAAAHv6b7c=")</f>
        <v>#REF!</v>
      </c>
      <c r="GC193" t="e">
        <f>AND(#REF!,"AAAAAHv6b7g=")</f>
        <v>#REF!</v>
      </c>
      <c r="GD193" t="e">
        <f>AND(#REF!,"AAAAAHv6b7k=")</f>
        <v>#REF!</v>
      </c>
      <c r="GE193" t="e">
        <f>AND(#REF!,"AAAAAHv6b7o=")</f>
        <v>#REF!</v>
      </c>
      <c r="GF193" t="e">
        <f>AND(#REF!,"AAAAAHv6b7s=")</f>
        <v>#REF!</v>
      </c>
      <c r="GG193" t="e">
        <f>AND(#REF!,"AAAAAHv6b7w=")</f>
        <v>#REF!</v>
      </c>
      <c r="GH193" t="e">
        <f>AND(#REF!,"AAAAAHv6b70=")</f>
        <v>#REF!</v>
      </c>
      <c r="GI193" t="e">
        <f>AND(#REF!,"AAAAAHv6b74=")</f>
        <v>#REF!</v>
      </c>
      <c r="GJ193" t="e">
        <f>AND(#REF!,"AAAAAHv6b78=")</f>
        <v>#REF!</v>
      </c>
      <c r="GK193" t="e">
        <f>AND(#REF!,"AAAAAHv6b8A=")</f>
        <v>#REF!</v>
      </c>
      <c r="GL193" t="e">
        <f>AND(#REF!,"AAAAAHv6b8E=")</f>
        <v>#REF!</v>
      </c>
      <c r="GM193" t="e">
        <f>AND(#REF!,"AAAAAHv6b8I=")</f>
        <v>#REF!</v>
      </c>
      <c r="GN193" t="e">
        <f>AND(#REF!,"AAAAAHv6b8M=")</f>
        <v>#REF!</v>
      </c>
      <c r="GO193" t="e">
        <f>AND(#REF!,"AAAAAHv6b8Q=")</f>
        <v>#REF!</v>
      </c>
      <c r="GP193" t="e">
        <f>AND(#REF!,"AAAAAHv6b8U=")</f>
        <v>#REF!</v>
      </c>
      <c r="GQ193" t="e">
        <f>AND(#REF!,"AAAAAHv6b8Y=")</f>
        <v>#REF!</v>
      </c>
      <c r="GR193" t="e">
        <f>AND(#REF!,"AAAAAHv6b8c=")</f>
        <v>#REF!</v>
      </c>
      <c r="GS193" t="e">
        <f>AND(#REF!,"AAAAAHv6b8g=")</f>
        <v>#REF!</v>
      </c>
      <c r="GT193" t="e">
        <f>AND(#REF!,"AAAAAHv6b8k=")</f>
        <v>#REF!</v>
      </c>
      <c r="GU193" t="e">
        <f>IF(#REF!,"AAAAAHv6b8o=",0)</f>
        <v>#REF!</v>
      </c>
      <c r="GV193" t="e">
        <f>AND(#REF!,"AAAAAHv6b8s=")</f>
        <v>#REF!</v>
      </c>
      <c r="GW193" t="e">
        <f>AND(#REF!,"AAAAAHv6b8w=")</f>
        <v>#REF!</v>
      </c>
      <c r="GX193" t="e">
        <f>AND(#REF!,"AAAAAHv6b80=")</f>
        <v>#REF!</v>
      </c>
      <c r="GY193" t="e">
        <f>AND(#REF!,"AAAAAHv6b84=")</f>
        <v>#REF!</v>
      </c>
      <c r="GZ193" t="e">
        <f>AND(#REF!,"AAAAAHv6b88=")</f>
        <v>#REF!</v>
      </c>
      <c r="HA193" t="e">
        <f>AND(#REF!,"AAAAAHv6b9A=")</f>
        <v>#REF!</v>
      </c>
      <c r="HB193" t="e">
        <f>AND(#REF!,"AAAAAHv6b9E=")</f>
        <v>#REF!</v>
      </c>
      <c r="HC193" t="e">
        <f>AND(#REF!,"AAAAAHv6b9I=")</f>
        <v>#REF!</v>
      </c>
      <c r="HD193" t="e">
        <f>AND(#REF!,"AAAAAHv6b9M=")</f>
        <v>#REF!</v>
      </c>
      <c r="HE193" t="e">
        <f>AND(#REF!,"AAAAAHv6b9Q=")</f>
        <v>#REF!</v>
      </c>
      <c r="HF193" t="e">
        <f>AND(#REF!,"AAAAAHv6b9U=")</f>
        <v>#REF!</v>
      </c>
      <c r="HG193" t="e">
        <f>AND(#REF!,"AAAAAHv6b9Y=")</f>
        <v>#REF!</v>
      </c>
      <c r="HH193" t="e">
        <f>AND(#REF!,"AAAAAHv6b9c=")</f>
        <v>#REF!</v>
      </c>
      <c r="HI193" t="e">
        <f>AND(#REF!,"AAAAAHv6b9g=")</f>
        <v>#REF!</v>
      </c>
      <c r="HJ193" t="e">
        <f>AND(#REF!,"AAAAAHv6b9k=")</f>
        <v>#REF!</v>
      </c>
      <c r="HK193" t="e">
        <f>AND(#REF!,"AAAAAHv6b9o=")</f>
        <v>#REF!</v>
      </c>
      <c r="HL193" t="e">
        <f>AND(#REF!,"AAAAAHv6b9s=")</f>
        <v>#REF!</v>
      </c>
      <c r="HM193" t="e">
        <f>AND(#REF!,"AAAAAHv6b9w=")</f>
        <v>#REF!</v>
      </c>
      <c r="HN193" t="e">
        <f>AND(#REF!,"AAAAAHv6b90=")</f>
        <v>#REF!</v>
      </c>
      <c r="HO193" t="e">
        <f>AND(#REF!,"AAAAAHv6b94=")</f>
        <v>#REF!</v>
      </c>
      <c r="HP193" t="e">
        <f>AND(#REF!,"AAAAAHv6b98=")</f>
        <v>#REF!</v>
      </c>
      <c r="HQ193" t="e">
        <f>AND(#REF!,"AAAAAHv6b+A=")</f>
        <v>#REF!</v>
      </c>
      <c r="HR193" t="e">
        <f>AND(#REF!,"AAAAAHv6b+E=")</f>
        <v>#REF!</v>
      </c>
      <c r="HS193" t="e">
        <f>AND(#REF!,"AAAAAHv6b+I=")</f>
        <v>#REF!</v>
      </c>
      <c r="HT193" t="e">
        <f>AND(#REF!,"AAAAAHv6b+M=")</f>
        <v>#REF!</v>
      </c>
      <c r="HU193" t="e">
        <f>AND(#REF!,"AAAAAHv6b+Q=")</f>
        <v>#REF!</v>
      </c>
      <c r="HV193" t="e">
        <f>AND(#REF!,"AAAAAHv6b+U=")</f>
        <v>#REF!</v>
      </c>
      <c r="HW193" t="e">
        <f>AND(#REF!,"AAAAAHv6b+Y=")</f>
        <v>#REF!</v>
      </c>
      <c r="HX193" t="e">
        <f>AND(#REF!,"AAAAAHv6b+c=")</f>
        <v>#REF!</v>
      </c>
      <c r="HY193" t="e">
        <f>AND(#REF!,"AAAAAHv6b+g=")</f>
        <v>#REF!</v>
      </c>
      <c r="HZ193" t="e">
        <f>AND(#REF!,"AAAAAHv6b+k=")</f>
        <v>#REF!</v>
      </c>
      <c r="IA193" t="e">
        <f>AND(#REF!,"AAAAAHv6b+o=")</f>
        <v>#REF!</v>
      </c>
      <c r="IB193" t="e">
        <f>AND(#REF!,"AAAAAHv6b+s=")</f>
        <v>#REF!</v>
      </c>
      <c r="IC193" t="e">
        <f>AND(#REF!,"AAAAAHv6b+w=")</f>
        <v>#REF!</v>
      </c>
      <c r="ID193" t="e">
        <f>AND(#REF!,"AAAAAHv6b+0=")</f>
        <v>#REF!</v>
      </c>
      <c r="IE193" t="e">
        <f>AND(#REF!,"AAAAAHv6b+4=")</f>
        <v>#REF!</v>
      </c>
      <c r="IF193" t="e">
        <f>AND(#REF!,"AAAAAHv6b+8=")</f>
        <v>#REF!</v>
      </c>
      <c r="IG193" t="e">
        <f>AND(#REF!,"AAAAAHv6b/A=")</f>
        <v>#REF!</v>
      </c>
      <c r="IH193" t="e">
        <f>AND(#REF!,"AAAAAHv6b/E=")</f>
        <v>#REF!</v>
      </c>
      <c r="II193" t="e">
        <f>AND(#REF!,"AAAAAHv6b/I=")</f>
        <v>#REF!</v>
      </c>
      <c r="IJ193" t="e">
        <f>AND(#REF!,"AAAAAHv6b/M=")</f>
        <v>#REF!</v>
      </c>
      <c r="IK193" t="e">
        <f>AND(#REF!,"AAAAAHv6b/Q=")</f>
        <v>#REF!</v>
      </c>
      <c r="IL193" t="e">
        <f>AND(#REF!,"AAAAAHv6b/U=")</f>
        <v>#REF!</v>
      </c>
      <c r="IM193" t="e">
        <f>AND(#REF!,"AAAAAHv6b/Y=")</f>
        <v>#REF!</v>
      </c>
      <c r="IN193" t="e">
        <f>AND(#REF!,"AAAAAHv6b/c=")</f>
        <v>#REF!</v>
      </c>
      <c r="IO193" t="e">
        <f>IF(#REF!,"AAAAAHv6b/g=",0)</f>
        <v>#REF!</v>
      </c>
      <c r="IP193" t="e">
        <f>AND(#REF!,"AAAAAHv6b/k=")</f>
        <v>#REF!</v>
      </c>
      <c r="IQ193" t="e">
        <f>AND(#REF!,"AAAAAHv6b/o=")</f>
        <v>#REF!</v>
      </c>
      <c r="IR193" t="e">
        <f>AND(#REF!,"AAAAAHv6b/s=")</f>
        <v>#REF!</v>
      </c>
      <c r="IS193" t="e">
        <f>AND(#REF!,"AAAAAHv6b/w=")</f>
        <v>#REF!</v>
      </c>
      <c r="IT193" t="e">
        <f>AND(#REF!,"AAAAAHv6b/0=")</f>
        <v>#REF!</v>
      </c>
      <c r="IU193" t="e">
        <f>AND(#REF!,"AAAAAHv6b/4=")</f>
        <v>#REF!</v>
      </c>
      <c r="IV193" t="e">
        <f>AND(#REF!,"AAAAAHv6b/8=")</f>
        <v>#REF!</v>
      </c>
    </row>
    <row r="194" spans="1:256" x14ac:dyDescent="0.25">
      <c r="A194" t="e">
        <f>AND(#REF!,"AAAAAD9b1wA=")</f>
        <v>#REF!</v>
      </c>
      <c r="B194" t="e">
        <f>AND(#REF!,"AAAAAD9b1wE=")</f>
        <v>#REF!</v>
      </c>
      <c r="C194" t="e">
        <f>AND(#REF!,"AAAAAD9b1wI=")</f>
        <v>#REF!</v>
      </c>
      <c r="D194" t="e">
        <f>AND(#REF!,"AAAAAD9b1wM=")</f>
        <v>#REF!</v>
      </c>
      <c r="E194" t="e">
        <f>AND(#REF!,"AAAAAD9b1wQ=")</f>
        <v>#REF!</v>
      </c>
      <c r="F194" t="e">
        <f>AND(#REF!,"AAAAAD9b1wU=")</f>
        <v>#REF!</v>
      </c>
      <c r="G194" t="e">
        <f>AND(#REF!,"AAAAAD9b1wY=")</f>
        <v>#REF!</v>
      </c>
      <c r="H194" t="e">
        <f>AND(#REF!,"AAAAAD9b1wc=")</f>
        <v>#REF!</v>
      </c>
      <c r="I194" t="e">
        <f>AND(#REF!,"AAAAAD9b1wg=")</f>
        <v>#REF!</v>
      </c>
      <c r="J194" t="e">
        <f>AND(#REF!,"AAAAAD9b1wk=")</f>
        <v>#REF!</v>
      </c>
      <c r="K194" t="e">
        <f>AND(#REF!,"AAAAAD9b1wo=")</f>
        <v>#REF!</v>
      </c>
      <c r="L194" t="e">
        <f>AND(#REF!,"AAAAAD9b1ws=")</f>
        <v>#REF!</v>
      </c>
      <c r="M194" t="e">
        <f>AND(#REF!,"AAAAAD9b1ww=")</f>
        <v>#REF!</v>
      </c>
      <c r="N194" t="e">
        <f>AND(#REF!,"AAAAAD9b1w0=")</f>
        <v>#REF!</v>
      </c>
      <c r="O194" t="e">
        <f>AND(#REF!,"AAAAAD9b1w4=")</f>
        <v>#REF!</v>
      </c>
      <c r="P194" t="e">
        <f>AND(#REF!,"AAAAAD9b1w8=")</f>
        <v>#REF!</v>
      </c>
      <c r="Q194" t="e">
        <f>AND(#REF!,"AAAAAD9b1xA=")</f>
        <v>#REF!</v>
      </c>
      <c r="R194" t="e">
        <f>AND(#REF!,"AAAAAD9b1xE=")</f>
        <v>#REF!</v>
      </c>
      <c r="S194" t="e">
        <f>AND(#REF!,"AAAAAD9b1xI=")</f>
        <v>#REF!</v>
      </c>
      <c r="T194" t="e">
        <f>AND(#REF!,"AAAAAD9b1xM=")</f>
        <v>#REF!</v>
      </c>
      <c r="U194" t="e">
        <f>AND(#REF!,"AAAAAD9b1xQ=")</f>
        <v>#REF!</v>
      </c>
      <c r="V194" t="e">
        <f>AND(#REF!,"AAAAAD9b1xU=")</f>
        <v>#REF!</v>
      </c>
      <c r="W194" t="e">
        <f>AND(#REF!,"AAAAAD9b1xY=")</f>
        <v>#REF!</v>
      </c>
      <c r="X194" t="e">
        <f>AND(#REF!,"AAAAAD9b1xc=")</f>
        <v>#REF!</v>
      </c>
      <c r="Y194" t="e">
        <f>AND(#REF!,"AAAAAD9b1xg=")</f>
        <v>#REF!</v>
      </c>
      <c r="Z194" t="e">
        <f>AND(#REF!,"AAAAAD9b1xk=")</f>
        <v>#REF!</v>
      </c>
      <c r="AA194" t="e">
        <f>AND(#REF!,"AAAAAD9b1xo=")</f>
        <v>#REF!</v>
      </c>
      <c r="AB194" t="e">
        <f>AND(#REF!,"AAAAAD9b1xs=")</f>
        <v>#REF!</v>
      </c>
      <c r="AC194" t="e">
        <f>AND(#REF!,"AAAAAD9b1xw=")</f>
        <v>#REF!</v>
      </c>
      <c r="AD194" t="e">
        <f>AND(#REF!,"AAAAAD9b1x0=")</f>
        <v>#REF!</v>
      </c>
      <c r="AE194" t="e">
        <f>AND(#REF!,"AAAAAD9b1x4=")</f>
        <v>#REF!</v>
      </c>
      <c r="AF194" t="e">
        <f>AND(#REF!,"AAAAAD9b1x8=")</f>
        <v>#REF!</v>
      </c>
      <c r="AG194" t="e">
        <f>AND(#REF!,"AAAAAD9b1yA=")</f>
        <v>#REF!</v>
      </c>
      <c r="AH194" t="e">
        <f>AND(#REF!,"AAAAAD9b1yE=")</f>
        <v>#REF!</v>
      </c>
      <c r="AI194" t="e">
        <f>AND(#REF!,"AAAAAD9b1yI=")</f>
        <v>#REF!</v>
      </c>
      <c r="AJ194" t="e">
        <f>AND(#REF!,"AAAAAD9b1yM=")</f>
        <v>#REF!</v>
      </c>
      <c r="AK194" t="e">
        <f>AND(#REF!,"AAAAAD9b1yQ=")</f>
        <v>#REF!</v>
      </c>
      <c r="AL194" t="e">
        <f>AND(#REF!,"AAAAAD9b1yU=")</f>
        <v>#REF!</v>
      </c>
      <c r="AM194" t="e">
        <f>IF(#REF!,"AAAAAD9b1yY=",0)</f>
        <v>#REF!</v>
      </c>
      <c r="AN194" t="e">
        <f>AND(#REF!,"AAAAAD9b1yc=")</f>
        <v>#REF!</v>
      </c>
      <c r="AO194" t="e">
        <f>AND(#REF!,"AAAAAD9b1yg=")</f>
        <v>#REF!</v>
      </c>
      <c r="AP194" t="e">
        <f>AND(#REF!,"AAAAAD9b1yk=")</f>
        <v>#REF!</v>
      </c>
      <c r="AQ194" t="e">
        <f>AND(#REF!,"AAAAAD9b1yo=")</f>
        <v>#REF!</v>
      </c>
      <c r="AR194" t="e">
        <f>AND(#REF!,"AAAAAD9b1ys=")</f>
        <v>#REF!</v>
      </c>
      <c r="AS194" t="e">
        <f>AND(#REF!,"AAAAAD9b1yw=")</f>
        <v>#REF!</v>
      </c>
      <c r="AT194" t="e">
        <f>AND(#REF!,"AAAAAD9b1y0=")</f>
        <v>#REF!</v>
      </c>
      <c r="AU194" t="e">
        <f>AND(#REF!,"AAAAAD9b1y4=")</f>
        <v>#REF!</v>
      </c>
      <c r="AV194" t="e">
        <f>AND(#REF!,"AAAAAD9b1y8=")</f>
        <v>#REF!</v>
      </c>
      <c r="AW194" t="e">
        <f>AND(#REF!,"AAAAAD9b1zA=")</f>
        <v>#REF!</v>
      </c>
      <c r="AX194" t="e">
        <f>AND(#REF!,"AAAAAD9b1zE=")</f>
        <v>#REF!</v>
      </c>
      <c r="AY194" t="e">
        <f>AND(#REF!,"AAAAAD9b1zI=")</f>
        <v>#REF!</v>
      </c>
      <c r="AZ194" t="e">
        <f>AND(#REF!,"AAAAAD9b1zM=")</f>
        <v>#REF!</v>
      </c>
      <c r="BA194" t="e">
        <f>AND(#REF!,"AAAAAD9b1zQ=")</f>
        <v>#REF!</v>
      </c>
      <c r="BB194" t="e">
        <f>AND(#REF!,"AAAAAD9b1zU=")</f>
        <v>#REF!</v>
      </c>
      <c r="BC194" t="e">
        <f>AND(#REF!,"AAAAAD9b1zY=")</f>
        <v>#REF!</v>
      </c>
      <c r="BD194" t="e">
        <f>AND(#REF!,"AAAAAD9b1zc=")</f>
        <v>#REF!</v>
      </c>
      <c r="BE194" t="e">
        <f>AND(#REF!,"AAAAAD9b1zg=")</f>
        <v>#REF!</v>
      </c>
      <c r="BF194" t="e">
        <f>AND(#REF!,"AAAAAD9b1zk=")</f>
        <v>#REF!</v>
      </c>
      <c r="BG194" t="e">
        <f>AND(#REF!,"AAAAAD9b1zo=")</f>
        <v>#REF!</v>
      </c>
      <c r="BH194" t="e">
        <f>AND(#REF!,"AAAAAD9b1zs=")</f>
        <v>#REF!</v>
      </c>
      <c r="BI194" t="e">
        <f>AND(#REF!,"AAAAAD9b1zw=")</f>
        <v>#REF!</v>
      </c>
      <c r="BJ194" t="e">
        <f>AND(#REF!,"AAAAAD9b1z0=")</f>
        <v>#REF!</v>
      </c>
      <c r="BK194" t="e">
        <f>AND(#REF!,"AAAAAD9b1z4=")</f>
        <v>#REF!</v>
      </c>
      <c r="BL194" t="e">
        <f>AND(#REF!,"AAAAAD9b1z8=")</f>
        <v>#REF!</v>
      </c>
      <c r="BM194" t="e">
        <f>AND(#REF!,"AAAAAD9b10A=")</f>
        <v>#REF!</v>
      </c>
      <c r="BN194" t="e">
        <f>AND(#REF!,"AAAAAD9b10E=")</f>
        <v>#REF!</v>
      </c>
      <c r="BO194" t="e">
        <f>AND(#REF!,"AAAAAD9b10I=")</f>
        <v>#REF!</v>
      </c>
      <c r="BP194" t="e">
        <f>AND(#REF!,"AAAAAD9b10M=")</f>
        <v>#REF!</v>
      </c>
      <c r="BQ194" t="e">
        <f>AND(#REF!,"AAAAAD9b10Q=")</f>
        <v>#REF!</v>
      </c>
      <c r="BR194" t="e">
        <f>AND(#REF!,"AAAAAD9b10U=")</f>
        <v>#REF!</v>
      </c>
      <c r="BS194" t="e">
        <f>AND(#REF!,"AAAAAD9b10Y=")</f>
        <v>#REF!</v>
      </c>
      <c r="BT194" t="e">
        <f>AND(#REF!,"AAAAAD9b10c=")</f>
        <v>#REF!</v>
      </c>
      <c r="BU194" t="e">
        <f>AND(#REF!,"AAAAAD9b10g=")</f>
        <v>#REF!</v>
      </c>
      <c r="BV194" t="e">
        <f>AND(#REF!,"AAAAAD9b10k=")</f>
        <v>#REF!</v>
      </c>
      <c r="BW194" t="e">
        <f>AND(#REF!,"AAAAAD9b10o=")</f>
        <v>#REF!</v>
      </c>
      <c r="BX194" t="e">
        <f>AND(#REF!,"AAAAAD9b10s=")</f>
        <v>#REF!</v>
      </c>
      <c r="BY194" t="e">
        <f>AND(#REF!,"AAAAAD9b10w=")</f>
        <v>#REF!</v>
      </c>
      <c r="BZ194" t="e">
        <f>AND(#REF!,"AAAAAD9b100=")</f>
        <v>#REF!</v>
      </c>
      <c r="CA194" t="e">
        <f>AND(#REF!,"AAAAAD9b104=")</f>
        <v>#REF!</v>
      </c>
      <c r="CB194" t="e">
        <f>AND(#REF!,"AAAAAD9b108=")</f>
        <v>#REF!</v>
      </c>
      <c r="CC194" t="e">
        <f>AND(#REF!,"AAAAAD9b11A=")</f>
        <v>#REF!</v>
      </c>
      <c r="CD194" t="e">
        <f>AND(#REF!,"AAAAAD9b11E=")</f>
        <v>#REF!</v>
      </c>
      <c r="CE194" t="e">
        <f>AND(#REF!,"AAAAAD9b11I=")</f>
        <v>#REF!</v>
      </c>
      <c r="CF194" t="e">
        <f>AND(#REF!,"AAAAAD9b11M=")</f>
        <v>#REF!</v>
      </c>
      <c r="CG194" t="e">
        <f>IF(#REF!,"AAAAAD9b11Q=",0)</f>
        <v>#REF!</v>
      </c>
      <c r="CH194" t="e">
        <f>AND(#REF!,"AAAAAD9b11U=")</f>
        <v>#REF!</v>
      </c>
      <c r="CI194" t="e">
        <f>AND(#REF!,"AAAAAD9b11Y=")</f>
        <v>#REF!</v>
      </c>
      <c r="CJ194" t="e">
        <f>AND(#REF!,"AAAAAD9b11c=")</f>
        <v>#REF!</v>
      </c>
      <c r="CK194" t="e">
        <f>AND(#REF!,"AAAAAD9b11g=")</f>
        <v>#REF!</v>
      </c>
      <c r="CL194" t="e">
        <f>AND(#REF!,"AAAAAD9b11k=")</f>
        <v>#REF!</v>
      </c>
      <c r="CM194" t="e">
        <f>AND(#REF!,"AAAAAD9b11o=")</f>
        <v>#REF!</v>
      </c>
      <c r="CN194" t="e">
        <f>AND(#REF!,"AAAAAD9b11s=")</f>
        <v>#REF!</v>
      </c>
      <c r="CO194" t="e">
        <f>AND(#REF!,"AAAAAD9b11w=")</f>
        <v>#REF!</v>
      </c>
      <c r="CP194" t="e">
        <f>AND(#REF!,"AAAAAD9b110=")</f>
        <v>#REF!</v>
      </c>
      <c r="CQ194" t="e">
        <f>AND(#REF!,"AAAAAD9b114=")</f>
        <v>#REF!</v>
      </c>
      <c r="CR194" t="e">
        <f>AND(#REF!,"AAAAAD9b118=")</f>
        <v>#REF!</v>
      </c>
      <c r="CS194" t="e">
        <f>AND(#REF!,"AAAAAD9b12A=")</f>
        <v>#REF!</v>
      </c>
      <c r="CT194" t="e">
        <f>AND(#REF!,"AAAAAD9b12E=")</f>
        <v>#REF!</v>
      </c>
      <c r="CU194" t="e">
        <f>AND(#REF!,"AAAAAD9b12I=")</f>
        <v>#REF!</v>
      </c>
      <c r="CV194" t="e">
        <f>AND(#REF!,"AAAAAD9b12M=")</f>
        <v>#REF!</v>
      </c>
      <c r="CW194" t="e">
        <f>AND(#REF!,"AAAAAD9b12Q=")</f>
        <v>#REF!</v>
      </c>
      <c r="CX194" t="e">
        <f>AND(#REF!,"AAAAAD9b12U=")</f>
        <v>#REF!</v>
      </c>
      <c r="CY194" t="e">
        <f>AND(#REF!,"AAAAAD9b12Y=")</f>
        <v>#REF!</v>
      </c>
      <c r="CZ194" t="e">
        <f>AND(#REF!,"AAAAAD9b12c=")</f>
        <v>#REF!</v>
      </c>
      <c r="DA194" t="e">
        <f>AND(#REF!,"AAAAAD9b12g=")</f>
        <v>#REF!</v>
      </c>
      <c r="DB194" t="e">
        <f>AND(#REF!,"AAAAAD9b12k=")</f>
        <v>#REF!</v>
      </c>
      <c r="DC194" t="e">
        <f>AND(#REF!,"AAAAAD9b12o=")</f>
        <v>#REF!</v>
      </c>
      <c r="DD194" t="e">
        <f>AND(#REF!,"AAAAAD9b12s=")</f>
        <v>#REF!</v>
      </c>
      <c r="DE194" t="e">
        <f>AND(#REF!,"AAAAAD9b12w=")</f>
        <v>#REF!</v>
      </c>
      <c r="DF194" t="e">
        <f>AND(#REF!,"AAAAAD9b120=")</f>
        <v>#REF!</v>
      </c>
      <c r="DG194" t="e">
        <f>AND(#REF!,"AAAAAD9b124=")</f>
        <v>#REF!</v>
      </c>
      <c r="DH194" t="e">
        <f>AND(#REF!,"AAAAAD9b128=")</f>
        <v>#REF!</v>
      </c>
      <c r="DI194" t="e">
        <f>AND(#REF!,"AAAAAD9b13A=")</f>
        <v>#REF!</v>
      </c>
      <c r="DJ194" t="e">
        <f>AND(#REF!,"AAAAAD9b13E=")</f>
        <v>#REF!</v>
      </c>
      <c r="DK194" t="e">
        <f>AND(#REF!,"AAAAAD9b13I=")</f>
        <v>#REF!</v>
      </c>
      <c r="DL194" t="e">
        <f>AND(#REF!,"AAAAAD9b13M=")</f>
        <v>#REF!</v>
      </c>
      <c r="DM194" t="e">
        <f>AND(#REF!,"AAAAAD9b13Q=")</f>
        <v>#REF!</v>
      </c>
      <c r="DN194" t="e">
        <f>AND(#REF!,"AAAAAD9b13U=")</f>
        <v>#REF!</v>
      </c>
      <c r="DO194" t="e">
        <f>AND(#REF!,"AAAAAD9b13Y=")</f>
        <v>#REF!</v>
      </c>
      <c r="DP194" t="e">
        <f>AND(#REF!,"AAAAAD9b13c=")</f>
        <v>#REF!</v>
      </c>
      <c r="DQ194" t="e">
        <f>AND(#REF!,"AAAAAD9b13g=")</f>
        <v>#REF!</v>
      </c>
      <c r="DR194" t="e">
        <f>AND(#REF!,"AAAAAD9b13k=")</f>
        <v>#REF!</v>
      </c>
      <c r="DS194" t="e">
        <f>AND(#REF!,"AAAAAD9b13o=")</f>
        <v>#REF!</v>
      </c>
      <c r="DT194" t="e">
        <f>AND(#REF!,"AAAAAD9b13s=")</f>
        <v>#REF!</v>
      </c>
      <c r="DU194" t="e">
        <f>AND(#REF!,"AAAAAD9b13w=")</f>
        <v>#REF!</v>
      </c>
      <c r="DV194" t="e">
        <f>AND(#REF!,"AAAAAD9b130=")</f>
        <v>#REF!</v>
      </c>
      <c r="DW194" t="e">
        <f>AND(#REF!,"AAAAAD9b134=")</f>
        <v>#REF!</v>
      </c>
      <c r="DX194" t="e">
        <f>AND(#REF!,"AAAAAD9b138=")</f>
        <v>#REF!</v>
      </c>
      <c r="DY194" t="e">
        <f>AND(#REF!,"AAAAAD9b14A=")</f>
        <v>#REF!</v>
      </c>
      <c r="DZ194" t="e">
        <f>AND(#REF!,"AAAAAD9b14E=")</f>
        <v>#REF!</v>
      </c>
      <c r="EA194" t="e">
        <f>IF(#REF!,"AAAAAD9b14I=",0)</f>
        <v>#REF!</v>
      </c>
      <c r="EB194" t="e">
        <f>AND(#REF!,"AAAAAD9b14M=")</f>
        <v>#REF!</v>
      </c>
      <c r="EC194" t="e">
        <f>AND(#REF!,"AAAAAD9b14Q=")</f>
        <v>#REF!</v>
      </c>
      <c r="ED194" t="e">
        <f>AND(#REF!,"AAAAAD9b14U=")</f>
        <v>#REF!</v>
      </c>
      <c r="EE194" t="e">
        <f>AND(#REF!,"AAAAAD9b14Y=")</f>
        <v>#REF!</v>
      </c>
      <c r="EF194" t="e">
        <f>AND(#REF!,"AAAAAD9b14c=")</f>
        <v>#REF!</v>
      </c>
      <c r="EG194" t="e">
        <f>AND(#REF!,"AAAAAD9b14g=")</f>
        <v>#REF!</v>
      </c>
      <c r="EH194" t="e">
        <f>AND(#REF!,"AAAAAD9b14k=")</f>
        <v>#REF!</v>
      </c>
      <c r="EI194" t="e">
        <f>AND(#REF!,"AAAAAD9b14o=")</f>
        <v>#REF!</v>
      </c>
      <c r="EJ194" t="e">
        <f>AND(#REF!,"AAAAAD9b14s=")</f>
        <v>#REF!</v>
      </c>
      <c r="EK194" t="e">
        <f>AND(#REF!,"AAAAAD9b14w=")</f>
        <v>#REF!</v>
      </c>
      <c r="EL194" t="e">
        <f>AND(#REF!,"AAAAAD9b140=")</f>
        <v>#REF!</v>
      </c>
      <c r="EM194" t="e">
        <f>AND(#REF!,"AAAAAD9b144=")</f>
        <v>#REF!</v>
      </c>
      <c r="EN194" t="e">
        <f>AND(#REF!,"AAAAAD9b148=")</f>
        <v>#REF!</v>
      </c>
      <c r="EO194" t="e">
        <f>AND(#REF!,"AAAAAD9b15A=")</f>
        <v>#REF!</v>
      </c>
      <c r="EP194" t="e">
        <f>AND(#REF!,"AAAAAD9b15E=")</f>
        <v>#REF!</v>
      </c>
      <c r="EQ194" t="e">
        <f>AND(#REF!,"AAAAAD9b15I=")</f>
        <v>#REF!</v>
      </c>
      <c r="ER194" t="e">
        <f>AND(#REF!,"AAAAAD9b15M=")</f>
        <v>#REF!</v>
      </c>
      <c r="ES194" t="e">
        <f>AND(#REF!,"AAAAAD9b15Q=")</f>
        <v>#REF!</v>
      </c>
      <c r="ET194" t="e">
        <f>AND(#REF!,"AAAAAD9b15U=")</f>
        <v>#REF!</v>
      </c>
      <c r="EU194" t="e">
        <f>AND(#REF!,"AAAAAD9b15Y=")</f>
        <v>#REF!</v>
      </c>
      <c r="EV194" t="e">
        <f>AND(#REF!,"AAAAAD9b15c=")</f>
        <v>#REF!</v>
      </c>
      <c r="EW194" t="e">
        <f>AND(#REF!,"AAAAAD9b15g=")</f>
        <v>#REF!</v>
      </c>
      <c r="EX194" t="e">
        <f>AND(#REF!,"AAAAAD9b15k=")</f>
        <v>#REF!</v>
      </c>
      <c r="EY194" t="e">
        <f>AND(#REF!,"AAAAAD9b15o=")</f>
        <v>#REF!</v>
      </c>
      <c r="EZ194" t="e">
        <f>AND(#REF!,"AAAAAD9b15s=")</f>
        <v>#REF!</v>
      </c>
      <c r="FA194" t="e">
        <f>AND(#REF!,"AAAAAD9b15w=")</f>
        <v>#REF!</v>
      </c>
      <c r="FB194" t="e">
        <f>AND(#REF!,"AAAAAD9b150=")</f>
        <v>#REF!</v>
      </c>
      <c r="FC194" t="e">
        <f>AND(#REF!,"AAAAAD9b154=")</f>
        <v>#REF!</v>
      </c>
      <c r="FD194" t="e">
        <f>AND(#REF!,"AAAAAD9b158=")</f>
        <v>#REF!</v>
      </c>
      <c r="FE194" t="e">
        <f>AND(#REF!,"AAAAAD9b16A=")</f>
        <v>#REF!</v>
      </c>
      <c r="FF194" t="e">
        <f>AND(#REF!,"AAAAAD9b16E=")</f>
        <v>#REF!</v>
      </c>
      <c r="FG194" t="e">
        <f>AND(#REF!,"AAAAAD9b16I=")</f>
        <v>#REF!</v>
      </c>
      <c r="FH194" t="e">
        <f>AND(#REF!,"AAAAAD9b16M=")</f>
        <v>#REF!</v>
      </c>
      <c r="FI194" t="e">
        <f>AND(#REF!,"AAAAAD9b16Q=")</f>
        <v>#REF!</v>
      </c>
      <c r="FJ194" t="e">
        <f>AND(#REF!,"AAAAAD9b16U=")</f>
        <v>#REF!</v>
      </c>
      <c r="FK194" t="e">
        <f>AND(#REF!,"AAAAAD9b16Y=")</f>
        <v>#REF!</v>
      </c>
      <c r="FL194" t="e">
        <f>AND(#REF!,"AAAAAD9b16c=")</f>
        <v>#REF!</v>
      </c>
      <c r="FM194" t="e">
        <f>AND(#REF!,"AAAAAD9b16g=")</f>
        <v>#REF!</v>
      </c>
      <c r="FN194" t="e">
        <f>AND(#REF!,"AAAAAD9b16k=")</f>
        <v>#REF!</v>
      </c>
      <c r="FO194" t="e">
        <f>AND(#REF!,"AAAAAD9b16o=")</f>
        <v>#REF!</v>
      </c>
      <c r="FP194" t="e">
        <f>AND(#REF!,"AAAAAD9b16s=")</f>
        <v>#REF!</v>
      </c>
      <c r="FQ194" t="e">
        <f>AND(#REF!,"AAAAAD9b16w=")</f>
        <v>#REF!</v>
      </c>
      <c r="FR194" t="e">
        <f>AND(#REF!,"AAAAAD9b160=")</f>
        <v>#REF!</v>
      </c>
      <c r="FS194" t="e">
        <f>AND(#REF!,"AAAAAD9b164=")</f>
        <v>#REF!</v>
      </c>
      <c r="FT194" t="e">
        <f>AND(#REF!,"AAAAAD9b168=")</f>
        <v>#REF!</v>
      </c>
      <c r="FU194" t="e">
        <f>IF(#REF!,"AAAAAD9b17A=",0)</f>
        <v>#REF!</v>
      </c>
      <c r="FV194" t="e">
        <f>IF(#REF!,"AAAAAD9b17E=",0)</f>
        <v>#REF!</v>
      </c>
      <c r="FW194" t="e">
        <f>AND(#REF!,"AAAAAD9b17I=")</f>
        <v>#REF!</v>
      </c>
      <c r="FX194" t="e">
        <f>AND(#REF!,"AAAAAD9b17M=")</f>
        <v>#REF!</v>
      </c>
      <c r="FY194" t="e">
        <f>AND(#REF!,"AAAAAD9b17Q=")</f>
        <v>#REF!</v>
      </c>
      <c r="FZ194" t="e">
        <f>AND(#REF!,"AAAAAD9b17U=")</f>
        <v>#REF!</v>
      </c>
      <c r="GA194" t="e">
        <f>AND(#REF!,"AAAAAD9b17Y=")</f>
        <v>#REF!</v>
      </c>
      <c r="GB194" t="e">
        <f>AND(#REF!,"AAAAAD9b17c=")</f>
        <v>#REF!</v>
      </c>
      <c r="GC194" t="e">
        <f>AND(#REF!,"AAAAAD9b17g=")</f>
        <v>#REF!</v>
      </c>
      <c r="GD194" t="e">
        <f>AND(#REF!,"AAAAAD9b17k=")</f>
        <v>#REF!</v>
      </c>
      <c r="GE194" t="e">
        <f>AND(#REF!,"AAAAAD9b17o=")</f>
        <v>#REF!</v>
      </c>
      <c r="GF194" t="e">
        <f>AND(#REF!,"AAAAAD9b17s=")</f>
        <v>#REF!</v>
      </c>
      <c r="GG194" t="e">
        <f>AND(#REF!,"AAAAAD9b17w=")</f>
        <v>#REF!</v>
      </c>
      <c r="GH194" t="e">
        <f>AND(#REF!,"AAAAAD9b170=")</f>
        <v>#REF!</v>
      </c>
      <c r="GI194" t="e">
        <f>AND(#REF!,"AAAAAD9b174=")</f>
        <v>#REF!</v>
      </c>
      <c r="GJ194" t="e">
        <f>AND(#REF!,"AAAAAD9b178=")</f>
        <v>#REF!</v>
      </c>
      <c r="GK194" t="e">
        <f>AND(#REF!,"AAAAAD9b18A=")</f>
        <v>#REF!</v>
      </c>
      <c r="GL194" t="e">
        <f>AND(#REF!,"AAAAAD9b18E=")</f>
        <v>#REF!</v>
      </c>
      <c r="GM194" t="e">
        <f>AND(#REF!,"AAAAAD9b18I=")</f>
        <v>#REF!</v>
      </c>
      <c r="GN194" t="e">
        <f>AND(#REF!,"AAAAAD9b18M=")</f>
        <v>#REF!</v>
      </c>
      <c r="GO194" t="e">
        <f>AND(#REF!,"AAAAAD9b18Q=")</f>
        <v>#REF!</v>
      </c>
      <c r="GP194" t="e">
        <f>IF(#REF!,"AAAAAD9b18U=",0)</f>
        <v>#REF!</v>
      </c>
      <c r="GQ194" t="e">
        <f>AND(#REF!,"AAAAAD9b18Y=")</f>
        <v>#REF!</v>
      </c>
      <c r="GR194" t="e">
        <f>AND(#REF!,"AAAAAD9b18c=")</f>
        <v>#REF!</v>
      </c>
      <c r="GS194" t="e">
        <f>AND(#REF!,"AAAAAD9b18g=")</f>
        <v>#REF!</v>
      </c>
      <c r="GT194" t="e">
        <f>AND(#REF!,"AAAAAD9b18k=")</f>
        <v>#REF!</v>
      </c>
      <c r="GU194" t="e">
        <f>AND(#REF!,"AAAAAD9b18o=")</f>
        <v>#REF!</v>
      </c>
      <c r="GV194" t="e">
        <f>AND(#REF!,"AAAAAD9b18s=")</f>
        <v>#REF!</v>
      </c>
      <c r="GW194" t="e">
        <f>AND(#REF!,"AAAAAD9b18w=")</f>
        <v>#REF!</v>
      </c>
      <c r="GX194" t="e">
        <f>AND(#REF!,"AAAAAD9b180=")</f>
        <v>#REF!</v>
      </c>
      <c r="GY194" t="e">
        <f>AND(#REF!,"AAAAAD9b184=")</f>
        <v>#REF!</v>
      </c>
      <c r="GZ194" t="e">
        <f>AND(#REF!,"AAAAAD9b188=")</f>
        <v>#REF!</v>
      </c>
      <c r="HA194" t="e">
        <f>AND(#REF!,"AAAAAD9b19A=")</f>
        <v>#REF!</v>
      </c>
      <c r="HB194" t="e">
        <f>AND(#REF!,"AAAAAD9b19E=")</f>
        <v>#REF!</v>
      </c>
      <c r="HC194" t="e">
        <f>AND(#REF!,"AAAAAD9b19I=")</f>
        <v>#REF!</v>
      </c>
      <c r="HD194" t="e">
        <f>AND(#REF!,"AAAAAD9b19M=")</f>
        <v>#REF!</v>
      </c>
      <c r="HE194" t="e">
        <f>AND(#REF!,"AAAAAD9b19Q=")</f>
        <v>#REF!</v>
      </c>
      <c r="HF194" t="e">
        <f>AND(#REF!,"AAAAAD9b19U=")</f>
        <v>#REF!</v>
      </c>
      <c r="HG194" t="e">
        <f>AND(#REF!,"AAAAAD9b19Y=")</f>
        <v>#REF!</v>
      </c>
      <c r="HH194" t="e">
        <f>AND(#REF!,"AAAAAD9b19c=")</f>
        <v>#REF!</v>
      </c>
      <c r="HI194" t="e">
        <f>AND(#REF!,"AAAAAD9b19g=")</f>
        <v>#REF!</v>
      </c>
      <c r="HJ194" t="e">
        <f>IF(#REF!,"AAAAAD9b19k=",0)</f>
        <v>#REF!</v>
      </c>
      <c r="HK194" t="e">
        <f>AND(#REF!,"AAAAAD9b19o=")</f>
        <v>#REF!</v>
      </c>
      <c r="HL194" t="e">
        <f>AND(#REF!,"AAAAAD9b19s=")</f>
        <v>#REF!</v>
      </c>
      <c r="HM194" t="e">
        <f>AND(#REF!,"AAAAAD9b19w=")</f>
        <v>#REF!</v>
      </c>
      <c r="HN194" t="e">
        <f>AND(#REF!,"AAAAAD9b190=")</f>
        <v>#REF!</v>
      </c>
      <c r="HO194" t="e">
        <f>AND(#REF!,"AAAAAD9b194=")</f>
        <v>#REF!</v>
      </c>
      <c r="HP194" t="e">
        <f>AND(#REF!,"AAAAAD9b198=")</f>
        <v>#REF!</v>
      </c>
      <c r="HQ194" t="e">
        <f>AND(#REF!,"AAAAAD9b1+A=")</f>
        <v>#REF!</v>
      </c>
      <c r="HR194" t="e">
        <f>AND(#REF!,"AAAAAD9b1+E=")</f>
        <v>#REF!</v>
      </c>
      <c r="HS194" t="e">
        <f>AND(#REF!,"AAAAAD9b1+I=")</f>
        <v>#REF!</v>
      </c>
      <c r="HT194" t="e">
        <f>AND(#REF!,"AAAAAD9b1+M=")</f>
        <v>#REF!</v>
      </c>
      <c r="HU194" t="e">
        <f>AND(#REF!,"AAAAAD9b1+Q=")</f>
        <v>#REF!</v>
      </c>
      <c r="HV194" t="e">
        <f>AND(#REF!,"AAAAAD9b1+U=")</f>
        <v>#REF!</v>
      </c>
      <c r="HW194" t="e">
        <f>AND(#REF!,"AAAAAD9b1+Y=")</f>
        <v>#REF!</v>
      </c>
      <c r="HX194" t="e">
        <f>AND(#REF!,"AAAAAD9b1+c=")</f>
        <v>#REF!</v>
      </c>
      <c r="HY194" t="e">
        <f>AND(#REF!,"AAAAAD9b1+g=")</f>
        <v>#REF!</v>
      </c>
      <c r="HZ194" t="e">
        <f>AND(#REF!,"AAAAAD9b1+k=")</f>
        <v>#REF!</v>
      </c>
      <c r="IA194" t="e">
        <f>AND(#REF!,"AAAAAD9b1+o=")</f>
        <v>#REF!</v>
      </c>
      <c r="IB194" t="e">
        <f>AND(#REF!,"AAAAAD9b1+s=")</f>
        <v>#REF!</v>
      </c>
      <c r="IC194" t="e">
        <f>AND(#REF!,"AAAAAD9b1+w=")</f>
        <v>#REF!</v>
      </c>
      <c r="ID194" t="e">
        <f>IF(#REF!,"AAAAAD9b1+0=",0)</f>
        <v>#REF!</v>
      </c>
      <c r="IE194" t="e">
        <f>AND(#REF!,"AAAAAD9b1+4=")</f>
        <v>#REF!</v>
      </c>
      <c r="IF194" t="e">
        <f>AND(#REF!,"AAAAAD9b1+8=")</f>
        <v>#REF!</v>
      </c>
      <c r="IG194" t="e">
        <f>AND(#REF!,"AAAAAD9b1/A=")</f>
        <v>#REF!</v>
      </c>
      <c r="IH194" t="e">
        <f>AND(#REF!,"AAAAAD9b1/E=")</f>
        <v>#REF!</v>
      </c>
      <c r="II194" t="e">
        <f>AND(#REF!,"AAAAAD9b1/I=")</f>
        <v>#REF!</v>
      </c>
      <c r="IJ194" t="e">
        <f>AND(#REF!,"AAAAAD9b1/M=")</f>
        <v>#REF!</v>
      </c>
      <c r="IK194" t="e">
        <f>AND(#REF!,"AAAAAD9b1/Q=")</f>
        <v>#REF!</v>
      </c>
      <c r="IL194" t="e">
        <f>AND(#REF!,"AAAAAD9b1/U=")</f>
        <v>#REF!</v>
      </c>
      <c r="IM194" t="e">
        <f>AND(#REF!,"AAAAAD9b1/Y=")</f>
        <v>#REF!</v>
      </c>
      <c r="IN194" t="e">
        <f>AND(#REF!,"AAAAAD9b1/c=")</f>
        <v>#REF!</v>
      </c>
      <c r="IO194" t="e">
        <f>AND(#REF!,"AAAAAD9b1/g=")</f>
        <v>#REF!</v>
      </c>
      <c r="IP194" t="e">
        <f>AND(#REF!,"AAAAAD9b1/k=")</f>
        <v>#REF!</v>
      </c>
      <c r="IQ194" t="e">
        <f>AND(#REF!,"AAAAAD9b1/o=")</f>
        <v>#REF!</v>
      </c>
      <c r="IR194" t="e">
        <f>AND(#REF!,"AAAAAD9b1/s=")</f>
        <v>#REF!</v>
      </c>
      <c r="IS194" t="e">
        <f>AND(#REF!,"AAAAAD9b1/w=")</f>
        <v>#REF!</v>
      </c>
      <c r="IT194" t="e">
        <f>AND(#REF!,"AAAAAD9b1/0=")</f>
        <v>#REF!</v>
      </c>
      <c r="IU194" t="e">
        <f>AND(#REF!,"AAAAAD9b1/4=")</f>
        <v>#REF!</v>
      </c>
      <c r="IV194" t="e">
        <f>AND(#REF!,"AAAAAD9b1/8=")</f>
        <v>#REF!</v>
      </c>
    </row>
    <row r="195" spans="1:256" x14ac:dyDescent="0.25">
      <c r="A195" t="e">
        <f>AND(#REF!,"AAAAAGcxegA=")</f>
        <v>#REF!</v>
      </c>
      <c r="B195" t="e">
        <f>IF(#REF!,"AAAAAGcxegE=",0)</f>
        <v>#REF!</v>
      </c>
      <c r="C195" t="e">
        <f>AND(#REF!,"AAAAAGcxegI=")</f>
        <v>#REF!</v>
      </c>
      <c r="D195" t="e">
        <f>AND(#REF!,"AAAAAGcxegM=")</f>
        <v>#REF!</v>
      </c>
      <c r="E195" t="e">
        <f>AND(#REF!,"AAAAAGcxegQ=")</f>
        <v>#REF!</v>
      </c>
      <c r="F195" t="e">
        <f>AND(#REF!,"AAAAAGcxegU=")</f>
        <v>#REF!</v>
      </c>
      <c r="G195" t="e">
        <f>AND(#REF!,"AAAAAGcxegY=")</f>
        <v>#REF!</v>
      </c>
      <c r="H195" t="e">
        <f>AND(#REF!,"AAAAAGcxegc=")</f>
        <v>#REF!</v>
      </c>
      <c r="I195" t="e">
        <f>AND(#REF!,"AAAAAGcxegg=")</f>
        <v>#REF!</v>
      </c>
      <c r="J195" t="e">
        <f>AND(#REF!,"AAAAAGcxegk=")</f>
        <v>#REF!</v>
      </c>
      <c r="K195" t="e">
        <f>AND(#REF!,"AAAAAGcxego=")</f>
        <v>#REF!</v>
      </c>
      <c r="L195" t="e">
        <f>AND(#REF!,"AAAAAGcxegs=")</f>
        <v>#REF!</v>
      </c>
      <c r="M195" t="e">
        <f>AND(#REF!,"AAAAAGcxegw=")</f>
        <v>#REF!</v>
      </c>
      <c r="N195" t="e">
        <f>AND(#REF!,"AAAAAGcxeg0=")</f>
        <v>#REF!</v>
      </c>
      <c r="O195" t="e">
        <f>AND(#REF!,"AAAAAGcxeg4=")</f>
        <v>#REF!</v>
      </c>
      <c r="P195" t="e">
        <f>AND(#REF!,"AAAAAGcxeg8=")</f>
        <v>#REF!</v>
      </c>
      <c r="Q195" t="e">
        <f>AND(#REF!,"AAAAAGcxehA=")</f>
        <v>#REF!</v>
      </c>
      <c r="R195" t="e">
        <f>AND(#REF!,"AAAAAGcxehE=")</f>
        <v>#REF!</v>
      </c>
      <c r="S195" t="e">
        <f>AND(#REF!,"AAAAAGcxehI=")</f>
        <v>#REF!</v>
      </c>
      <c r="T195" t="e">
        <f>AND(#REF!,"AAAAAGcxehM=")</f>
        <v>#REF!</v>
      </c>
      <c r="U195" t="e">
        <f>AND(#REF!,"AAAAAGcxehQ=")</f>
        <v>#REF!</v>
      </c>
      <c r="V195" t="e">
        <f>IF(#REF!,"AAAAAGcxehU=",0)</f>
        <v>#REF!</v>
      </c>
      <c r="W195" t="e">
        <f>AND(#REF!,"AAAAAGcxehY=")</f>
        <v>#REF!</v>
      </c>
      <c r="X195" t="e">
        <f>AND(#REF!,"AAAAAGcxehc=")</f>
        <v>#REF!</v>
      </c>
      <c r="Y195" t="e">
        <f>AND(#REF!,"AAAAAGcxehg=")</f>
        <v>#REF!</v>
      </c>
      <c r="Z195" t="e">
        <f>AND(#REF!,"AAAAAGcxehk=")</f>
        <v>#REF!</v>
      </c>
      <c r="AA195" t="e">
        <f>AND(#REF!,"AAAAAGcxeho=")</f>
        <v>#REF!</v>
      </c>
      <c r="AB195" t="e">
        <f>AND(#REF!,"AAAAAGcxehs=")</f>
        <v>#REF!</v>
      </c>
      <c r="AC195" t="e">
        <f>AND(#REF!,"AAAAAGcxehw=")</f>
        <v>#REF!</v>
      </c>
      <c r="AD195" t="e">
        <f>AND(#REF!,"AAAAAGcxeh0=")</f>
        <v>#REF!</v>
      </c>
      <c r="AE195" t="e">
        <f>AND(#REF!,"AAAAAGcxeh4=")</f>
        <v>#REF!</v>
      </c>
      <c r="AF195" t="e">
        <f>AND(#REF!,"AAAAAGcxeh8=")</f>
        <v>#REF!</v>
      </c>
      <c r="AG195" t="e">
        <f>AND(#REF!,"AAAAAGcxeiA=")</f>
        <v>#REF!</v>
      </c>
      <c r="AH195" t="e">
        <f>AND(#REF!,"AAAAAGcxeiE=")</f>
        <v>#REF!</v>
      </c>
      <c r="AI195" t="e">
        <f>AND(#REF!,"AAAAAGcxeiI=")</f>
        <v>#REF!</v>
      </c>
      <c r="AJ195" t="e">
        <f>AND(#REF!,"AAAAAGcxeiM=")</f>
        <v>#REF!</v>
      </c>
      <c r="AK195" t="e">
        <f>AND(#REF!,"AAAAAGcxeiQ=")</f>
        <v>#REF!</v>
      </c>
      <c r="AL195" t="e">
        <f>AND(#REF!,"AAAAAGcxeiU=")</f>
        <v>#REF!</v>
      </c>
      <c r="AM195" t="e">
        <f>AND(#REF!,"AAAAAGcxeiY=")</f>
        <v>#REF!</v>
      </c>
      <c r="AN195" t="e">
        <f>AND(#REF!,"AAAAAGcxeic=")</f>
        <v>#REF!</v>
      </c>
      <c r="AO195" t="e">
        <f>AND(#REF!,"AAAAAGcxeig=")</f>
        <v>#REF!</v>
      </c>
      <c r="AP195" t="e">
        <f>IF(#REF!,"AAAAAGcxeik=",0)</f>
        <v>#REF!</v>
      </c>
      <c r="AQ195" t="e">
        <f>AND(#REF!,"AAAAAGcxeio=")</f>
        <v>#REF!</v>
      </c>
      <c r="AR195" t="e">
        <f>AND(#REF!,"AAAAAGcxeis=")</f>
        <v>#REF!</v>
      </c>
      <c r="AS195" t="e">
        <f>AND(#REF!,"AAAAAGcxeiw=")</f>
        <v>#REF!</v>
      </c>
      <c r="AT195" t="e">
        <f>AND(#REF!,"AAAAAGcxei0=")</f>
        <v>#REF!</v>
      </c>
      <c r="AU195" t="e">
        <f>AND(#REF!,"AAAAAGcxei4=")</f>
        <v>#REF!</v>
      </c>
      <c r="AV195" t="e">
        <f>AND(#REF!,"AAAAAGcxei8=")</f>
        <v>#REF!</v>
      </c>
      <c r="AW195" t="e">
        <f>AND(#REF!,"AAAAAGcxejA=")</f>
        <v>#REF!</v>
      </c>
      <c r="AX195" t="e">
        <f>AND(#REF!,"AAAAAGcxejE=")</f>
        <v>#REF!</v>
      </c>
      <c r="AY195" t="e">
        <f>AND(#REF!,"AAAAAGcxejI=")</f>
        <v>#REF!</v>
      </c>
      <c r="AZ195" t="e">
        <f>AND(#REF!,"AAAAAGcxejM=")</f>
        <v>#REF!</v>
      </c>
      <c r="BA195" t="e">
        <f>AND(#REF!,"AAAAAGcxejQ=")</f>
        <v>#REF!</v>
      </c>
      <c r="BB195" t="e">
        <f>AND(#REF!,"AAAAAGcxejU=")</f>
        <v>#REF!</v>
      </c>
      <c r="BC195" t="e">
        <f>AND(#REF!,"AAAAAGcxejY=")</f>
        <v>#REF!</v>
      </c>
      <c r="BD195" t="e">
        <f>AND(#REF!,"AAAAAGcxejc=")</f>
        <v>#REF!</v>
      </c>
      <c r="BE195" t="e">
        <f>AND(#REF!,"AAAAAGcxejg=")</f>
        <v>#REF!</v>
      </c>
      <c r="BF195" t="e">
        <f>AND(#REF!,"AAAAAGcxejk=")</f>
        <v>#REF!</v>
      </c>
      <c r="BG195" t="e">
        <f>AND(#REF!,"AAAAAGcxejo=")</f>
        <v>#REF!</v>
      </c>
      <c r="BH195" t="e">
        <f>AND(#REF!,"AAAAAGcxejs=")</f>
        <v>#REF!</v>
      </c>
      <c r="BI195" t="e">
        <f>AND(#REF!,"AAAAAGcxejw=")</f>
        <v>#REF!</v>
      </c>
      <c r="BJ195" t="e">
        <f>IF(#REF!,"AAAAAGcxej0=",0)</f>
        <v>#REF!</v>
      </c>
      <c r="BK195" t="e">
        <f>AND(#REF!,"AAAAAGcxej4=")</f>
        <v>#REF!</v>
      </c>
      <c r="BL195" t="e">
        <f>AND(#REF!,"AAAAAGcxej8=")</f>
        <v>#REF!</v>
      </c>
      <c r="BM195" t="e">
        <f>AND(#REF!,"AAAAAGcxekA=")</f>
        <v>#REF!</v>
      </c>
      <c r="BN195" t="e">
        <f>AND(#REF!,"AAAAAGcxekE=")</f>
        <v>#REF!</v>
      </c>
      <c r="BO195" t="e">
        <f>AND(#REF!,"AAAAAGcxekI=")</f>
        <v>#REF!</v>
      </c>
      <c r="BP195" t="e">
        <f>AND(#REF!,"AAAAAGcxekM=")</f>
        <v>#REF!</v>
      </c>
      <c r="BQ195" t="e">
        <f>AND(#REF!,"AAAAAGcxekQ=")</f>
        <v>#REF!</v>
      </c>
      <c r="BR195" t="e">
        <f>AND(#REF!,"AAAAAGcxekU=")</f>
        <v>#REF!</v>
      </c>
      <c r="BS195" t="e">
        <f>AND(#REF!,"AAAAAGcxekY=")</f>
        <v>#REF!</v>
      </c>
      <c r="BT195" t="e">
        <f>AND(#REF!,"AAAAAGcxekc=")</f>
        <v>#REF!</v>
      </c>
      <c r="BU195" t="e">
        <f>AND(#REF!,"AAAAAGcxekg=")</f>
        <v>#REF!</v>
      </c>
      <c r="BV195" t="e">
        <f>AND(#REF!,"AAAAAGcxekk=")</f>
        <v>#REF!</v>
      </c>
      <c r="BW195" t="e">
        <f>AND(#REF!,"AAAAAGcxeko=")</f>
        <v>#REF!</v>
      </c>
      <c r="BX195" t="e">
        <f>AND(#REF!,"AAAAAGcxeks=")</f>
        <v>#REF!</v>
      </c>
      <c r="BY195" t="e">
        <f>AND(#REF!,"AAAAAGcxekw=")</f>
        <v>#REF!</v>
      </c>
      <c r="BZ195" t="e">
        <f>AND(#REF!,"AAAAAGcxek0=")</f>
        <v>#REF!</v>
      </c>
      <c r="CA195" t="e">
        <f>AND(#REF!,"AAAAAGcxek4=")</f>
        <v>#REF!</v>
      </c>
      <c r="CB195" t="e">
        <f>AND(#REF!,"AAAAAGcxek8=")</f>
        <v>#REF!</v>
      </c>
      <c r="CC195" t="e">
        <f>AND(#REF!,"AAAAAGcxelA=")</f>
        <v>#REF!</v>
      </c>
      <c r="CD195" t="e">
        <f>IF(#REF!,"AAAAAGcxelE=",0)</f>
        <v>#REF!</v>
      </c>
      <c r="CE195" t="e">
        <f>AND(#REF!,"AAAAAGcxelI=")</f>
        <v>#REF!</v>
      </c>
      <c r="CF195" t="e">
        <f>AND(#REF!,"AAAAAGcxelM=")</f>
        <v>#REF!</v>
      </c>
      <c r="CG195" t="e">
        <f>AND(#REF!,"AAAAAGcxelQ=")</f>
        <v>#REF!</v>
      </c>
      <c r="CH195" t="e">
        <f>AND(#REF!,"AAAAAGcxelU=")</f>
        <v>#REF!</v>
      </c>
      <c r="CI195" t="e">
        <f>AND(#REF!,"AAAAAGcxelY=")</f>
        <v>#REF!</v>
      </c>
      <c r="CJ195" t="e">
        <f>AND(#REF!,"AAAAAGcxelc=")</f>
        <v>#REF!</v>
      </c>
      <c r="CK195" t="e">
        <f>AND(#REF!,"AAAAAGcxelg=")</f>
        <v>#REF!</v>
      </c>
      <c r="CL195" t="e">
        <f>AND(#REF!,"AAAAAGcxelk=")</f>
        <v>#REF!</v>
      </c>
      <c r="CM195" t="e">
        <f>AND(#REF!,"AAAAAGcxelo=")</f>
        <v>#REF!</v>
      </c>
      <c r="CN195" t="e">
        <f>AND(#REF!,"AAAAAGcxels=")</f>
        <v>#REF!</v>
      </c>
      <c r="CO195" t="e">
        <f>AND(#REF!,"AAAAAGcxelw=")</f>
        <v>#REF!</v>
      </c>
      <c r="CP195" t="e">
        <f>AND(#REF!,"AAAAAGcxel0=")</f>
        <v>#REF!</v>
      </c>
      <c r="CQ195" t="e">
        <f>AND(#REF!,"AAAAAGcxel4=")</f>
        <v>#REF!</v>
      </c>
      <c r="CR195" t="e">
        <f>AND(#REF!,"AAAAAGcxel8=")</f>
        <v>#REF!</v>
      </c>
      <c r="CS195" t="e">
        <f>AND(#REF!,"AAAAAGcxemA=")</f>
        <v>#REF!</v>
      </c>
      <c r="CT195" t="e">
        <f>AND(#REF!,"AAAAAGcxemE=")</f>
        <v>#REF!</v>
      </c>
      <c r="CU195" t="e">
        <f>AND(#REF!,"AAAAAGcxemI=")</f>
        <v>#REF!</v>
      </c>
      <c r="CV195" t="e">
        <f>AND(#REF!,"AAAAAGcxemM=")</f>
        <v>#REF!</v>
      </c>
      <c r="CW195" t="e">
        <f>AND(#REF!,"AAAAAGcxemQ=")</f>
        <v>#REF!</v>
      </c>
      <c r="CX195" t="e">
        <f>IF(#REF!,"AAAAAGcxemU=",0)</f>
        <v>#REF!</v>
      </c>
      <c r="CY195" t="e">
        <f>AND(#REF!,"AAAAAGcxemY=")</f>
        <v>#REF!</v>
      </c>
      <c r="CZ195" t="e">
        <f>AND(#REF!,"AAAAAGcxemc=")</f>
        <v>#REF!</v>
      </c>
      <c r="DA195" t="e">
        <f>AND(#REF!,"AAAAAGcxemg=")</f>
        <v>#REF!</v>
      </c>
      <c r="DB195" t="e">
        <f>AND(#REF!,"AAAAAGcxemk=")</f>
        <v>#REF!</v>
      </c>
      <c r="DC195" t="e">
        <f>AND(#REF!,"AAAAAGcxemo=")</f>
        <v>#REF!</v>
      </c>
      <c r="DD195" t="e">
        <f>AND(#REF!,"AAAAAGcxems=")</f>
        <v>#REF!</v>
      </c>
      <c r="DE195" t="e">
        <f>AND(#REF!,"AAAAAGcxemw=")</f>
        <v>#REF!</v>
      </c>
      <c r="DF195" t="e">
        <f>AND(#REF!,"AAAAAGcxem0=")</f>
        <v>#REF!</v>
      </c>
      <c r="DG195" t="e">
        <f>AND(#REF!,"AAAAAGcxem4=")</f>
        <v>#REF!</v>
      </c>
      <c r="DH195" t="e">
        <f>AND(#REF!,"AAAAAGcxem8=")</f>
        <v>#REF!</v>
      </c>
      <c r="DI195" t="e">
        <f>AND(#REF!,"AAAAAGcxenA=")</f>
        <v>#REF!</v>
      </c>
      <c r="DJ195" t="e">
        <f>AND(#REF!,"AAAAAGcxenE=")</f>
        <v>#REF!</v>
      </c>
      <c r="DK195" t="e">
        <f>AND(#REF!,"AAAAAGcxenI=")</f>
        <v>#REF!</v>
      </c>
      <c r="DL195" t="e">
        <f>AND(#REF!,"AAAAAGcxenM=")</f>
        <v>#REF!</v>
      </c>
      <c r="DM195" t="e">
        <f>AND(#REF!,"AAAAAGcxenQ=")</f>
        <v>#REF!</v>
      </c>
      <c r="DN195" t="e">
        <f>AND(#REF!,"AAAAAGcxenU=")</f>
        <v>#REF!</v>
      </c>
      <c r="DO195" t="e">
        <f>AND(#REF!,"AAAAAGcxenY=")</f>
        <v>#REF!</v>
      </c>
      <c r="DP195" t="e">
        <f>AND(#REF!,"AAAAAGcxenc=")</f>
        <v>#REF!</v>
      </c>
      <c r="DQ195" t="e">
        <f>AND(#REF!,"AAAAAGcxeng=")</f>
        <v>#REF!</v>
      </c>
      <c r="DR195" t="e">
        <f>IF(#REF!,"AAAAAGcxenk=",0)</f>
        <v>#REF!</v>
      </c>
      <c r="DS195" t="e">
        <f>AND(#REF!,"AAAAAGcxeno=")</f>
        <v>#REF!</v>
      </c>
      <c r="DT195" t="e">
        <f>AND(#REF!,"AAAAAGcxens=")</f>
        <v>#REF!</v>
      </c>
      <c r="DU195" t="e">
        <f>AND(#REF!,"AAAAAGcxenw=")</f>
        <v>#REF!</v>
      </c>
      <c r="DV195" t="e">
        <f>AND(#REF!,"AAAAAGcxen0=")</f>
        <v>#REF!</v>
      </c>
      <c r="DW195" t="e">
        <f>AND(#REF!,"AAAAAGcxen4=")</f>
        <v>#REF!</v>
      </c>
      <c r="DX195" t="e">
        <f>AND(#REF!,"AAAAAGcxen8=")</f>
        <v>#REF!</v>
      </c>
      <c r="DY195" t="e">
        <f>AND(#REF!,"AAAAAGcxeoA=")</f>
        <v>#REF!</v>
      </c>
      <c r="DZ195" t="e">
        <f>AND(#REF!,"AAAAAGcxeoE=")</f>
        <v>#REF!</v>
      </c>
      <c r="EA195" t="e">
        <f>AND(#REF!,"AAAAAGcxeoI=")</f>
        <v>#REF!</v>
      </c>
      <c r="EB195" t="e">
        <f>AND(#REF!,"AAAAAGcxeoM=")</f>
        <v>#REF!</v>
      </c>
      <c r="EC195" t="e">
        <f>AND(#REF!,"AAAAAGcxeoQ=")</f>
        <v>#REF!</v>
      </c>
      <c r="ED195" t="e">
        <f>AND(#REF!,"AAAAAGcxeoU=")</f>
        <v>#REF!</v>
      </c>
      <c r="EE195" t="e">
        <f>AND(#REF!,"AAAAAGcxeoY=")</f>
        <v>#REF!</v>
      </c>
      <c r="EF195" t="e">
        <f>AND(#REF!,"AAAAAGcxeoc=")</f>
        <v>#REF!</v>
      </c>
      <c r="EG195" t="e">
        <f>AND(#REF!,"AAAAAGcxeog=")</f>
        <v>#REF!</v>
      </c>
      <c r="EH195" t="e">
        <f>AND(#REF!,"AAAAAGcxeok=")</f>
        <v>#REF!</v>
      </c>
      <c r="EI195" t="e">
        <f>AND(#REF!,"AAAAAGcxeoo=")</f>
        <v>#REF!</v>
      </c>
      <c r="EJ195" t="e">
        <f>AND(#REF!,"AAAAAGcxeos=")</f>
        <v>#REF!</v>
      </c>
      <c r="EK195" t="e">
        <f>AND(#REF!,"AAAAAGcxeow=")</f>
        <v>#REF!</v>
      </c>
      <c r="EL195" t="e">
        <f>IF(#REF!,"AAAAAGcxeo0=",0)</f>
        <v>#REF!</v>
      </c>
      <c r="EM195" t="e">
        <f>AND(#REF!,"AAAAAGcxeo4=")</f>
        <v>#REF!</v>
      </c>
      <c r="EN195" t="e">
        <f>AND(#REF!,"AAAAAGcxeo8=")</f>
        <v>#REF!</v>
      </c>
      <c r="EO195" t="e">
        <f>AND(#REF!,"AAAAAGcxepA=")</f>
        <v>#REF!</v>
      </c>
      <c r="EP195" t="e">
        <f>AND(#REF!,"AAAAAGcxepE=")</f>
        <v>#REF!</v>
      </c>
      <c r="EQ195" t="e">
        <f>AND(#REF!,"AAAAAGcxepI=")</f>
        <v>#REF!</v>
      </c>
      <c r="ER195" t="e">
        <f>AND(#REF!,"AAAAAGcxepM=")</f>
        <v>#REF!</v>
      </c>
      <c r="ES195" t="e">
        <f>AND(#REF!,"AAAAAGcxepQ=")</f>
        <v>#REF!</v>
      </c>
      <c r="ET195" t="e">
        <f>AND(#REF!,"AAAAAGcxepU=")</f>
        <v>#REF!</v>
      </c>
      <c r="EU195" t="e">
        <f>AND(#REF!,"AAAAAGcxepY=")</f>
        <v>#REF!</v>
      </c>
      <c r="EV195" t="e">
        <f>AND(#REF!,"AAAAAGcxepc=")</f>
        <v>#REF!</v>
      </c>
      <c r="EW195" t="e">
        <f>AND(#REF!,"AAAAAGcxepg=")</f>
        <v>#REF!</v>
      </c>
      <c r="EX195" t="e">
        <f>AND(#REF!,"AAAAAGcxepk=")</f>
        <v>#REF!</v>
      </c>
      <c r="EY195" t="e">
        <f>AND(#REF!,"AAAAAGcxepo=")</f>
        <v>#REF!</v>
      </c>
      <c r="EZ195" t="e">
        <f>AND(#REF!,"AAAAAGcxeps=")</f>
        <v>#REF!</v>
      </c>
      <c r="FA195" t="e">
        <f>AND(#REF!,"AAAAAGcxepw=")</f>
        <v>#REF!</v>
      </c>
      <c r="FB195" t="e">
        <f>AND(#REF!,"AAAAAGcxep0=")</f>
        <v>#REF!</v>
      </c>
      <c r="FC195" t="e">
        <f>AND(#REF!,"AAAAAGcxep4=")</f>
        <v>#REF!</v>
      </c>
      <c r="FD195" t="e">
        <f>AND(#REF!,"AAAAAGcxep8=")</f>
        <v>#REF!</v>
      </c>
      <c r="FE195" t="e">
        <f>AND(#REF!,"AAAAAGcxeqA=")</f>
        <v>#REF!</v>
      </c>
      <c r="FF195" t="e">
        <f>IF(#REF!,"AAAAAGcxeqE=",0)</f>
        <v>#REF!</v>
      </c>
      <c r="FG195" t="e">
        <f>AND(#REF!,"AAAAAGcxeqI=")</f>
        <v>#REF!</v>
      </c>
      <c r="FH195" t="e">
        <f>AND(#REF!,"AAAAAGcxeqM=")</f>
        <v>#REF!</v>
      </c>
      <c r="FI195" t="e">
        <f>AND(#REF!,"AAAAAGcxeqQ=")</f>
        <v>#REF!</v>
      </c>
      <c r="FJ195" t="e">
        <f>AND(#REF!,"AAAAAGcxeqU=")</f>
        <v>#REF!</v>
      </c>
      <c r="FK195" t="e">
        <f>AND(#REF!,"AAAAAGcxeqY=")</f>
        <v>#REF!</v>
      </c>
      <c r="FL195" t="e">
        <f>AND(#REF!,"AAAAAGcxeqc=")</f>
        <v>#REF!</v>
      </c>
      <c r="FM195" t="e">
        <f>AND(#REF!,"AAAAAGcxeqg=")</f>
        <v>#REF!</v>
      </c>
      <c r="FN195" t="e">
        <f>AND(#REF!,"AAAAAGcxeqk=")</f>
        <v>#REF!</v>
      </c>
      <c r="FO195" t="e">
        <f>AND(#REF!,"AAAAAGcxeqo=")</f>
        <v>#REF!</v>
      </c>
      <c r="FP195" t="e">
        <f>AND(#REF!,"AAAAAGcxeqs=")</f>
        <v>#REF!</v>
      </c>
      <c r="FQ195" t="e">
        <f>AND(#REF!,"AAAAAGcxeqw=")</f>
        <v>#REF!</v>
      </c>
      <c r="FR195" t="e">
        <f>AND(#REF!,"AAAAAGcxeq0=")</f>
        <v>#REF!</v>
      </c>
      <c r="FS195" t="e">
        <f>AND(#REF!,"AAAAAGcxeq4=")</f>
        <v>#REF!</v>
      </c>
      <c r="FT195" t="e">
        <f>AND(#REF!,"AAAAAGcxeq8=")</f>
        <v>#REF!</v>
      </c>
      <c r="FU195" t="e">
        <f>AND(#REF!,"AAAAAGcxerA=")</f>
        <v>#REF!</v>
      </c>
      <c r="FV195" t="e">
        <f>AND(#REF!,"AAAAAGcxerE=")</f>
        <v>#REF!</v>
      </c>
      <c r="FW195" t="e">
        <f>AND(#REF!,"AAAAAGcxerI=")</f>
        <v>#REF!</v>
      </c>
      <c r="FX195" t="e">
        <f>AND(#REF!,"AAAAAGcxerM=")</f>
        <v>#REF!</v>
      </c>
      <c r="FY195" t="e">
        <f>AND(#REF!,"AAAAAGcxerQ=")</f>
        <v>#REF!</v>
      </c>
      <c r="FZ195" t="e">
        <f>IF(#REF!,"AAAAAGcxerU=",0)</f>
        <v>#REF!</v>
      </c>
      <c r="GA195" t="e">
        <f>AND(#REF!,"AAAAAGcxerY=")</f>
        <v>#REF!</v>
      </c>
      <c r="GB195" t="e">
        <f>AND(#REF!,"AAAAAGcxerc=")</f>
        <v>#REF!</v>
      </c>
      <c r="GC195" t="e">
        <f>AND(#REF!,"AAAAAGcxerg=")</f>
        <v>#REF!</v>
      </c>
      <c r="GD195" t="e">
        <f>AND(#REF!,"AAAAAGcxerk=")</f>
        <v>#REF!</v>
      </c>
      <c r="GE195" t="e">
        <f>AND(#REF!,"AAAAAGcxero=")</f>
        <v>#REF!</v>
      </c>
      <c r="GF195" t="e">
        <f>AND(#REF!,"AAAAAGcxers=")</f>
        <v>#REF!</v>
      </c>
      <c r="GG195" t="e">
        <f>AND(#REF!,"AAAAAGcxerw=")</f>
        <v>#REF!</v>
      </c>
      <c r="GH195" t="e">
        <f>AND(#REF!,"AAAAAGcxer0=")</f>
        <v>#REF!</v>
      </c>
      <c r="GI195" t="e">
        <f>AND(#REF!,"AAAAAGcxer4=")</f>
        <v>#REF!</v>
      </c>
      <c r="GJ195" t="e">
        <f>AND(#REF!,"AAAAAGcxer8=")</f>
        <v>#REF!</v>
      </c>
      <c r="GK195" t="e">
        <f>AND(#REF!,"AAAAAGcxesA=")</f>
        <v>#REF!</v>
      </c>
      <c r="GL195" t="e">
        <f>AND(#REF!,"AAAAAGcxesE=")</f>
        <v>#REF!</v>
      </c>
      <c r="GM195" t="e">
        <f>AND(#REF!,"AAAAAGcxesI=")</f>
        <v>#REF!</v>
      </c>
      <c r="GN195" t="e">
        <f>AND(#REF!,"AAAAAGcxesM=")</f>
        <v>#REF!</v>
      </c>
      <c r="GO195" t="e">
        <f>AND(#REF!,"AAAAAGcxesQ=")</f>
        <v>#REF!</v>
      </c>
      <c r="GP195" t="e">
        <f>AND(#REF!,"AAAAAGcxesU=")</f>
        <v>#REF!</v>
      </c>
      <c r="GQ195" t="e">
        <f>AND(#REF!,"AAAAAGcxesY=")</f>
        <v>#REF!</v>
      </c>
      <c r="GR195" t="e">
        <f>AND(#REF!,"AAAAAGcxesc=")</f>
        <v>#REF!</v>
      </c>
      <c r="GS195" t="e">
        <f>AND(#REF!,"AAAAAGcxesg=")</f>
        <v>#REF!</v>
      </c>
      <c r="GT195" t="e">
        <f>IF(#REF!,"AAAAAGcxesk=",0)</f>
        <v>#REF!</v>
      </c>
      <c r="GU195" t="e">
        <f>AND(#REF!,"AAAAAGcxeso=")</f>
        <v>#REF!</v>
      </c>
      <c r="GV195" t="e">
        <f>AND(#REF!,"AAAAAGcxess=")</f>
        <v>#REF!</v>
      </c>
      <c r="GW195" t="e">
        <f>AND(#REF!,"AAAAAGcxesw=")</f>
        <v>#REF!</v>
      </c>
      <c r="GX195" t="e">
        <f>AND(#REF!,"AAAAAGcxes0=")</f>
        <v>#REF!</v>
      </c>
      <c r="GY195" t="e">
        <f>AND(#REF!,"AAAAAGcxes4=")</f>
        <v>#REF!</v>
      </c>
      <c r="GZ195" t="e">
        <f>AND(#REF!,"AAAAAGcxes8=")</f>
        <v>#REF!</v>
      </c>
      <c r="HA195" t="e">
        <f>AND(#REF!,"AAAAAGcxetA=")</f>
        <v>#REF!</v>
      </c>
      <c r="HB195" t="e">
        <f>AND(#REF!,"AAAAAGcxetE=")</f>
        <v>#REF!</v>
      </c>
      <c r="HC195" t="e">
        <f>AND(#REF!,"AAAAAGcxetI=")</f>
        <v>#REF!</v>
      </c>
      <c r="HD195" t="e">
        <f>AND(#REF!,"AAAAAGcxetM=")</f>
        <v>#REF!</v>
      </c>
      <c r="HE195" t="e">
        <f>AND(#REF!,"AAAAAGcxetQ=")</f>
        <v>#REF!</v>
      </c>
      <c r="HF195" t="e">
        <f>AND(#REF!,"AAAAAGcxetU=")</f>
        <v>#REF!</v>
      </c>
      <c r="HG195" t="e">
        <f>AND(#REF!,"AAAAAGcxetY=")</f>
        <v>#REF!</v>
      </c>
      <c r="HH195" t="e">
        <f>AND(#REF!,"AAAAAGcxetc=")</f>
        <v>#REF!</v>
      </c>
      <c r="HI195" t="e">
        <f>AND(#REF!,"AAAAAGcxetg=")</f>
        <v>#REF!</v>
      </c>
      <c r="HJ195" t="e">
        <f>AND(#REF!,"AAAAAGcxetk=")</f>
        <v>#REF!</v>
      </c>
      <c r="HK195" t="e">
        <f>AND(#REF!,"AAAAAGcxeto=")</f>
        <v>#REF!</v>
      </c>
      <c r="HL195" t="e">
        <f>AND(#REF!,"AAAAAGcxets=")</f>
        <v>#REF!</v>
      </c>
      <c r="HM195" t="e">
        <f>AND(#REF!,"AAAAAGcxetw=")</f>
        <v>#REF!</v>
      </c>
      <c r="HN195" t="e">
        <f>IF(#REF!,"AAAAAGcxet0=",0)</f>
        <v>#REF!</v>
      </c>
      <c r="HO195" t="e">
        <f>AND(#REF!,"AAAAAGcxet4=")</f>
        <v>#REF!</v>
      </c>
      <c r="HP195" t="e">
        <f>AND(#REF!,"AAAAAGcxet8=")</f>
        <v>#REF!</v>
      </c>
      <c r="HQ195" t="e">
        <f>AND(#REF!,"AAAAAGcxeuA=")</f>
        <v>#REF!</v>
      </c>
      <c r="HR195" t="e">
        <f>AND(#REF!,"AAAAAGcxeuE=")</f>
        <v>#REF!</v>
      </c>
      <c r="HS195" t="e">
        <f>AND(#REF!,"AAAAAGcxeuI=")</f>
        <v>#REF!</v>
      </c>
      <c r="HT195" t="e">
        <f>AND(#REF!,"AAAAAGcxeuM=")</f>
        <v>#REF!</v>
      </c>
      <c r="HU195" t="e">
        <f>AND(#REF!,"AAAAAGcxeuQ=")</f>
        <v>#REF!</v>
      </c>
      <c r="HV195" t="e">
        <f>AND(#REF!,"AAAAAGcxeuU=")</f>
        <v>#REF!</v>
      </c>
      <c r="HW195" t="e">
        <f>AND(#REF!,"AAAAAGcxeuY=")</f>
        <v>#REF!</v>
      </c>
      <c r="HX195" t="e">
        <f>AND(#REF!,"AAAAAGcxeuc=")</f>
        <v>#REF!</v>
      </c>
      <c r="HY195" t="e">
        <f>AND(#REF!,"AAAAAGcxeug=")</f>
        <v>#REF!</v>
      </c>
      <c r="HZ195" t="e">
        <f>AND(#REF!,"AAAAAGcxeuk=")</f>
        <v>#REF!</v>
      </c>
      <c r="IA195" t="e">
        <f>AND(#REF!,"AAAAAGcxeuo=")</f>
        <v>#REF!</v>
      </c>
      <c r="IB195" t="e">
        <f>AND(#REF!,"AAAAAGcxeus=")</f>
        <v>#REF!</v>
      </c>
      <c r="IC195" t="e">
        <f>AND(#REF!,"AAAAAGcxeuw=")</f>
        <v>#REF!</v>
      </c>
      <c r="ID195" t="e">
        <f>AND(#REF!,"AAAAAGcxeu0=")</f>
        <v>#REF!</v>
      </c>
      <c r="IE195" t="e">
        <f>AND(#REF!,"AAAAAGcxeu4=")</f>
        <v>#REF!</v>
      </c>
      <c r="IF195" t="e">
        <f>AND(#REF!,"AAAAAGcxeu8=")</f>
        <v>#REF!</v>
      </c>
      <c r="IG195" t="e">
        <f>AND(#REF!,"AAAAAGcxevA=")</f>
        <v>#REF!</v>
      </c>
      <c r="IH195" t="e">
        <f>IF(#REF!,"AAAAAGcxevE=",0)</f>
        <v>#REF!</v>
      </c>
      <c r="II195" t="e">
        <f>AND(#REF!,"AAAAAGcxevI=")</f>
        <v>#REF!</v>
      </c>
      <c r="IJ195" t="e">
        <f>AND(#REF!,"AAAAAGcxevM=")</f>
        <v>#REF!</v>
      </c>
      <c r="IK195" t="e">
        <f>AND(#REF!,"AAAAAGcxevQ=")</f>
        <v>#REF!</v>
      </c>
      <c r="IL195" t="e">
        <f>AND(#REF!,"AAAAAGcxevU=")</f>
        <v>#REF!</v>
      </c>
      <c r="IM195" t="e">
        <f>AND(#REF!,"AAAAAGcxevY=")</f>
        <v>#REF!</v>
      </c>
      <c r="IN195" t="e">
        <f>AND(#REF!,"AAAAAGcxevc=")</f>
        <v>#REF!</v>
      </c>
      <c r="IO195" t="e">
        <f>AND(#REF!,"AAAAAGcxevg=")</f>
        <v>#REF!</v>
      </c>
      <c r="IP195" t="e">
        <f>AND(#REF!,"AAAAAGcxevk=")</f>
        <v>#REF!</v>
      </c>
      <c r="IQ195" t="e">
        <f>AND(#REF!,"AAAAAGcxevo=")</f>
        <v>#REF!</v>
      </c>
      <c r="IR195" t="e">
        <f>AND(#REF!,"AAAAAGcxevs=")</f>
        <v>#REF!</v>
      </c>
      <c r="IS195" t="e">
        <f>AND(#REF!,"AAAAAGcxevw=")</f>
        <v>#REF!</v>
      </c>
      <c r="IT195" t="e">
        <f>AND(#REF!,"AAAAAGcxev0=")</f>
        <v>#REF!</v>
      </c>
      <c r="IU195" t="e">
        <f>AND(#REF!,"AAAAAGcxev4=")</f>
        <v>#REF!</v>
      </c>
      <c r="IV195" t="e">
        <f>AND(#REF!,"AAAAAGcxev8=")</f>
        <v>#REF!</v>
      </c>
    </row>
    <row r="196" spans="1:256" x14ac:dyDescent="0.25">
      <c r="A196" t="e">
        <f>AND(#REF!,"AAAAAG22LwA=")</f>
        <v>#REF!</v>
      </c>
      <c r="B196" t="e">
        <f>AND(#REF!,"AAAAAG22LwE=")</f>
        <v>#REF!</v>
      </c>
      <c r="C196" t="e">
        <f>AND(#REF!,"AAAAAG22LwI=")</f>
        <v>#REF!</v>
      </c>
      <c r="D196" t="e">
        <f>AND(#REF!,"AAAAAG22LwM=")</f>
        <v>#REF!</v>
      </c>
      <c r="E196" t="e">
        <f>AND(#REF!,"AAAAAG22LwQ=")</f>
        <v>#REF!</v>
      </c>
      <c r="F196" t="e">
        <f>IF(#REF!,"AAAAAG22LwU=",0)</f>
        <v>#REF!</v>
      </c>
      <c r="G196" t="e">
        <f>AND(#REF!,"AAAAAG22LwY=")</f>
        <v>#REF!</v>
      </c>
      <c r="H196" t="e">
        <f>AND(#REF!,"AAAAAG22Lwc=")</f>
        <v>#REF!</v>
      </c>
      <c r="I196" t="e">
        <f>AND(#REF!,"AAAAAG22Lwg=")</f>
        <v>#REF!</v>
      </c>
      <c r="J196" t="e">
        <f>AND(#REF!,"AAAAAG22Lwk=")</f>
        <v>#REF!</v>
      </c>
      <c r="K196" t="e">
        <f>AND(#REF!,"AAAAAG22Lwo=")</f>
        <v>#REF!</v>
      </c>
      <c r="L196" t="e">
        <f>AND(#REF!,"AAAAAG22Lws=")</f>
        <v>#REF!</v>
      </c>
      <c r="M196" t="e">
        <f>AND(#REF!,"AAAAAG22Lww=")</f>
        <v>#REF!</v>
      </c>
      <c r="N196" t="e">
        <f>AND(#REF!,"AAAAAG22Lw0=")</f>
        <v>#REF!</v>
      </c>
      <c r="O196" t="e">
        <f>AND(#REF!,"AAAAAG22Lw4=")</f>
        <v>#REF!</v>
      </c>
      <c r="P196" t="e">
        <f>AND(#REF!,"AAAAAG22Lw8=")</f>
        <v>#REF!</v>
      </c>
      <c r="Q196" t="e">
        <f>AND(#REF!,"AAAAAG22LxA=")</f>
        <v>#REF!</v>
      </c>
      <c r="R196" t="e">
        <f>AND(#REF!,"AAAAAG22LxE=")</f>
        <v>#REF!</v>
      </c>
      <c r="S196" t="e">
        <f>AND(#REF!,"AAAAAG22LxI=")</f>
        <v>#REF!</v>
      </c>
      <c r="T196" t="e">
        <f>AND(#REF!,"AAAAAG22LxM=")</f>
        <v>#REF!</v>
      </c>
      <c r="U196" t="e">
        <f>AND(#REF!,"AAAAAG22LxQ=")</f>
        <v>#REF!</v>
      </c>
      <c r="V196" t="e">
        <f>AND(#REF!,"AAAAAG22LxU=")</f>
        <v>#REF!</v>
      </c>
      <c r="W196" t="e">
        <f>AND(#REF!,"AAAAAG22LxY=")</f>
        <v>#REF!</v>
      </c>
      <c r="X196" t="e">
        <f>AND(#REF!,"AAAAAG22Lxc=")</f>
        <v>#REF!</v>
      </c>
      <c r="Y196" t="e">
        <f>AND(#REF!,"AAAAAG22Lxg=")</f>
        <v>#REF!</v>
      </c>
      <c r="Z196" t="e">
        <f>IF(#REF!,"AAAAAG22Lxk=",0)</f>
        <v>#REF!</v>
      </c>
      <c r="AA196" t="e">
        <f>AND(#REF!,"AAAAAG22Lxo=")</f>
        <v>#REF!</v>
      </c>
      <c r="AB196" t="e">
        <f>AND(#REF!,"AAAAAG22Lxs=")</f>
        <v>#REF!</v>
      </c>
      <c r="AC196" t="e">
        <f>AND(#REF!,"AAAAAG22Lxw=")</f>
        <v>#REF!</v>
      </c>
      <c r="AD196" t="e">
        <f>AND(#REF!,"AAAAAG22Lx0=")</f>
        <v>#REF!</v>
      </c>
      <c r="AE196" t="e">
        <f>AND(#REF!,"AAAAAG22Lx4=")</f>
        <v>#REF!</v>
      </c>
      <c r="AF196" t="e">
        <f>AND(#REF!,"AAAAAG22Lx8=")</f>
        <v>#REF!</v>
      </c>
      <c r="AG196" t="e">
        <f>AND(#REF!,"AAAAAG22LyA=")</f>
        <v>#REF!</v>
      </c>
      <c r="AH196" t="e">
        <f>AND(#REF!,"AAAAAG22LyE=")</f>
        <v>#REF!</v>
      </c>
      <c r="AI196" t="e">
        <f>AND(#REF!,"AAAAAG22LyI=")</f>
        <v>#REF!</v>
      </c>
      <c r="AJ196" t="e">
        <f>AND(#REF!,"AAAAAG22LyM=")</f>
        <v>#REF!</v>
      </c>
      <c r="AK196" t="e">
        <f>AND(#REF!,"AAAAAG22LyQ=")</f>
        <v>#REF!</v>
      </c>
      <c r="AL196" t="e">
        <f>AND(#REF!,"AAAAAG22LyU=")</f>
        <v>#REF!</v>
      </c>
      <c r="AM196" t="e">
        <f>AND(#REF!,"AAAAAG22LyY=")</f>
        <v>#REF!</v>
      </c>
      <c r="AN196" t="e">
        <f>AND(#REF!,"AAAAAG22Lyc=")</f>
        <v>#REF!</v>
      </c>
      <c r="AO196" t="e">
        <f>AND(#REF!,"AAAAAG22Lyg=")</f>
        <v>#REF!</v>
      </c>
      <c r="AP196" t="e">
        <f>AND(#REF!,"AAAAAG22Lyk=")</f>
        <v>#REF!</v>
      </c>
      <c r="AQ196" t="e">
        <f>AND(#REF!,"AAAAAG22Lyo=")</f>
        <v>#REF!</v>
      </c>
      <c r="AR196" t="e">
        <f>AND(#REF!,"AAAAAG22Lys=")</f>
        <v>#REF!</v>
      </c>
      <c r="AS196" t="e">
        <f>AND(#REF!,"AAAAAG22Lyw=")</f>
        <v>#REF!</v>
      </c>
      <c r="AT196" t="e">
        <f>IF(#REF!,"AAAAAG22Ly0=",0)</f>
        <v>#REF!</v>
      </c>
      <c r="AU196" t="e">
        <f>AND(#REF!,"AAAAAG22Ly4=")</f>
        <v>#REF!</v>
      </c>
      <c r="AV196" t="e">
        <f>AND(#REF!,"AAAAAG22Ly8=")</f>
        <v>#REF!</v>
      </c>
      <c r="AW196" t="e">
        <f>AND(#REF!,"AAAAAG22LzA=")</f>
        <v>#REF!</v>
      </c>
      <c r="AX196" t="e">
        <f>AND(#REF!,"AAAAAG22LzE=")</f>
        <v>#REF!</v>
      </c>
      <c r="AY196" t="e">
        <f>IF(#REF!,"AAAAAG22LzI=",0)</f>
        <v>#REF!</v>
      </c>
      <c r="AZ196" t="e">
        <f>AND(#REF!,"AAAAAG22LzM=")</f>
        <v>#REF!</v>
      </c>
      <c r="BA196" t="e">
        <f>AND(#REF!,"AAAAAG22LzQ=")</f>
        <v>#REF!</v>
      </c>
      <c r="BB196" t="e">
        <f>AND(#REF!,"AAAAAG22LzU=")</f>
        <v>#REF!</v>
      </c>
      <c r="BC196" t="e">
        <f>AND(#REF!,"AAAAAG22LzY=")</f>
        <v>#REF!</v>
      </c>
      <c r="BD196" t="e">
        <f>IF(#REF!,"AAAAAG22Lzc=",0)</f>
        <v>#REF!</v>
      </c>
      <c r="BE196" t="e">
        <f>AND(#REF!,"AAAAAG22Lzg=")</f>
        <v>#REF!</v>
      </c>
      <c r="BF196" t="e">
        <f>AND(#REF!,"AAAAAG22Lzk=")</f>
        <v>#REF!</v>
      </c>
      <c r="BG196" t="e">
        <f>AND(#REF!,"AAAAAG22Lzo=")</f>
        <v>#REF!</v>
      </c>
      <c r="BH196" t="e">
        <f>AND(#REF!,"AAAAAG22Lzs=")</f>
        <v>#REF!</v>
      </c>
      <c r="BI196" t="e">
        <f>IF(#REF!,"AAAAAG22Lzw=",0)</f>
        <v>#REF!</v>
      </c>
      <c r="BJ196" t="e">
        <f>AND(#REF!,"AAAAAG22Lz0=")</f>
        <v>#REF!</v>
      </c>
      <c r="BK196" t="e">
        <f>AND(#REF!,"AAAAAG22Lz4=")</f>
        <v>#REF!</v>
      </c>
      <c r="BL196" t="e">
        <f>AND(#REF!,"AAAAAG22Lz8=")</f>
        <v>#REF!</v>
      </c>
      <c r="BM196" t="e">
        <f>AND(#REF!,"AAAAAG22L0A=")</f>
        <v>#REF!</v>
      </c>
      <c r="BN196" t="e">
        <f>IF(#REF!,"AAAAAG22L0E=",0)</f>
        <v>#REF!</v>
      </c>
      <c r="BO196" t="e">
        <f>AND(#REF!,"AAAAAG22L0I=")</f>
        <v>#REF!</v>
      </c>
      <c r="BP196" t="e">
        <f>AND(#REF!,"AAAAAG22L0M=")</f>
        <v>#REF!</v>
      </c>
      <c r="BQ196" t="e">
        <f>AND(#REF!,"AAAAAG22L0Q=")</f>
        <v>#REF!</v>
      </c>
      <c r="BR196" t="e">
        <f>AND(#REF!,"AAAAAG22L0U=")</f>
        <v>#REF!</v>
      </c>
      <c r="BS196" t="e">
        <f>IF(#REF!,"AAAAAG22L0Y=",0)</f>
        <v>#REF!</v>
      </c>
      <c r="BT196" t="e">
        <f>AND(#REF!,"AAAAAG22L0c=")</f>
        <v>#REF!</v>
      </c>
      <c r="BU196" t="e">
        <f>AND(#REF!,"AAAAAG22L0g=")</f>
        <v>#REF!</v>
      </c>
      <c r="BV196" t="e">
        <f>AND(#REF!,"AAAAAG22L0k=")</f>
        <v>#REF!</v>
      </c>
      <c r="BW196" t="e">
        <f>AND(#REF!,"AAAAAG22L0o=")</f>
        <v>#REF!</v>
      </c>
      <c r="BX196" t="e">
        <f>IF(#REF!,"AAAAAG22L0s=",0)</f>
        <v>#REF!</v>
      </c>
      <c r="BY196" t="e">
        <f>AND(#REF!,"AAAAAG22L0w=")</f>
        <v>#REF!</v>
      </c>
      <c r="BZ196" t="e">
        <f>AND(#REF!,"AAAAAG22L00=")</f>
        <v>#REF!</v>
      </c>
      <c r="CA196" t="e">
        <f>AND(#REF!,"AAAAAG22L04=")</f>
        <v>#REF!</v>
      </c>
      <c r="CB196" t="e">
        <f>AND(#REF!,"AAAAAG22L08=")</f>
        <v>#REF!</v>
      </c>
      <c r="CC196" t="e">
        <f>IF(#REF!,"AAAAAG22L1A=",0)</f>
        <v>#REF!</v>
      </c>
      <c r="CD196" t="e">
        <f>AND(#REF!,"AAAAAG22L1E=")</f>
        <v>#REF!</v>
      </c>
      <c r="CE196" t="e">
        <f>AND(#REF!,"AAAAAG22L1I=")</f>
        <v>#REF!</v>
      </c>
      <c r="CF196" t="e">
        <f>AND(#REF!,"AAAAAG22L1M=")</f>
        <v>#REF!</v>
      </c>
      <c r="CG196" t="e">
        <f>AND(#REF!,"AAAAAG22L1Q=")</f>
        <v>#REF!</v>
      </c>
      <c r="CH196" t="e">
        <f>IF(#REF!,"AAAAAG22L1U=",0)</f>
        <v>#REF!</v>
      </c>
      <c r="CI196" t="e">
        <f>AND(#REF!,"AAAAAG22L1Y=")</f>
        <v>#REF!</v>
      </c>
      <c r="CJ196" t="e">
        <f>AND(#REF!,"AAAAAG22L1c=")</f>
        <v>#REF!</v>
      </c>
      <c r="CK196" t="e">
        <f>AND(#REF!,"AAAAAG22L1g=")</f>
        <v>#REF!</v>
      </c>
      <c r="CL196" t="e">
        <f>AND(#REF!,"AAAAAG22L1k=")</f>
        <v>#REF!</v>
      </c>
      <c r="CM196" t="e">
        <f>IF(#REF!,"AAAAAG22L1o=",0)</f>
        <v>#REF!</v>
      </c>
      <c r="CN196" t="e">
        <f>AND(#REF!,"AAAAAG22L1s=")</f>
        <v>#REF!</v>
      </c>
      <c r="CO196" t="e">
        <f>AND(#REF!,"AAAAAG22L1w=")</f>
        <v>#REF!</v>
      </c>
      <c r="CP196" t="e">
        <f>AND(#REF!,"AAAAAG22L10=")</f>
        <v>#REF!</v>
      </c>
      <c r="CQ196" t="e">
        <f>AND(#REF!,"AAAAAG22L14=")</f>
        <v>#REF!</v>
      </c>
      <c r="CR196" t="e">
        <f>IF(#REF!,"AAAAAG22L18=",0)</f>
        <v>#REF!</v>
      </c>
      <c r="CS196" t="e">
        <f>AND(#REF!,"AAAAAG22L2A=")</f>
        <v>#REF!</v>
      </c>
      <c r="CT196" t="e">
        <f>AND(#REF!,"AAAAAG22L2E=")</f>
        <v>#REF!</v>
      </c>
      <c r="CU196" t="e">
        <f>AND(#REF!,"AAAAAG22L2I=")</f>
        <v>#REF!</v>
      </c>
      <c r="CV196" t="e">
        <f>AND(#REF!,"AAAAAG22L2M=")</f>
        <v>#REF!</v>
      </c>
      <c r="CW196" t="e">
        <f>IF(#REF!,"AAAAAG22L2Q=",0)</f>
        <v>#REF!</v>
      </c>
      <c r="CX196" t="e">
        <f>AND(#REF!,"AAAAAG22L2U=")</f>
        <v>#REF!</v>
      </c>
      <c r="CY196" t="e">
        <f>AND(#REF!,"AAAAAG22L2Y=")</f>
        <v>#REF!</v>
      </c>
      <c r="CZ196" t="e">
        <f>AND(#REF!,"AAAAAG22L2c=")</f>
        <v>#REF!</v>
      </c>
      <c r="DA196" t="e">
        <f>AND(#REF!,"AAAAAG22L2g=")</f>
        <v>#REF!</v>
      </c>
      <c r="DB196" t="e">
        <f>IF(#REF!,"AAAAAG22L2k=",0)</f>
        <v>#REF!</v>
      </c>
      <c r="DC196" t="e">
        <f>AND(#REF!,"AAAAAG22L2o=")</f>
        <v>#REF!</v>
      </c>
      <c r="DD196" t="e">
        <f>AND(#REF!,"AAAAAG22L2s=")</f>
        <v>#REF!</v>
      </c>
      <c r="DE196" t="e">
        <f>AND(#REF!,"AAAAAG22L2w=")</f>
        <v>#REF!</v>
      </c>
      <c r="DF196" t="e">
        <f>AND(#REF!,"AAAAAG22L20=")</f>
        <v>#REF!</v>
      </c>
      <c r="DG196" t="e">
        <f>IF(#REF!,"AAAAAG22L24=",0)</f>
        <v>#REF!</v>
      </c>
      <c r="DH196" t="e">
        <f>AND(#REF!,"AAAAAG22L28=")</f>
        <v>#REF!</v>
      </c>
      <c r="DI196" t="e">
        <f>AND(#REF!,"AAAAAG22L3A=")</f>
        <v>#REF!</v>
      </c>
      <c r="DJ196" t="e">
        <f>AND(#REF!,"AAAAAG22L3E=")</f>
        <v>#REF!</v>
      </c>
      <c r="DK196" t="e">
        <f>AND(#REF!,"AAAAAG22L3I=")</f>
        <v>#REF!</v>
      </c>
      <c r="DL196" t="e">
        <f>IF(#REF!,"AAAAAG22L3M=",0)</f>
        <v>#REF!</v>
      </c>
      <c r="DM196" t="e">
        <f>AND(#REF!,"AAAAAG22L3Q=")</f>
        <v>#REF!</v>
      </c>
      <c r="DN196" t="e">
        <f>AND(#REF!,"AAAAAG22L3U=")</f>
        <v>#REF!</v>
      </c>
      <c r="DO196" t="e">
        <f>AND(#REF!,"AAAAAG22L3Y=")</f>
        <v>#REF!</v>
      </c>
      <c r="DP196" t="e">
        <f>AND(#REF!,"AAAAAG22L3c=")</f>
        <v>#REF!</v>
      </c>
      <c r="DQ196" t="e">
        <f>IF(#REF!,"AAAAAG22L3g=",0)</f>
        <v>#REF!</v>
      </c>
      <c r="DR196" t="e">
        <f>AND(#REF!,"AAAAAG22L3k=")</f>
        <v>#REF!</v>
      </c>
      <c r="DS196" t="e">
        <f>AND(#REF!,"AAAAAG22L3o=")</f>
        <v>#REF!</v>
      </c>
      <c r="DT196" t="e">
        <f>AND(#REF!,"AAAAAG22L3s=")</f>
        <v>#REF!</v>
      </c>
      <c r="DU196" t="e">
        <f>AND(#REF!,"AAAAAG22L3w=")</f>
        <v>#REF!</v>
      </c>
      <c r="DV196" t="e">
        <f>IF(#REF!,"AAAAAG22L30=",0)</f>
        <v>#REF!</v>
      </c>
      <c r="DW196" t="e">
        <f>AND(#REF!,"AAAAAG22L34=")</f>
        <v>#REF!</v>
      </c>
      <c r="DX196" t="e">
        <f>AND(#REF!,"AAAAAG22L38=")</f>
        <v>#REF!</v>
      </c>
      <c r="DY196" t="e">
        <f>AND(#REF!,"AAAAAG22L4A=")</f>
        <v>#REF!</v>
      </c>
      <c r="DZ196" t="e">
        <f>AND(#REF!,"AAAAAG22L4E=")</f>
        <v>#REF!</v>
      </c>
      <c r="EA196" t="e">
        <f>IF(#REF!,"AAAAAG22L4I=",0)</f>
        <v>#REF!</v>
      </c>
      <c r="EB196" t="e">
        <f>AND(#REF!,"AAAAAG22L4M=")</f>
        <v>#REF!</v>
      </c>
      <c r="EC196" t="e">
        <f>AND(#REF!,"AAAAAG22L4Q=")</f>
        <v>#REF!</v>
      </c>
      <c r="ED196" t="e">
        <f>AND(#REF!,"AAAAAG22L4U=")</f>
        <v>#REF!</v>
      </c>
      <c r="EE196" t="e">
        <f>AND(#REF!,"AAAAAG22L4Y=")</f>
        <v>#REF!</v>
      </c>
      <c r="EF196" t="e">
        <f>IF(#REF!,"AAAAAG22L4c=",0)</f>
        <v>#REF!</v>
      </c>
      <c r="EG196" t="e">
        <f>AND(#REF!,"AAAAAG22L4g=")</f>
        <v>#REF!</v>
      </c>
      <c r="EH196" t="e">
        <f>AND(#REF!,"AAAAAG22L4k=")</f>
        <v>#REF!</v>
      </c>
      <c r="EI196" t="e">
        <f>AND(#REF!,"AAAAAG22L4o=")</f>
        <v>#REF!</v>
      </c>
      <c r="EJ196" t="e">
        <f>AND(#REF!,"AAAAAG22L4s=")</f>
        <v>#REF!</v>
      </c>
      <c r="EK196" t="e">
        <f>IF(#REF!,"AAAAAG22L4w=",0)</f>
        <v>#REF!</v>
      </c>
      <c r="EL196" t="e">
        <f>AND(#REF!,"AAAAAG22L40=")</f>
        <v>#REF!</v>
      </c>
      <c r="EM196" t="e">
        <f>AND(#REF!,"AAAAAG22L44=")</f>
        <v>#REF!</v>
      </c>
      <c r="EN196" t="e">
        <f>AND(#REF!,"AAAAAG22L48=")</f>
        <v>#REF!</v>
      </c>
      <c r="EO196" t="e">
        <f>AND(#REF!,"AAAAAG22L5A=")</f>
        <v>#REF!</v>
      </c>
      <c r="EP196" t="e">
        <f>IF(#REF!,"AAAAAG22L5E=",0)</f>
        <v>#REF!</v>
      </c>
      <c r="EQ196" t="e">
        <f>AND(#REF!,"AAAAAG22L5I=")</f>
        <v>#REF!</v>
      </c>
      <c r="ER196" t="e">
        <f>AND(#REF!,"AAAAAG22L5M=")</f>
        <v>#REF!</v>
      </c>
      <c r="ES196" t="e">
        <f>AND(#REF!,"AAAAAG22L5Q=")</f>
        <v>#REF!</v>
      </c>
      <c r="ET196" t="e">
        <f>AND(#REF!,"AAAAAG22L5U=")</f>
        <v>#REF!</v>
      </c>
      <c r="EU196" t="e">
        <f>IF(#REF!,"AAAAAG22L5Y=",0)</f>
        <v>#REF!</v>
      </c>
      <c r="EV196" t="e">
        <f>AND(#REF!,"AAAAAG22L5c=")</f>
        <v>#REF!</v>
      </c>
      <c r="EW196" t="e">
        <f>AND(#REF!,"AAAAAG22L5g=")</f>
        <v>#REF!</v>
      </c>
      <c r="EX196" t="e">
        <f>AND(#REF!,"AAAAAG22L5k=")</f>
        <v>#REF!</v>
      </c>
      <c r="EY196" t="e">
        <f>AND(#REF!,"AAAAAG22L5o=")</f>
        <v>#REF!</v>
      </c>
      <c r="EZ196" t="e">
        <f>IF(#REF!,"AAAAAG22L5s=",0)</f>
        <v>#REF!</v>
      </c>
      <c r="FA196" t="e">
        <f>AND(#REF!,"AAAAAG22L5w=")</f>
        <v>#REF!</v>
      </c>
      <c r="FB196" t="e">
        <f>AND(#REF!,"AAAAAG22L50=")</f>
        <v>#REF!</v>
      </c>
      <c r="FC196" t="e">
        <f>AND(#REF!,"AAAAAG22L54=")</f>
        <v>#REF!</v>
      </c>
      <c r="FD196" t="e">
        <f>AND(#REF!,"AAAAAG22L58=")</f>
        <v>#REF!</v>
      </c>
      <c r="FE196" t="e">
        <f>IF(#REF!,"AAAAAG22L6A=",0)</f>
        <v>#REF!</v>
      </c>
      <c r="FF196" t="e">
        <f>AND(#REF!,"AAAAAG22L6E=")</f>
        <v>#REF!</v>
      </c>
      <c r="FG196" t="e">
        <f>AND(#REF!,"AAAAAG22L6I=")</f>
        <v>#REF!</v>
      </c>
      <c r="FH196" t="e">
        <f>AND(#REF!,"AAAAAG22L6M=")</f>
        <v>#REF!</v>
      </c>
      <c r="FI196" t="e">
        <f>AND(#REF!,"AAAAAG22L6Q=")</f>
        <v>#REF!</v>
      </c>
      <c r="FJ196" t="e">
        <f>IF(#REF!,"AAAAAG22L6U=",0)</f>
        <v>#REF!</v>
      </c>
      <c r="FK196" t="e">
        <f>AND(#REF!,"AAAAAG22L6Y=")</f>
        <v>#REF!</v>
      </c>
      <c r="FL196" t="e">
        <f>AND(#REF!,"AAAAAG22L6c=")</f>
        <v>#REF!</v>
      </c>
      <c r="FM196" t="e">
        <f>AND(#REF!,"AAAAAG22L6g=")</f>
        <v>#REF!</v>
      </c>
      <c r="FN196" t="e">
        <f>AND(#REF!,"AAAAAG22L6k=")</f>
        <v>#REF!</v>
      </c>
      <c r="FO196" t="e">
        <f>IF(#REF!,"AAAAAG22L6o=",0)</f>
        <v>#REF!</v>
      </c>
      <c r="FP196" t="e">
        <f>AND(#REF!,"AAAAAG22L6s=")</f>
        <v>#REF!</v>
      </c>
      <c r="FQ196" t="e">
        <f>AND(#REF!,"AAAAAG22L6w=")</f>
        <v>#REF!</v>
      </c>
      <c r="FR196" t="e">
        <f>AND(#REF!,"AAAAAG22L60=")</f>
        <v>#REF!</v>
      </c>
      <c r="FS196" t="e">
        <f>AND(#REF!,"AAAAAG22L64=")</f>
        <v>#REF!</v>
      </c>
      <c r="FT196" t="e">
        <f>IF(#REF!,"AAAAAG22L68=",0)</f>
        <v>#REF!</v>
      </c>
      <c r="FU196" t="e">
        <f>AND(#REF!,"AAAAAG22L7A=")</f>
        <v>#REF!</v>
      </c>
      <c r="FV196" t="e">
        <f>AND(#REF!,"AAAAAG22L7E=")</f>
        <v>#REF!</v>
      </c>
      <c r="FW196" t="e">
        <f>AND(#REF!,"AAAAAG22L7I=")</f>
        <v>#REF!</v>
      </c>
      <c r="FX196" t="e">
        <f>AND(#REF!,"AAAAAG22L7M=")</f>
        <v>#REF!</v>
      </c>
      <c r="FY196" t="e">
        <f>IF(#REF!,"AAAAAG22L7Q=",0)</f>
        <v>#REF!</v>
      </c>
      <c r="FZ196" t="e">
        <f>AND(#REF!,"AAAAAG22L7U=")</f>
        <v>#REF!</v>
      </c>
      <c r="GA196" t="e">
        <f>AND(#REF!,"AAAAAG22L7Y=")</f>
        <v>#REF!</v>
      </c>
      <c r="GB196" t="e">
        <f>AND(#REF!,"AAAAAG22L7c=")</f>
        <v>#REF!</v>
      </c>
      <c r="GC196" t="e">
        <f>AND(#REF!,"AAAAAG22L7g=")</f>
        <v>#REF!</v>
      </c>
      <c r="GD196" t="e">
        <f>IF(#REF!,"AAAAAG22L7k=",0)</f>
        <v>#REF!</v>
      </c>
      <c r="GE196" t="e">
        <f>AND(#REF!,"AAAAAG22L7o=")</f>
        <v>#REF!</v>
      </c>
      <c r="GF196" t="e">
        <f>AND(#REF!,"AAAAAG22L7s=")</f>
        <v>#REF!</v>
      </c>
      <c r="GG196" t="e">
        <f>AND(#REF!,"AAAAAG22L7w=")</f>
        <v>#REF!</v>
      </c>
      <c r="GH196" t="e">
        <f>AND(#REF!,"AAAAAG22L70=")</f>
        <v>#REF!</v>
      </c>
      <c r="GI196" t="e">
        <f>IF(#REF!,"AAAAAG22L74=",0)</f>
        <v>#REF!</v>
      </c>
      <c r="GJ196" t="e">
        <f>AND(#REF!,"AAAAAG22L78=")</f>
        <v>#REF!</v>
      </c>
      <c r="GK196" t="e">
        <f>AND(#REF!,"AAAAAG22L8A=")</f>
        <v>#REF!</v>
      </c>
      <c r="GL196" t="e">
        <f>AND(#REF!,"AAAAAG22L8E=")</f>
        <v>#REF!</v>
      </c>
      <c r="GM196" t="e">
        <f>AND(#REF!,"AAAAAG22L8I=")</f>
        <v>#REF!</v>
      </c>
      <c r="GN196" t="e">
        <f>IF(#REF!,"AAAAAG22L8M=",0)</f>
        <v>#REF!</v>
      </c>
      <c r="GO196" t="e">
        <f>AND(#REF!,"AAAAAG22L8Q=")</f>
        <v>#REF!</v>
      </c>
      <c r="GP196" t="e">
        <f>AND(#REF!,"AAAAAG22L8U=")</f>
        <v>#REF!</v>
      </c>
      <c r="GQ196" t="e">
        <f>AND(#REF!,"AAAAAG22L8Y=")</f>
        <v>#REF!</v>
      </c>
      <c r="GR196" t="e">
        <f>AND(#REF!,"AAAAAG22L8c=")</f>
        <v>#REF!</v>
      </c>
      <c r="GS196" t="e">
        <f>IF(#REF!,"AAAAAG22L8g=",0)</f>
        <v>#REF!</v>
      </c>
      <c r="GT196" t="e">
        <f>AND(#REF!,"AAAAAG22L8k=")</f>
        <v>#REF!</v>
      </c>
      <c r="GU196" t="e">
        <f>AND(#REF!,"AAAAAG22L8o=")</f>
        <v>#REF!</v>
      </c>
      <c r="GV196" t="e">
        <f>AND(#REF!,"AAAAAG22L8s=")</f>
        <v>#REF!</v>
      </c>
      <c r="GW196" t="e">
        <f>AND(#REF!,"AAAAAG22L8w=")</f>
        <v>#REF!</v>
      </c>
      <c r="GX196" t="e">
        <f>IF(#REF!,"AAAAAG22L80=",0)</f>
        <v>#REF!</v>
      </c>
      <c r="GY196" t="e">
        <f>AND(#REF!,"AAAAAG22L84=")</f>
        <v>#REF!</v>
      </c>
      <c r="GZ196" t="e">
        <f>AND(#REF!,"AAAAAG22L88=")</f>
        <v>#REF!</v>
      </c>
      <c r="HA196" t="e">
        <f>AND(#REF!,"AAAAAG22L9A=")</f>
        <v>#REF!</v>
      </c>
      <c r="HB196" t="e">
        <f>AND(#REF!,"AAAAAG22L9E=")</f>
        <v>#REF!</v>
      </c>
      <c r="HC196" t="e">
        <f>IF(#REF!,"AAAAAG22L9I=",0)</f>
        <v>#REF!</v>
      </c>
      <c r="HD196" t="e">
        <f>AND(#REF!,"AAAAAG22L9M=")</f>
        <v>#REF!</v>
      </c>
      <c r="HE196" t="e">
        <f>AND(#REF!,"AAAAAG22L9Q=")</f>
        <v>#REF!</v>
      </c>
      <c r="HF196" t="e">
        <f>AND(#REF!,"AAAAAG22L9U=")</f>
        <v>#REF!</v>
      </c>
      <c r="HG196" t="e">
        <f>AND(#REF!,"AAAAAG22L9Y=")</f>
        <v>#REF!</v>
      </c>
      <c r="HH196" t="e">
        <f>IF(#REF!,"AAAAAG22L9c=",0)</f>
        <v>#REF!</v>
      </c>
      <c r="HI196" t="e">
        <f>IF(#REF!,"AAAAAG22L9g=",0)</f>
        <v>#REF!</v>
      </c>
      <c r="HJ196" t="e">
        <f>IF(#REF!,"AAAAAG22L9k=",0)</f>
        <v>#REF!</v>
      </c>
      <c r="HK196" t="e">
        <f>IF(#REF!,"AAAAAG22L9o=",0)</f>
        <v>#REF!</v>
      </c>
      <c r="HL196" t="e">
        <f>IF(#REF!,"AAAAAG22L9s=",0)</f>
        <v>#REF!</v>
      </c>
      <c r="HM196" t="e">
        <f>IF(#REF!,"AAAAAG22L9w=",0)</f>
        <v>#REF!</v>
      </c>
      <c r="HN196" t="e">
        <f>IF(#REF!,"AAAAAG22L90=",0)</f>
        <v>#REF!</v>
      </c>
      <c r="HO196" t="e">
        <f>IF(#REF!,"AAAAAG22L94=",0)</f>
        <v>#REF!</v>
      </c>
      <c r="HP196" t="e">
        <f>IF(#REF!,"AAAAAG22L98=",0)</f>
        <v>#REF!</v>
      </c>
      <c r="HQ196" t="e">
        <f>IF(#REF!,"AAAAAG22L+A=",0)</f>
        <v>#REF!</v>
      </c>
      <c r="HR196" t="e">
        <f>IF(#REF!,"AAAAAG22L+E=",0)</f>
        <v>#REF!</v>
      </c>
      <c r="HS196" t="e">
        <f>IF(#REF!,"AAAAAG22L+I=",0)</f>
        <v>#REF!</v>
      </c>
      <c r="HT196" t="e">
        <f>IF(#REF!,"AAAAAG22L+M=",0)</f>
        <v>#REF!</v>
      </c>
      <c r="HU196" t="e">
        <f>IF(#REF!,"AAAAAG22L+Q=",0)</f>
        <v>#REF!</v>
      </c>
      <c r="HV196" t="e">
        <f>IF(#REF!,"AAAAAG22L+U=",0)</f>
        <v>#REF!</v>
      </c>
      <c r="HW196" t="e">
        <f>IF(#REF!,"AAAAAG22L+Y=",0)</f>
        <v>#REF!</v>
      </c>
      <c r="HX196" t="e">
        <f>IF(#REF!,"AAAAAG22L+c=",0)</f>
        <v>#REF!</v>
      </c>
      <c r="HY196" t="e">
        <f>IF(#REF!,"AAAAAG22L+g=",0)</f>
        <v>#REF!</v>
      </c>
      <c r="HZ196" t="e">
        <f>IF(#REF!,"AAAAAG22L+k=",0)</f>
        <v>#REF!</v>
      </c>
      <c r="IA196" t="e">
        <f>IF(#REF!,"AAAAAG22L+o=",0)</f>
        <v>#REF!</v>
      </c>
      <c r="IB196" t="e">
        <f>AND(#REF!,"AAAAAG22L+s=")</f>
        <v>#REF!</v>
      </c>
      <c r="IC196" t="e">
        <f>AND(#REF!,"AAAAAG22L+w=")</f>
        <v>#REF!</v>
      </c>
      <c r="ID196" t="e">
        <f>AND(#REF!,"AAAAAG22L+0=")</f>
        <v>#REF!</v>
      </c>
      <c r="IE196" t="e">
        <f>AND(#REF!,"AAAAAG22L+4=")</f>
        <v>#REF!</v>
      </c>
      <c r="IF196" t="e">
        <f>AND(#REF!,"AAAAAG22L+8=")</f>
        <v>#REF!</v>
      </c>
      <c r="IG196" t="e">
        <f>AND(#REF!,"AAAAAG22L/A=")</f>
        <v>#REF!</v>
      </c>
      <c r="IH196" t="e">
        <f>AND(#REF!,"AAAAAG22L/E=")</f>
        <v>#REF!</v>
      </c>
      <c r="II196" t="e">
        <f>AND(#REF!,"AAAAAG22L/I=")</f>
        <v>#REF!</v>
      </c>
      <c r="IJ196" t="e">
        <f>AND(#REF!,"AAAAAG22L/M=")</f>
        <v>#REF!</v>
      </c>
      <c r="IK196" t="e">
        <f>AND(#REF!,"AAAAAG22L/Q=")</f>
        <v>#REF!</v>
      </c>
      <c r="IL196" t="e">
        <f>AND(#REF!,"AAAAAG22L/U=")</f>
        <v>#REF!</v>
      </c>
      <c r="IM196" t="e">
        <f>AND(#REF!,"AAAAAG22L/Y=")</f>
        <v>#REF!</v>
      </c>
      <c r="IN196" t="e">
        <f>AND(#REF!,"AAAAAG22L/c=")</f>
        <v>#REF!</v>
      </c>
      <c r="IO196" t="e">
        <f>AND(#REF!,"AAAAAG22L/g=")</f>
        <v>#REF!</v>
      </c>
      <c r="IP196" t="e">
        <f>AND(#REF!,"AAAAAG22L/k=")</f>
        <v>#REF!</v>
      </c>
      <c r="IQ196" t="e">
        <f>AND(#REF!,"AAAAAG22L/o=")</f>
        <v>#REF!</v>
      </c>
      <c r="IR196" t="e">
        <f>AND(#REF!,"AAAAAG22L/s=")</f>
        <v>#REF!</v>
      </c>
      <c r="IS196" t="e">
        <f>AND(#REF!,"AAAAAG22L/w=")</f>
        <v>#REF!</v>
      </c>
      <c r="IT196" t="e">
        <f>AND(#REF!,"AAAAAG22L/0=")</f>
        <v>#REF!</v>
      </c>
      <c r="IU196" t="e">
        <f>AND(#REF!,"AAAAAG22L/4=")</f>
        <v>#REF!</v>
      </c>
      <c r="IV196" t="e">
        <f>AND(#REF!,"AAAAAG22L/8=")</f>
        <v>#REF!</v>
      </c>
    </row>
    <row r="197" spans="1:256" x14ac:dyDescent="0.25">
      <c r="A197" t="e">
        <f>AND(#REF!,"AAAAAD//vAA=")</f>
        <v>#REF!</v>
      </c>
      <c r="B197" t="e">
        <f>AND(#REF!,"AAAAAD//vAE=")</f>
        <v>#REF!</v>
      </c>
      <c r="C197" t="e">
        <f>AND(#REF!,"AAAAAD//vAI=")</f>
        <v>#REF!</v>
      </c>
      <c r="D197" t="e">
        <f>IF(#REF!,"AAAAAD//vAM=",0)</f>
        <v>#REF!</v>
      </c>
      <c r="E197" t="e">
        <f>AND(#REF!,"AAAAAD//vAQ=")</f>
        <v>#REF!</v>
      </c>
      <c r="F197" t="e">
        <f>AND(#REF!,"AAAAAD//vAU=")</f>
        <v>#REF!</v>
      </c>
      <c r="G197" t="e">
        <f>AND(#REF!,"AAAAAD//vAY=")</f>
        <v>#REF!</v>
      </c>
      <c r="H197" t="e">
        <f>AND(#REF!,"AAAAAD//vAc=")</f>
        <v>#REF!</v>
      </c>
      <c r="I197" t="e">
        <f>AND(#REF!,"AAAAAD//vAg=")</f>
        <v>#REF!</v>
      </c>
      <c r="J197" t="e">
        <f>AND(#REF!,"AAAAAD//vAk=")</f>
        <v>#REF!</v>
      </c>
      <c r="K197" t="e">
        <f>AND(#REF!,"AAAAAD//vAo=")</f>
        <v>#REF!</v>
      </c>
      <c r="L197" t="e">
        <f>AND(#REF!,"AAAAAD//vAs=")</f>
        <v>#REF!</v>
      </c>
      <c r="M197" t="e">
        <f>AND(#REF!,"AAAAAD//vAw=")</f>
        <v>#REF!</v>
      </c>
      <c r="N197" t="e">
        <f>AND(#REF!,"AAAAAD//vA0=")</f>
        <v>#REF!</v>
      </c>
      <c r="O197" t="e">
        <f>AND(#REF!,"AAAAAD//vA4=")</f>
        <v>#REF!</v>
      </c>
      <c r="P197" t="e">
        <f>AND(#REF!,"AAAAAD//vA8=")</f>
        <v>#REF!</v>
      </c>
      <c r="Q197" t="e">
        <f>AND(#REF!,"AAAAAD//vBA=")</f>
        <v>#REF!</v>
      </c>
      <c r="R197" t="e">
        <f>AND(#REF!,"AAAAAD//vBE=")</f>
        <v>#REF!</v>
      </c>
      <c r="S197" t="e">
        <f>AND(#REF!,"AAAAAD//vBI=")</f>
        <v>#REF!</v>
      </c>
      <c r="T197" t="e">
        <f>AND(#REF!,"AAAAAD//vBM=")</f>
        <v>#REF!</v>
      </c>
      <c r="U197" t="e">
        <f>AND(#REF!,"AAAAAD//vBQ=")</f>
        <v>#REF!</v>
      </c>
      <c r="V197" t="e">
        <f>AND(#REF!,"AAAAAD//vBU=")</f>
        <v>#REF!</v>
      </c>
      <c r="W197" t="e">
        <f>AND(#REF!,"AAAAAD//vBY=")</f>
        <v>#REF!</v>
      </c>
      <c r="X197" t="e">
        <f>AND(#REF!,"AAAAAD//vBc=")</f>
        <v>#REF!</v>
      </c>
      <c r="Y197" t="e">
        <f>AND(#REF!,"AAAAAD//vBg=")</f>
        <v>#REF!</v>
      </c>
      <c r="Z197" t="e">
        <f>AND(#REF!,"AAAAAD//vBk=")</f>
        <v>#REF!</v>
      </c>
      <c r="AA197" t="e">
        <f>AND(#REF!,"AAAAAD//vBo=")</f>
        <v>#REF!</v>
      </c>
      <c r="AB197" t="e">
        <f>AND(#REF!,"AAAAAD//vBs=")</f>
        <v>#REF!</v>
      </c>
      <c r="AC197" t="e">
        <f>IF(#REF!,"AAAAAD//vBw=",0)</f>
        <v>#REF!</v>
      </c>
      <c r="AD197" t="e">
        <f>AND(#REF!,"AAAAAD//vB0=")</f>
        <v>#REF!</v>
      </c>
      <c r="AE197" t="e">
        <f>AND(#REF!,"AAAAAD//vB4=")</f>
        <v>#REF!</v>
      </c>
      <c r="AF197" t="e">
        <f>AND(#REF!,"AAAAAD//vB8=")</f>
        <v>#REF!</v>
      </c>
      <c r="AG197" t="e">
        <f>AND(#REF!,"AAAAAD//vCA=")</f>
        <v>#REF!</v>
      </c>
      <c r="AH197" t="e">
        <f>AND(#REF!,"AAAAAD//vCE=")</f>
        <v>#REF!</v>
      </c>
      <c r="AI197" t="e">
        <f>AND(#REF!,"AAAAAD//vCI=")</f>
        <v>#REF!</v>
      </c>
      <c r="AJ197" t="e">
        <f>AND(#REF!,"AAAAAD//vCM=")</f>
        <v>#REF!</v>
      </c>
      <c r="AK197" t="e">
        <f>AND(#REF!,"AAAAAD//vCQ=")</f>
        <v>#REF!</v>
      </c>
      <c r="AL197" t="e">
        <f>AND(#REF!,"AAAAAD//vCU=")</f>
        <v>#REF!</v>
      </c>
      <c r="AM197" t="e">
        <f>AND(#REF!,"AAAAAD//vCY=")</f>
        <v>#REF!</v>
      </c>
      <c r="AN197" t="e">
        <f>AND(#REF!,"AAAAAD//vCc=")</f>
        <v>#REF!</v>
      </c>
      <c r="AO197" t="e">
        <f>AND(#REF!,"AAAAAD//vCg=")</f>
        <v>#REF!</v>
      </c>
      <c r="AP197" t="e">
        <f>AND(#REF!,"AAAAAD//vCk=")</f>
        <v>#REF!</v>
      </c>
      <c r="AQ197" t="e">
        <f>AND(#REF!,"AAAAAD//vCo=")</f>
        <v>#REF!</v>
      </c>
      <c r="AR197" t="e">
        <f>AND(#REF!,"AAAAAD//vCs=")</f>
        <v>#REF!</v>
      </c>
      <c r="AS197" t="e">
        <f>AND(#REF!,"AAAAAD//vCw=")</f>
        <v>#REF!</v>
      </c>
      <c r="AT197" t="e">
        <f>AND(#REF!,"AAAAAD//vC0=")</f>
        <v>#REF!</v>
      </c>
      <c r="AU197" t="e">
        <f>AND(#REF!,"AAAAAD//vC4=")</f>
        <v>#REF!</v>
      </c>
      <c r="AV197" t="e">
        <f>AND(#REF!,"AAAAAD//vC8=")</f>
        <v>#REF!</v>
      </c>
      <c r="AW197" t="e">
        <f>AND(#REF!,"AAAAAD//vDA=")</f>
        <v>#REF!</v>
      </c>
      <c r="AX197" t="e">
        <f>AND(#REF!,"AAAAAD//vDE=")</f>
        <v>#REF!</v>
      </c>
      <c r="AY197" t="e">
        <f>AND(#REF!,"AAAAAD//vDI=")</f>
        <v>#REF!</v>
      </c>
      <c r="AZ197" t="e">
        <f>AND(#REF!,"AAAAAD//vDM=")</f>
        <v>#REF!</v>
      </c>
      <c r="BA197" t="e">
        <f>AND(#REF!,"AAAAAD//vDQ=")</f>
        <v>#REF!</v>
      </c>
      <c r="BB197" t="e">
        <f>IF(#REF!,"AAAAAD//vDU=",0)</f>
        <v>#REF!</v>
      </c>
      <c r="BC197" t="e">
        <f>AND(#REF!,"AAAAAD//vDY=")</f>
        <v>#REF!</v>
      </c>
      <c r="BD197" t="e">
        <f>AND(#REF!,"AAAAAD//vDc=")</f>
        <v>#REF!</v>
      </c>
      <c r="BE197" t="e">
        <f>AND(#REF!,"AAAAAD//vDg=")</f>
        <v>#REF!</v>
      </c>
      <c r="BF197" t="e">
        <f>AND(#REF!,"AAAAAD//vDk=")</f>
        <v>#REF!</v>
      </c>
      <c r="BG197" t="e">
        <f>AND(#REF!,"AAAAAD//vDo=")</f>
        <v>#REF!</v>
      </c>
      <c r="BH197" t="e">
        <f>AND(#REF!,"AAAAAD//vDs=")</f>
        <v>#REF!</v>
      </c>
      <c r="BI197" t="e">
        <f>AND(#REF!,"AAAAAD//vDw=")</f>
        <v>#REF!</v>
      </c>
      <c r="BJ197" t="e">
        <f>AND(#REF!,"AAAAAD//vD0=")</f>
        <v>#REF!</v>
      </c>
      <c r="BK197" t="e">
        <f>AND(#REF!,"AAAAAD//vD4=")</f>
        <v>#REF!</v>
      </c>
      <c r="BL197" t="e">
        <f>AND(#REF!,"AAAAAD//vD8=")</f>
        <v>#REF!</v>
      </c>
      <c r="BM197" t="e">
        <f>AND(#REF!,"AAAAAD//vEA=")</f>
        <v>#REF!</v>
      </c>
      <c r="BN197" t="e">
        <f>AND(#REF!,"AAAAAD//vEE=")</f>
        <v>#REF!</v>
      </c>
      <c r="BO197" t="e">
        <f>AND(#REF!,"AAAAAD//vEI=")</f>
        <v>#REF!</v>
      </c>
      <c r="BP197" t="e">
        <f>AND(#REF!,"AAAAAD//vEM=")</f>
        <v>#REF!</v>
      </c>
      <c r="BQ197" t="e">
        <f>AND(#REF!,"AAAAAD//vEQ=")</f>
        <v>#REF!</v>
      </c>
      <c r="BR197" t="e">
        <f>AND(#REF!,"AAAAAD//vEU=")</f>
        <v>#REF!</v>
      </c>
      <c r="BS197" t="e">
        <f>AND(#REF!,"AAAAAD//vEY=")</f>
        <v>#REF!</v>
      </c>
      <c r="BT197" t="e">
        <f>AND(#REF!,"AAAAAD//vEc=")</f>
        <v>#REF!</v>
      </c>
      <c r="BU197" t="e">
        <f>AND(#REF!,"AAAAAD//vEg=")</f>
        <v>#REF!</v>
      </c>
      <c r="BV197" t="e">
        <f>AND(#REF!,"AAAAAD//vEk=")</f>
        <v>#REF!</v>
      </c>
      <c r="BW197" t="e">
        <f>AND(#REF!,"AAAAAD//vEo=")</f>
        <v>#REF!</v>
      </c>
      <c r="BX197" t="e">
        <f>AND(#REF!,"AAAAAD//vEs=")</f>
        <v>#REF!</v>
      </c>
      <c r="BY197" t="e">
        <f>AND(#REF!,"AAAAAD//vEw=")</f>
        <v>#REF!</v>
      </c>
      <c r="BZ197" t="e">
        <f>AND(#REF!,"AAAAAD//vE0=")</f>
        <v>#REF!</v>
      </c>
      <c r="CA197" t="e">
        <f>IF(#REF!,"AAAAAD//vE4=",0)</f>
        <v>#REF!</v>
      </c>
      <c r="CB197" t="e">
        <f>AND(#REF!,"AAAAAD//vE8=")</f>
        <v>#REF!</v>
      </c>
      <c r="CC197" t="e">
        <f>AND(#REF!,"AAAAAD//vFA=")</f>
        <v>#REF!</v>
      </c>
      <c r="CD197" t="e">
        <f>AND(#REF!,"AAAAAD//vFE=")</f>
        <v>#REF!</v>
      </c>
      <c r="CE197" t="e">
        <f>AND(#REF!,"AAAAAD//vFI=")</f>
        <v>#REF!</v>
      </c>
      <c r="CF197" t="e">
        <f>AND(#REF!,"AAAAAD//vFM=")</f>
        <v>#REF!</v>
      </c>
      <c r="CG197" t="e">
        <f>AND(#REF!,"AAAAAD//vFQ=")</f>
        <v>#REF!</v>
      </c>
      <c r="CH197" t="e">
        <f>AND(#REF!,"AAAAAD//vFU=")</f>
        <v>#REF!</v>
      </c>
      <c r="CI197" t="e">
        <f>AND(#REF!,"AAAAAD//vFY=")</f>
        <v>#REF!</v>
      </c>
      <c r="CJ197" t="e">
        <f>AND(#REF!,"AAAAAD//vFc=")</f>
        <v>#REF!</v>
      </c>
      <c r="CK197" t="e">
        <f>AND(#REF!,"AAAAAD//vFg=")</f>
        <v>#REF!</v>
      </c>
      <c r="CL197" t="e">
        <f>AND(#REF!,"AAAAAD//vFk=")</f>
        <v>#REF!</v>
      </c>
      <c r="CM197" t="e">
        <f>AND(#REF!,"AAAAAD//vFo=")</f>
        <v>#REF!</v>
      </c>
      <c r="CN197" t="e">
        <f>AND(#REF!,"AAAAAD//vFs=")</f>
        <v>#REF!</v>
      </c>
      <c r="CO197" t="e">
        <f>AND(#REF!,"AAAAAD//vFw=")</f>
        <v>#REF!</v>
      </c>
      <c r="CP197" t="e">
        <f>AND(#REF!,"AAAAAD//vF0=")</f>
        <v>#REF!</v>
      </c>
      <c r="CQ197" t="e">
        <f>AND(#REF!,"AAAAAD//vF4=")</f>
        <v>#REF!</v>
      </c>
      <c r="CR197" t="e">
        <f>AND(#REF!,"AAAAAD//vF8=")</f>
        <v>#REF!</v>
      </c>
      <c r="CS197" t="e">
        <f>AND(#REF!,"AAAAAD//vGA=")</f>
        <v>#REF!</v>
      </c>
      <c r="CT197" t="e">
        <f>AND(#REF!,"AAAAAD//vGE=")</f>
        <v>#REF!</v>
      </c>
      <c r="CU197" t="e">
        <f>AND(#REF!,"AAAAAD//vGI=")</f>
        <v>#REF!</v>
      </c>
      <c r="CV197" t="e">
        <f>AND(#REF!,"AAAAAD//vGM=")</f>
        <v>#REF!</v>
      </c>
      <c r="CW197" t="e">
        <f>AND(#REF!,"AAAAAD//vGQ=")</f>
        <v>#REF!</v>
      </c>
      <c r="CX197" t="e">
        <f>AND(#REF!,"AAAAAD//vGU=")</f>
        <v>#REF!</v>
      </c>
      <c r="CY197" t="e">
        <f>AND(#REF!,"AAAAAD//vGY=")</f>
        <v>#REF!</v>
      </c>
      <c r="CZ197" t="e">
        <f>IF(#REF!,"AAAAAD//vGc=",0)</f>
        <v>#REF!</v>
      </c>
      <c r="DA197" t="e">
        <f>AND(#REF!,"AAAAAD//vGg=")</f>
        <v>#REF!</v>
      </c>
      <c r="DB197" t="e">
        <f>AND(#REF!,"AAAAAD//vGk=")</f>
        <v>#REF!</v>
      </c>
      <c r="DC197" t="e">
        <f>AND(#REF!,"AAAAAD//vGo=")</f>
        <v>#REF!</v>
      </c>
      <c r="DD197" t="e">
        <f>AND(#REF!,"AAAAAD//vGs=")</f>
        <v>#REF!</v>
      </c>
      <c r="DE197" t="e">
        <f>AND(#REF!,"AAAAAD//vGw=")</f>
        <v>#REF!</v>
      </c>
      <c r="DF197" t="e">
        <f>AND(#REF!,"AAAAAD//vG0=")</f>
        <v>#REF!</v>
      </c>
      <c r="DG197" t="e">
        <f>AND(#REF!,"AAAAAD//vG4=")</f>
        <v>#REF!</v>
      </c>
      <c r="DH197" t="e">
        <f>AND(#REF!,"AAAAAD//vG8=")</f>
        <v>#REF!</v>
      </c>
      <c r="DI197" t="e">
        <f>AND(#REF!,"AAAAAD//vHA=")</f>
        <v>#REF!</v>
      </c>
      <c r="DJ197" t="e">
        <f>AND(#REF!,"AAAAAD//vHE=")</f>
        <v>#REF!</v>
      </c>
      <c r="DK197" t="e">
        <f>AND(#REF!,"AAAAAD//vHI=")</f>
        <v>#REF!</v>
      </c>
      <c r="DL197" t="e">
        <f>AND(#REF!,"AAAAAD//vHM=")</f>
        <v>#REF!</v>
      </c>
      <c r="DM197" t="e">
        <f>AND(#REF!,"AAAAAD//vHQ=")</f>
        <v>#REF!</v>
      </c>
      <c r="DN197" t="e">
        <f>AND(#REF!,"AAAAAD//vHU=")</f>
        <v>#REF!</v>
      </c>
      <c r="DO197" t="e">
        <f>AND(#REF!,"AAAAAD//vHY=")</f>
        <v>#REF!</v>
      </c>
      <c r="DP197" t="e">
        <f>AND(#REF!,"AAAAAD//vHc=")</f>
        <v>#REF!</v>
      </c>
      <c r="DQ197" t="e">
        <f>AND(#REF!,"AAAAAD//vHg=")</f>
        <v>#REF!</v>
      </c>
      <c r="DR197" t="e">
        <f>AND(#REF!,"AAAAAD//vHk=")</f>
        <v>#REF!</v>
      </c>
      <c r="DS197" t="e">
        <f>AND(#REF!,"AAAAAD//vHo=")</f>
        <v>#REF!</v>
      </c>
      <c r="DT197" t="e">
        <f>AND(#REF!,"AAAAAD//vHs=")</f>
        <v>#REF!</v>
      </c>
      <c r="DU197" t="e">
        <f>AND(#REF!,"AAAAAD//vHw=")</f>
        <v>#REF!</v>
      </c>
      <c r="DV197" t="e">
        <f>AND(#REF!,"AAAAAD//vH0=")</f>
        <v>#REF!</v>
      </c>
      <c r="DW197" t="e">
        <f>AND(#REF!,"AAAAAD//vH4=")</f>
        <v>#REF!</v>
      </c>
      <c r="DX197" t="e">
        <f>AND(#REF!,"AAAAAD//vH8=")</f>
        <v>#REF!</v>
      </c>
      <c r="DY197" t="e">
        <f>IF(#REF!,"AAAAAD//vIA=",0)</f>
        <v>#REF!</v>
      </c>
      <c r="DZ197" t="e">
        <f>AND(#REF!,"AAAAAD//vIE=")</f>
        <v>#REF!</v>
      </c>
      <c r="EA197" t="e">
        <f>AND(#REF!,"AAAAAD//vII=")</f>
        <v>#REF!</v>
      </c>
      <c r="EB197" t="e">
        <f>AND(#REF!,"AAAAAD//vIM=")</f>
        <v>#REF!</v>
      </c>
      <c r="EC197" t="e">
        <f>AND(#REF!,"AAAAAD//vIQ=")</f>
        <v>#REF!</v>
      </c>
      <c r="ED197" t="e">
        <f>AND(#REF!,"AAAAAD//vIU=")</f>
        <v>#REF!</v>
      </c>
      <c r="EE197" t="e">
        <f>AND(#REF!,"AAAAAD//vIY=")</f>
        <v>#REF!</v>
      </c>
      <c r="EF197" t="e">
        <f>AND(#REF!,"AAAAAD//vIc=")</f>
        <v>#REF!</v>
      </c>
      <c r="EG197" t="e">
        <f>AND(#REF!,"AAAAAD//vIg=")</f>
        <v>#REF!</v>
      </c>
      <c r="EH197" t="e">
        <f>AND(#REF!,"AAAAAD//vIk=")</f>
        <v>#REF!</v>
      </c>
      <c r="EI197" t="e">
        <f>AND(#REF!,"AAAAAD//vIo=")</f>
        <v>#REF!</v>
      </c>
      <c r="EJ197" t="e">
        <f>AND(#REF!,"AAAAAD//vIs=")</f>
        <v>#REF!</v>
      </c>
      <c r="EK197" t="e">
        <f>AND(#REF!,"AAAAAD//vIw=")</f>
        <v>#REF!</v>
      </c>
      <c r="EL197" t="e">
        <f>AND(#REF!,"AAAAAD//vI0=")</f>
        <v>#REF!</v>
      </c>
      <c r="EM197" t="e">
        <f>AND(#REF!,"AAAAAD//vI4=")</f>
        <v>#REF!</v>
      </c>
      <c r="EN197" t="e">
        <f>AND(#REF!,"AAAAAD//vI8=")</f>
        <v>#REF!</v>
      </c>
      <c r="EO197" t="e">
        <f>AND(#REF!,"AAAAAD//vJA=")</f>
        <v>#REF!</v>
      </c>
      <c r="EP197" t="e">
        <f>AND(#REF!,"AAAAAD//vJE=")</f>
        <v>#REF!</v>
      </c>
      <c r="EQ197" t="e">
        <f>AND(#REF!,"AAAAAD//vJI=")</f>
        <v>#REF!</v>
      </c>
      <c r="ER197" t="e">
        <f>AND(#REF!,"AAAAAD//vJM=")</f>
        <v>#REF!</v>
      </c>
      <c r="ES197" t="e">
        <f>AND(#REF!,"AAAAAD//vJQ=")</f>
        <v>#REF!</v>
      </c>
      <c r="ET197" t="e">
        <f>AND(#REF!,"AAAAAD//vJU=")</f>
        <v>#REF!</v>
      </c>
      <c r="EU197" t="e">
        <f>AND(#REF!,"AAAAAD//vJY=")</f>
        <v>#REF!</v>
      </c>
      <c r="EV197" t="e">
        <f>AND(#REF!,"AAAAAD//vJc=")</f>
        <v>#REF!</v>
      </c>
      <c r="EW197" t="e">
        <f>AND(#REF!,"AAAAAD//vJg=")</f>
        <v>#REF!</v>
      </c>
      <c r="EX197" t="e">
        <f>IF(#REF!,"AAAAAD//vJk=",0)</f>
        <v>#REF!</v>
      </c>
      <c r="EY197" t="e">
        <f>AND(#REF!,"AAAAAD//vJo=")</f>
        <v>#REF!</v>
      </c>
      <c r="EZ197" t="e">
        <f>AND(#REF!,"AAAAAD//vJs=")</f>
        <v>#REF!</v>
      </c>
      <c r="FA197" t="e">
        <f>AND(#REF!,"AAAAAD//vJw=")</f>
        <v>#REF!</v>
      </c>
      <c r="FB197" t="e">
        <f>AND(#REF!,"AAAAAD//vJ0=")</f>
        <v>#REF!</v>
      </c>
      <c r="FC197" t="e">
        <f>AND(#REF!,"AAAAAD//vJ4=")</f>
        <v>#REF!</v>
      </c>
      <c r="FD197" t="e">
        <f>AND(#REF!,"AAAAAD//vJ8=")</f>
        <v>#REF!</v>
      </c>
      <c r="FE197" t="e">
        <f>AND(#REF!,"AAAAAD//vKA=")</f>
        <v>#REF!</v>
      </c>
      <c r="FF197" t="e">
        <f>AND(#REF!,"AAAAAD//vKE=")</f>
        <v>#REF!</v>
      </c>
      <c r="FG197" t="e">
        <f>AND(#REF!,"AAAAAD//vKI=")</f>
        <v>#REF!</v>
      </c>
      <c r="FH197" t="e">
        <f>AND(#REF!,"AAAAAD//vKM=")</f>
        <v>#REF!</v>
      </c>
      <c r="FI197" t="e">
        <f>AND(#REF!,"AAAAAD//vKQ=")</f>
        <v>#REF!</v>
      </c>
      <c r="FJ197" t="e">
        <f>AND(#REF!,"AAAAAD//vKU=")</f>
        <v>#REF!</v>
      </c>
      <c r="FK197" t="e">
        <f>AND(#REF!,"AAAAAD//vKY=")</f>
        <v>#REF!</v>
      </c>
      <c r="FL197" t="e">
        <f>AND(#REF!,"AAAAAD//vKc=")</f>
        <v>#REF!</v>
      </c>
      <c r="FM197" t="e">
        <f>AND(#REF!,"AAAAAD//vKg=")</f>
        <v>#REF!</v>
      </c>
      <c r="FN197" t="e">
        <f>AND(#REF!,"AAAAAD//vKk=")</f>
        <v>#REF!</v>
      </c>
      <c r="FO197" t="e">
        <f>AND(#REF!,"AAAAAD//vKo=")</f>
        <v>#REF!</v>
      </c>
      <c r="FP197" t="e">
        <f>AND(#REF!,"AAAAAD//vKs=")</f>
        <v>#REF!</v>
      </c>
      <c r="FQ197" t="e">
        <f>AND(#REF!,"AAAAAD//vKw=")</f>
        <v>#REF!</v>
      </c>
      <c r="FR197" t="e">
        <f>AND(#REF!,"AAAAAD//vK0=")</f>
        <v>#REF!</v>
      </c>
      <c r="FS197" t="e">
        <f>AND(#REF!,"AAAAAD//vK4=")</f>
        <v>#REF!</v>
      </c>
      <c r="FT197" t="e">
        <f>AND(#REF!,"AAAAAD//vK8=")</f>
        <v>#REF!</v>
      </c>
      <c r="FU197" t="e">
        <f>AND(#REF!,"AAAAAD//vLA=")</f>
        <v>#REF!</v>
      </c>
      <c r="FV197" t="e">
        <f>AND(#REF!,"AAAAAD//vLE=")</f>
        <v>#REF!</v>
      </c>
      <c r="FW197" t="e">
        <f>IF(#REF!,"AAAAAD//vLI=",0)</f>
        <v>#REF!</v>
      </c>
      <c r="FX197" t="e">
        <f>AND(#REF!,"AAAAAD//vLM=")</f>
        <v>#REF!</v>
      </c>
      <c r="FY197" t="e">
        <f>AND(#REF!,"AAAAAD//vLQ=")</f>
        <v>#REF!</v>
      </c>
      <c r="FZ197" t="e">
        <f>AND(#REF!,"AAAAAD//vLU=")</f>
        <v>#REF!</v>
      </c>
      <c r="GA197" t="e">
        <f>AND(#REF!,"AAAAAD//vLY=")</f>
        <v>#REF!</v>
      </c>
      <c r="GB197" t="e">
        <f>AND(#REF!,"AAAAAD//vLc=")</f>
        <v>#REF!</v>
      </c>
      <c r="GC197" t="e">
        <f>AND(#REF!,"AAAAAD//vLg=")</f>
        <v>#REF!</v>
      </c>
      <c r="GD197" t="e">
        <f>AND(#REF!,"AAAAAD//vLk=")</f>
        <v>#REF!</v>
      </c>
      <c r="GE197" t="e">
        <f>AND(#REF!,"AAAAAD//vLo=")</f>
        <v>#REF!</v>
      </c>
      <c r="GF197" t="e">
        <f>AND(#REF!,"AAAAAD//vLs=")</f>
        <v>#REF!</v>
      </c>
      <c r="GG197" t="e">
        <f>AND(#REF!,"AAAAAD//vLw=")</f>
        <v>#REF!</v>
      </c>
      <c r="GH197" t="e">
        <f>AND(#REF!,"AAAAAD//vL0=")</f>
        <v>#REF!</v>
      </c>
      <c r="GI197" t="e">
        <f>AND(#REF!,"AAAAAD//vL4=")</f>
        <v>#REF!</v>
      </c>
      <c r="GJ197" t="e">
        <f>AND(#REF!,"AAAAAD//vL8=")</f>
        <v>#REF!</v>
      </c>
      <c r="GK197" t="e">
        <f>AND(#REF!,"AAAAAD//vMA=")</f>
        <v>#REF!</v>
      </c>
      <c r="GL197" t="e">
        <f>AND(#REF!,"AAAAAD//vME=")</f>
        <v>#REF!</v>
      </c>
      <c r="GM197" t="e">
        <f>AND(#REF!,"AAAAAD//vMI=")</f>
        <v>#REF!</v>
      </c>
      <c r="GN197" t="e">
        <f>AND(#REF!,"AAAAAD//vMM=")</f>
        <v>#REF!</v>
      </c>
      <c r="GO197" t="e">
        <f>AND(#REF!,"AAAAAD//vMQ=")</f>
        <v>#REF!</v>
      </c>
      <c r="GP197" t="e">
        <f>AND(#REF!,"AAAAAD//vMU=")</f>
        <v>#REF!</v>
      </c>
      <c r="GQ197" t="e">
        <f>AND(#REF!,"AAAAAD//vMY=")</f>
        <v>#REF!</v>
      </c>
      <c r="GR197" t="e">
        <f>AND(#REF!,"AAAAAD//vMc=")</f>
        <v>#REF!</v>
      </c>
      <c r="GS197" t="e">
        <f>AND(#REF!,"AAAAAD//vMg=")</f>
        <v>#REF!</v>
      </c>
      <c r="GT197" t="e">
        <f>AND(#REF!,"AAAAAD//vMk=")</f>
        <v>#REF!</v>
      </c>
      <c r="GU197" t="e">
        <f>AND(#REF!,"AAAAAD//vMo=")</f>
        <v>#REF!</v>
      </c>
      <c r="GV197" t="e">
        <f>IF(#REF!,"AAAAAD//vMs=",0)</f>
        <v>#REF!</v>
      </c>
      <c r="GW197" t="e">
        <f>AND(#REF!,"AAAAAD//vMw=")</f>
        <v>#REF!</v>
      </c>
      <c r="GX197" t="e">
        <f>AND(#REF!,"AAAAAD//vM0=")</f>
        <v>#REF!</v>
      </c>
      <c r="GY197" t="e">
        <f>AND(#REF!,"AAAAAD//vM4=")</f>
        <v>#REF!</v>
      </c>
      <c r="GZ197" t="e">
        <f>AND(#REF!,"AAAAAD//vM8=")</f>
        <v>#REF!</v>
      </c>
      <c r="HA197" t="e">
        <f>AND(#REF!,"AAAAAD//vNA=")</f>
        <v>#REF!</v>
      </c>
      <c r="HB197" t="e">
        <f>AND(#REF!,"AAAAAD//vNE=")</f>
        <v>#REF!</v>
      </c>
      <c r="HC197" t="e">
        <f>AND(#REF!,"AAAAAD//vNI=")</f>
        <v>#REF!</v>
      </c>
      <c r="HD197" t="e">
        <f>AND(#REF!,"AAAAAD//vNM=")</f>
        <v>#REF!</v>
      </c>
      <c r="HE197" t="e">
        <f>AND(#REF!,"AAAAAD//vNQ=")</f>
        <v>#REF!</v>
      </c>
      <c r="HF197" t="e">
        <f>AND(#REF!,"AAAAAD//vNU=")</f>
        <v>#REF!</v>
      </c>
      <c r="HG197" t="e">
        <f>AND(#REF!,"AAAAAD//vNY=")</f>
        <v>#REF!</v>
      </c>
      <c r="HH197" t="e">
        <f>AND(#REF!,"AAAAAD//vNc=")</f>
        <v>#REF!</v>
      </c>
      <c r="HI197" t="e">
        <f>AND(#REF!,"AAAAAD//vNg=")</f>
        <v>#REF!</v>
      </c>
      <c r="HJ197" t="e">
        <f>AND(#REF!,"AAAAAD//vNk=")</f>
        <v>#REF!</v>
      </c>
      <c r="HK197" t="e">
        <f>AND(#REF!,"AAAAAD//vNo=")</f>
        <v>#REF!</v>
      </c>
      <c r="HL197" t="e">
        <f>AND(#REF!,"AAAAAD//vNs=")</f>
        <v>#REF!</v>
      </c>
      <c r="HM197" t="e">
        <f>AND(#REF!,"AAAAAD//vNw=")</f>
        <v>#REF!</v>
      </c>
      <c r="HN197" t="e">
        <f>AND(#REF!,"AAAAAD//vN0=")</f>
        <v>#REF!</v>
      </c>
      <c r="HO197" t="e">
        <f>AND(#REF!,"AAAAAD//vN4=")</f>
        <v>#REF!</v>
      </c>
      <c r="HP197" t="e">
        <f>AND(#REF!,"AAAAAD//vN8=")</f>
        <v>#REF!</v>
      </c>
      <c r="HQ197" t="e">
        <f>AND(#REF!,"AAAAAD//vOA=")</f>
        <v>#REF!</v>
      </c>
      <c r="HR197" t="e">
        <f>AND(#REF!,"AAAAAD//vOE=")</f>
        <v>#REF!</v>
      </c>
      <c r="HS197" t="e">
        <f>AND(#REF!,"AAAAAD//vOI=")</f>
        <v>#REF!</v>
      </c>
      <c r="HT197" t="e">
        <f>AND(#REF!,"AAAAAD//vOM=")</f>
        <v>#REF!</v>
      </c>
      <c r="HU197" t="e">
        <f>IF(#REF!,"AAAAAD//vOQ=",0)</f>
        <v>#REF!</v>
      </c>
      <c r="HV197" t="e">
        <f>AND(#REF!,"AAAAAD//vOU=")</f>
        <v>#REF!</v>
      </c>
      <c r="HW197" t="e">
        <f>AND(#REF!,"AAAAAD//vOY=")</f>
        <v>#REF!</v>
      </c>
      <c r="HX197" t="e">
        <f>AND(#REF!,"AAAAAD//vOc=")</f>
        <v>#REF!</v>
      </c>
      <c r="HY197" t="e">
        <f>AND(#REF!,"AAAAAD//vOg=")</f>
        <v>#REF!</v>
      </c>
      <c r="HZ197" t="e">
        <f>AND(#REF!,"AAAAAD//vOk=")</f>
        <v>#REF!</v>
      </c>
      <c r="IA197" t="e">
        <f>AND(#REF!,"AAAAAD//vOo=")</f>
        <v>#REF!</v>
      </c>
      <c r="IB197" t="e">
        <f>AND(#REF!,"AAAAAD//vOs=")</f>
        <v>#REF!</v>
      </c>
      <c r="IC197" t="e">
        <f>AND(#REF!,"AAAAAD//vOw=")</f>
        <v>#REF!</v>
      </c>
      <c r="ID197" t="e">
        <f>AND(#REF!,"AAAAAD//vO0=")</f>
        <v>#REF!</v>
      </c>
      <c r="IE197" t="e">
        <f>AND(#REF!,"AAAAAD//vO4=")</f>
        <v>#REF!</v>
      </c>
      <c r="IF197" t="e">
        <f>AND(#REF!,"AAAAAD//vO8=")</f>
        <v>#REF!</v>
      </c>
      <c r="IG197" t="e">
        <f>AND(#REF!,"AAAAAD//vPA=")</f>
        <v>#REF!</v>
      </c>
      <c r="IH197" t="e">
        <f>AND(#REF!,"AAAAAD//vPE=")</f>
        <v>#REF!</v>
      </c>
      <c r="II197" t="e">
        <f>AND(#REF!,"AAAAAD//vPI=")</f>
        <v>#REF!</v>
      </c>
      <c r="IJ197" t="e">
        <f>AND(#REF!,"AAAAAD//vPM=")</f>
        <v>#REF!</v>
      </c>
      <c r="IK197" t="e">
        <f>AND(#REF!,"AAAAAD//vPQ=")</f>
        <v>#REF!</v>
      </c>
      <c r="IL197" t="e">
        <f>AND(#REF!,"AAAAAD//vPU=")</f>
        <v>#REF!</v>
      </c>
      <c r="IM197" t="e">
        <f>AND(#REF!,"AAAAAD//vPY=")</f>
        <v>#REF!</v>
      </c>
      <c r="IN197" t="e">
        <f>AND(#REF!,"AAAAAD//vPc=")</f>
        <v>#REF!</v>
      </c>
      <c r="IO197" t="e">
        <f>AND(#REF!,"AAAAAD//vPg=")</f>
        <v>#REF!</v>
      </c>
      <c r="IP197" t="e">
        <f>AND(#REF!,"AAAAAD//vPk=")</f>
        <v>#REF!</v>
      </c>
      <c r="IQ197" t="e">
        <f>AND(#REF!,"AAAAAD//vPo=")</f>
        <v>#REF!</v>
      </c>
      <c r="IR197" t="e">
        <f>AND(#REF!,"AAAAAD//vPs=")</f>
        <v>#REF!</v>
      </c>
      <c r="IS197" t="e">
        <f>AND(#REF!,"AAAAAD//vPw=")</f>
        <v>#REF!</v>
      </c>
      <c r="IT197" t="e">
        <f>IF(#REF!,"AAAAAD//vP0=",0)</f>
        <v>#REF!</v>
      </c>
      <c r="IU197" t="e">
        <f>AND(#REF!,"AAAAAD//vP4=")</f>
        <v>#REF!</v>
      </c>
      <c r="IV197" t="e">
        <f>AND(#REF!,"AAAAAD//vP8=")</f>
        <v>#REF!</v>
      </c>
    </row>
    <row r="198" spans="1:256" x14ac:dyDescent="0.25">
      <c r="A198" t="e">
        <f>AND(#REF!,"AAAAAFdyvwA=")</f>
        <v>#REF!</v>
      </c>
      <c r="B198" t="e">
        <f>AND(#REF!,"AAAAAFdyvwE=")</f>
        <v>#REF!</v>
      </c>
      <c r="C198" t="e">
        <f>AND(#REF!,"AAAAAFdyvwI=")</f>
        <v>#REF!</v>
      </c>
      <c r="D198" t="e">
        <f>AND(#REF!,"AAAAAFdyvwM=")</f>
        <v>#REF!</v>
      </c>
      <c r="E198" t="e">
        <f>AND(#REF!,"AAAAAFdyvwQ=")</f>
        <v>#REF!</v>
      </c>
      <c r="F198" t="e">
        <f>AND(#REF!,"AAAAAFdyvwU=")</f>
        <v>#REF!</v>
      </c>
      <c r="G198" t="e">
        <f>AND(#REF!,"AAAAAFdyvwY=")</f>
        <v>#REF!</v>
      </c>
      <c r="H198" t="e">
        <f>AND(#REF!,"AAAAAFdyvwc=")</f>
        <v>#REF!</v>
      </c>
      <c r="I198" t="e">
        <f>AND(#REF!,"AAAAAFdyvwg=")</f>
        <v>#REF!</v>
      </c>
      <c r="J198" t="e">
        <f>AND(#REF!,"AAAAAFdyvwk=")</f>
        <v>#REF!</v>
      </c>
      <c r="K198" t="e">
        <f>AND(#REF!,"AAAAAFdyvwo=")</f>
        <v>#REF!</v>
      </c>
      <c r="L198" t="e">
        <f>AND(#REF!,"AAAAAFdyvws=")</f>
        <v>#REF!</v>
      </c>
      <c r="M198" t="e">
        <f>AND(#REF!,"AAAAAFdyvww=")</f>
        <v>#REF!</v>
      </c>
      <c r="N198" t="e">
        <f>AND(#REF!,"AAAAAFdyvw0=")</f>
        <v>#REF!</v>
      </c>
      <c r="O198" t="e">
        <f>AND(#REF!,"AAAAAFdyvw4=")</f>
        <v>#REF!</v>
      </c>
      <c r="P198" t="e">
        <f>AND(#REF!,"AAAAAFdyvw8=")</f>
        <v>#REF!</v>
      </c>
      <c r="Q198" t="e">
        <f>AND(#REF!,"AAAAAFdyvxA=")</f>
        <v>#REF!</v>
      </c>
      <c r="R198" t="e">
        <f>AND(#REF!,"AAAAAFdyvxE=")</f>
        <v>#REF!</v>
      </c>
      <c r="S198" t="e">
        <f>AND(#REF!,"AAAAAFdyvxI=")</f>
        <v>#REF!</v>
      </c>
      <c r="T198" t="e">
        <f>AND(#REF!,"AAAAAFdyvxM=")</f>
        <v>#REF!</v>
      </c>
      <c r="U198" t="e">
        <f>AND(#REF!,"AAAAAFdyvxQ=")</f>
        <v>#REF!</v>
      </c>
      <c r="V198" t="e">
        <f>AND(#REF!,"AAAAAFdyvxU=")</f>
        <v>#REF!</v>
      </c>
      <c r="W198" t="e">
        <f>IF(#REF!,"AAAAAFdyvxY=",0)</f>
        <v>#REF!</v>
      </c>
      <c r="X198" t="e">
        <f>AND(#REF!,"AAAAAFdyvxc=")</f>
        <v>#REF!</v>
      </c>
      <c r="Y198" t="e">
        <f>AND(#REF!,"AAAAAFdyvxg=")</f>
        <v>#REF!</v>
      </c>
      <c r="Z198" t="e">
        <f>AND(#REF!,"AAAAAFdyvxk=")</f>
        <v>#REF!</v>
      </c>
      <c r="AA198" t="e">
        <f>AND(#REF!,"AAAAAFdyvxo=")</f>
        <v>#REF!</v>
      </c>
      <c r="AB198" t="e">
        <f>AND(#REF!,"AAAAAFdyvxs=")</f>
        <v>#REF!</v>
      </c>
      <c r="AC198" t="e">
        <f>AND(#REF!,"AAAAAFdyvxw=")</f>
        <v>#REF!</v>
      </c>
      <c r="AD198" t="e">
        <f>AND(#REF!,"AAAAAFdyvx0=")</f>
        <v>#REF!</v>
      </c>
      <c r="AE198" t="e">
        <f>AND(#REF!,"AAAAAFdyvx4=")</f>
        <v>#REF!</v>
      </c>
      <c r="AF198" t="e">
        <f>AND(#REF!,"AAAAAFdyvx8=")</f>
        <v>#REF!</v>
      </c>
      <c r="AG198" t="e">
        <f>AND(#REF!,"AAAAAFdyvyA=")</f>
        <v>#REF!</v>
      </c>
      <c r="AH198" t="e">
        <f>AND(#REF!,"AAAAAFdyvyE=")</f>
        <v>#REF!</v>
      </c>
      <c r="AI198" t="e">
        <f>AND(#REF!,"AAAAAFdyvyI=")</f>
        <v>#REF!</v>
      </c>
      <c r="AJ198" t="e">
        <f>AND(#REF!,"AAAAAFdyvyM=")</f>
        <v>#REF!</v>
      </c>
      <c r="AK198" t="e">
        <f>AND(#REF!,"AAAAAFdyvyQ=")</f>
        <v>#REF!</v>
      </c>
      <c r="AL198" t="e">
        <f>AND(#REF!,"AAAAAFdyvyU=")</f>
        <v>#REF!</v>
      </c>
      <c r="AM198" t="e">
        <f>AND(#REF!,"AAAAAFdyvyY=")</f>
        <v>#REF!</v>
      </c>
      <c r="AN198" t="e">
        <f>AND(#REF!,"AAAAAFdyvyc=")</f>
        <v>#REF!</v>
      </c>
      <c r="AO198" t="e">
        <f>AND(#REF!,"AAAAAFdyvyg=")</f>
        <v>#REF!</v>
      </c>
      <c r="AP198" t="e">
        <f>AND(#REF!,"AAAAAFdyvyk=")</f>
        <v>#REF!</v>
      </c>
      <c r="AQ198" t="e">
        <f>AND(#REF!,"AAAAAFdyvyo=")</f>
        <v>#REF!</v>
      </c>
      <c r="AR198" t="e">
        <f>AND(#REF!,"AAAAAFdyvys=")</f>
        <v>#REF!</v>
      </c>
      <c r="AS198" t="e">
        <f>AND(#REF!,"AAAAAFdyvyw=")</f>
        <v>#REF!</v>
      </c>
      <c r="AT198" t="e">
        <f>AND(#REF!,"AAAAAFdyvy0=")</f>
        <v>#REF!</v>
      </c>
      <c r="AU198" t="e">
        <f>AND(#REF!,"AAAAAFdyvy4=")</f>
        <v>#REF!</v>
      </c>
      <c r="AV198" t="e">
        <f>IF(#REF!,"AAAAAFdyvy8=",0)</f>
        <v>#REF!</v>
      </c>
      <c r="AW198" t="e">
        <f>AND(#REF!,"AAAAAFdyvzA=")</f>
        <v>#REF!</v>
      </c>
      <c r="AX198" t="e">
        <f>AND(#REF!,"AAAAAFdyvzE=")</f>
        <v>#REF!</v>
      </c>
      <c r="AY198" t="e">
        <f>AND(#REF!,"AAAAAFdyvzI=")</f>
        <v>#REF!</v>
      </c>
      <c r="AZ198" t="e">
        <f>AND(#REF!,"AAAAAFdyvzM=")</f>
        <v>#REF!</v>
      </c>
      <c r="BA198" t="e">
        <f>AND(#REF!,"AAAAAFdyvzQ=")</f>
        <v>#REF!</v>
      </c>
      <c r="BB198" t="e">
        <f>AND(#REF!,"AAAAAFdyvzU=")</f>
        <v>#REF!</v>
      </c>
      <c r="BC198" t="e">
        <f>AND(#REF!,"AAAAAFdyvzY=")</f>
        <v>#REF!</v>
      </c>
      <c r="BD198" t="e">
        <f>AND(#REF!,"AAAAAFdyvzc=")</f>
        <v>#REF!</v>
      </c>
      <c r="BE198" t="e">
        <f>AND(#REF!,"AAAAAFdyvzg=")</f>
        <v>#REF!</v>
      </c>
      <c r="BF198" t="e">
        <f>AND(#REF!,"AAAAAFdyvzk=")</f>
        <v>#REF!</v>
      </c>
      <c r="BG198" t="e">
        <f>AND(#REF!,"AAAAAFdyvzo=")</f>
        <v>#REF!</v>
      </c>
      <c r="BH198" t="e">
        <f>AND(#REF!,"AAAAAFdyvzs=")</f>
        <v>#REF!</v>
      </c>
      <c r="BI198" t="e">
        <f>AND(#REF!,"AAAAAFdyvzw=")</f>
        <v>#REF!</v>
      </c>
      <c r="BJ198" t="e">
        <f>AND(#REF!,"AAAAAFdyvz0=")</f>
        <v>#REF!</v>
      </c>
      <c r="BK198" t="e">
        <f>AND(#REF!,"AAAAAFdyvz4=")</f>
        <v>#REF!</v>
      </c>
      <c r="BL198" t="e">
        <f>AND(#REF!,"AAAAAFdyvz8=")</f>
        <v>#REF!</v>
      </c>
      <c r="BM198" t="e">
        <f>AND(#REF!,"AAAAAFdyv0A=")</f>
        <v>#REF!</v>
      </c>
      <c r="BN198" t="e">
        <f>AND(#REF!,"AAAAAFdyv0E=")</f>
        <v>#REF!</v>
      </c>
      <c r="BO198" t="e">
        <f>AND(#REF!,"AAAAAFdyv0I=")</f>
        <v>#REF!</v>
      </c>
      <c r="BP198" t="e">
        <f>AND(#REF!,"AAAAAFdyv0M=")</f>
        <v>#REF!</v>
      </c>
      <c r="BQ198" t="e">
        <f>AND(#REF!,"AAAAAFdyv0Q=")</f>
        <v>#REF!</v>
      </c>
      <c r="BR198" t="e">
        <f>AND(#REF!,"AAAAAFdyv0U=")</f>
        <v>#REF!</v>
      </c>
      <c r="BS198" t="e">
        <f>AND(#REF!,"AAAAAFdyv0Y=")</f>
        <v>#REF!</v>
      </c>
      <c r="BT198" t="e">
        <f>AND(#REF!,"AAAAAFdyv0c=")</f>
        <v>#REF!</v>
      </c>
      <c r="BU198" t="e">
        <f>IF(#REF!,"AAAAAFdyv0g=",0)</f>
        <v>#REF!</v>
      </c>
      <c r="BV198" t="e">
        <f>AND(#REF!,"AAAAAFdyv0k=")</f>
        <v>#REF!</v>
      </c>
      <c r="BW198" t="e">
        <f>AND(#REF!,"AAAAAFdyv0o=")</f>
        <v>#REF!</v>
      </c>
      <c r="BX198" t="e">
        <f>AND(#REF!,"AAAAAFdyv0s=")</f>
        <v>#REF!</v>
      </c>
      <c r="BY198" t="e">
        <f>AND(#REF!,"AAAAAFdyv0w=")</f>
        <v>#REF!</v>
      </c>
      <c r="BZ198" t="e">
        <f>AND(#REF!,"AAAAAFdyv00=")</f>
        <v>#REF!</v>
      </c>
      <c r="CA198" t="e">
        <f>AND(#REF!,"AAAAAFdyv04=")</f>
        <v>#REF!</v>
      </c>
      <c r="CB198" t="e">
        <f>AND(#REF!,"AAAAAFdyv08=")</f>
        <v>#REF!</v>
      </c>
      <c r="CC198" t="e">
        <f>AND(#REF!,"AAAAAFdyv1A=")</f>
        <v>#REF!</v>
      </c>
      <c r="CD198" t="e">
        <f>AND(#REF!,"AAAAAFdyv1E=")</f>
        <v>#REF!</v>
      </c>
      <c r="CE198" t="e">
        <f>AND(#REF!,"AAAAAFdyv1I=")</f>
        <v>#REF!</v>
      </c>
      <c r="CF198" t="e">
        <f>AND(#REF!,"AAAAAFdyv1M=")</f>
        <v>#REF!</v>
      </c>
      <c r="CG198" t="e">
        <f>AND(#REF!,"AAAAAFdyv1Q=")</f>
        <v>#REF!</v>
      </c>
      <c r="CH198" t="e">
        <f>AND(#REF!,"AAAAAFdyv1U=")</f>
        <v>#REF!</v>
      </c>
      <c r="CI198" t="e">
        <f>AND(#REF!,"AAAAAFdyv1Y=")</f>
        <v>#REF!</v>
      </c>
      <c r="CJ198" t="e">
        <f>AND(#REF!,"AAAAAFdyv1c=")</f>
        <v>#REF!</v>
      </c>
      <c r="CK198" t="e">
        <f>AND(#REF!,"AAAAAFdyv1g=")</f>
        <v>#REF!</v>
      </c>
      <c r="CL198" t="e">
        <f>AND(#REF!,"AAAAAFdyv1k=")</f>
        <v>#REF!</v>
      </c>
      <c r="CM198" t="e">
        <f>AND(#REF!,"AAAAAFdyv1o=")</f>
        <v>#REF!</v>
      </c>
      <c r="CN198" t="e">
        <f>AND(#REF!,"AAAAAFdyv1s=")</f>
        <v>#REF!</v>
      </c>
      <c r="CO198" t="e">
        <f>AND(#REF!,"AAAAAFdyv1w=")</f>
        <v>#REF!</v>
      </c>
      <c r="CP198" t="e">
        <f>AND(#REF!,"AAAAAFdyv10=")</f>
        <v>#REF!</v>
      </c>
      <c r="CQ198" t="e">
        <f>AND(#REF!,"AAAAAFdyv14=")</f>
        <v>#REF!</v>
      </c>
      <c r="CR198" t="e">
        <f>AND(#REF!,"AAAAAFdyv18=")</f>
        <v>#REF!</v>
      </c>
      <c r="CS198" t="e">
        <f>AND(#REF!,"AAAAAFdyv2A=")</f>
        <v>#REF!</v>
      </c>
      <c r="CT198" t="e">
        <f>IF(#REF!,"AAAAAFdyv2E=",0)</f>
        <v>#REF!</v>
      </c>
      <c r="CU198" t="e">
        <f>AND(#REF!,"AAAAAFdyv2I=")</f>
        <v>#REF!</v>
      </c>
      <c r="CV198" t="e">
        <f>AND(#REF!,"AAAAAFdyv2M=")</f>
        <v>#REF!</v>
      </c>
      <c r="CW198" t="e">
        <f>AND(#REF!,"AAAAAFdyv2Q=")</f>
        <v>#REF!</v>
      </c>
      <c r="CX198" t="e">
        <f>AND(#REF!,"AAAAAFdyv2U=")</f>
        <v>#REF!</v>
      </c>
      <c r="CY198" t="e">
        <f>AND(#REF!,"AAAAAFdyv2Y=")</f>
        <v>#REF!</v>
      </c>
      <c r="CZ198" t="e">
        <f>AND(#REF!,"AAAAAFdyv2c=")</f>
        <v>#REF!</v>
      </c>
      <c r="DA198" t="e">
        <f>AND(#REF!,"AAAAAFdyv2g=")</f>
        <v>#REF!</v>
      </c>
      <c r="DB198" t="e">
        <f>AND(#REF!,"AAAAAFdyv2k=")</f>
        <v>#REF!</v>
      </c>
      <c r="DC198" t="e">
        <f>AND(#REF!,"AAAAAFdyv2o=")</f>
        <v>#REF!</v>
      </c>
      <c r="DD198" t="e">
        <f>AND(#REF!,"AAAAAFdyv2s=")</f>
        <v>#REF!</v>
      </c>
      <c r="DE198" t="e">
        <f>AND(#REF!,"AAAAAFdyv2w=")</f>
        <v>#REF!</v>
      </c>
      <c r="DF198" t="e">
        <f>AND(#REF!,"AAAAAFdyv20=")</f>
        <v>#REF!</v>
      </c>
      <c r="DG198" t="e">
        <f>AND(#REF!,"AAAAAFdyv24=")</f>
        <v>#REF!</v>
      </c>
      <c r="DH198" t="e">
        <f>AND(#REF!,"AAAAAFdyv28=")</f>
        <v>#REF!</v>
      </c>
      <c r="DI198" t="e">
        <f>AND(#REF!,"AAAAAFdyv3A=")</f>
        <v>#REF!</v>
      </c>
      <c r="DJ198" t="e">
        <f>AND(#REF!,"AAAAAFdyv3E=")</f>
        <v>#REF!</v>
      </c>
      <c r="DK198" t="e">
        <f>AND(#REF!,"AAAAAFdyv3I=")</f>
        <v>#REF!</v>
      </c>
      <c r="DL198" t="e">
        <f>AND(#REF!,"AAAAAFdyv3M=")</f>
        <v>#REF!</v>
      </c>
      <c r="DM198" t="e">
        <f>AND(#REF!,"AAAAAFdyv3Q=")</f>
        <v>#REF!</v>
      </c>
      <c r="DN198" t="e">
        <f>AND(#REF!,"AAAAAFdyv3U=")</f>
        <v>#REF!</v>
      </c>
      <c r="DO198" t="e">
        <f>AND(#REF!,"AAAAAFdyv3Y=")</f>
        <v>#REF!</v>
      </c>
      <c r="DP198" t="e">
        <f>AND(#REF!,"AAAAAFdyv3c=")</f>
        <v>#REF!</v>
      </c>
      <c r="DQ198" t="e">
        <f>AND(#REF!,"AAAAAFdyv3g=")</f>
        <v>#REF!</v>
      </c>
      <c r="DR198" t="e">
        <f>AND(#REF!,"AAAAAFdyv3k=")</f>
        <v>#REF!</v>
      </c>
      <c r="DS198" t="e">
        <f>IF(#REF!,"AAAAAFdyv3o=",0)</f>
        <v>#REF!</v>
      </c>
      <c r="DT198" t="e">
        <f>AND(#REF!,"AAAAAFdyv3s=")</f>
        <v>#REF!</v>
      </c>
      <c r="DU198" t="e">
        <f>AND(#REF!,"AAAAAFdyv3w=")</f>
        <v>#REF!</v>
      </c>
      <c r="DV198" t="e">
        <f>AND(#REF!,"AAAAAFdyv30=")</f>
        <v>#REF!</v>
      </c>
      <c r="DW198" t="e">
        <f>AND(#REF!,"AAAAAFdyv34=")</f>
        <v>#REF!</v>
      </c>
      <c r="DX198" t="e">
        <f>AND(#REF!,"AAAAAFdyv38=")</f>
        <v>#REF!</v>
      </c>
      <c r="DY198" t="e">
        <f>AND(#REF!,"AAAAAFdyv4A=")</f>
        <v>#REF!</v>
      </c>
      <c r="DZ198" t="e">
        <f>AND(#REF!,"AAAAAFdyv4E=")</f>
        <v>#REF!</v>
      </c>
      <c r="EA198" t="e">
        <f>AND(#REF!,"AAAAAFdyv4I=")</f>
        <v>#REF!</v>
      </c>
      <c r="EB198" t="e">
        <f>AND(#REF!,"AAAAAFdyv4M=")</f>
        <v>#REF!</v>
      </c>
      <c r="EC198" t="e">
        <f>AND(#REF!,"AAAAAFdyv4Q=")</f>
        <v>#REF!</v>
      </c>
      <c r="ED198" t="e">
        <f>AND(#REF!,"AAAAAFdyv4U=")</f>
        <v>#REF!</v>
      </c>
      <c r="EE198" t="e">
        <f>AND(#REF!,"AAAAAFdyv4Y=")</f>
        <v>#REF!</v>
      </c>
      <c r="EF198" t="e">
        <f>AND(#REF!,"AAAAAFdyv4c=")</f>
        <v>#REF!</v>
      </c>
      <c r="EG198" t="e">
        <f>AND(#REF!,"AAAAAFdyv4g=")</f>
        <v>#REF!</v>
      </c>
      <c r="EH198" t="e">
        <f>AND(#REF!,"AAAAAFdyv4k=")</f>
        <v>#REF!</v>
      </c>
      <c r="EI198" t="e">
        <f>AND(#REF!,"AAAAAFdyv4o=")</f>
        <v>#REF!</v>
      </c>
      <c r="EJ198" t="e">
        <f>AND(#REF!,"AAAAAFdyv4s=")</f>
        <v>#REF!</v>
      </c>
      <c r="EK198" t="e">
        <f>AND(#REF!,"AAAAAFdyv4w=")</f>
        <v>#REF!</v>
      </c>
      <c r="EL198" t="e">
        <f>AND(#REF!,"AAAAAFdyv40=")</f>
        <v>#REF!</v>
      </c>
      <c r="EM198" t="e">
        <f>AND(#REF!,"AAAAAFdyv44=")</f>
        <v>#REF!</v>
      </c>
      <c r="EN198" t="e">
        <f>AND(#REF!,"AAAAAFdyv48=")</f>
        <v>#REF!</v>
      </c>
      <c r="EO198" t="e">
        <f>AND(#REF!,"AAAAAFdyv5A=")</f>
        <v>#REF!</v>
      </c>
      <c r="EP198" t="e">
        <f>AND(#REF!,"AAAAAFdyv5E=")</f>
        <v>#REF!</v>
      </c>
      <c r="EQ198" t="e">
        <f>AND(#REF!,"AAAAAFdyv5I=")</f>
        <v>#REF!</v>
      </c>
      <c r="ER198" t="e">
        <f>IF(#REF!,"AAAAAFdyv5M=",0)</f>
        <v>#REF!</v>
      </c>
      <c r="ES198" t="e">
        <f>AND(#REF!,"AAAAAFdyv5Q=")</f>
        <v>#REF!</v>
      </c>
      <c r="ET198" t="e">
        <f>AND(#REF!,"AAAAAFdyv5U=")</f>
        <v>#REF!</v>
      </c>
      <c r="EU198" t="e">
        <f>AND(#REF!,"AAAAAFdyv5Y=")</f>
        <v>#REF!</v>
      </c>
      <c r="EV198" t="e">
        <f>AND(#REF!,"AAAAAFdyv5c=")</f>
        <v>#REF!</v>
      </c>
      <c r="EW198" t="e">
        <f>AND(#REF!,"AAAAAFdyv5g=")</f>
        <v>#REF!</v>
      </c>
      <c r="EX198" t="e">
        <f>AND(#REF!,"AAAAAFdyv5k=")</f>
        <v>#REF!</v>
      </c>
      <c r="EY198" t="e">
        <f>AND(#REF!,"AAAAAFdyv5o=")</f>
        <v>#REF!</v>
      </c>
      <c r="EZ198" t="e">
        <f>AND(#REF!,"AAAAAFdyv5s=")</f>
        <v>#REF!</v>
      </c>
      <c r="FA198" t="e">
        <f>AND(#REF!,"AAAAAFdyv5w=")</f>
        <v>#REF!</v>
      </c>
      <c r="FB198" t="e">
        <f>AND(#REF!,"AAAAAFdyv50=")</f>
        <v>#REF!</v>
      </c>
      <c r="FC198" t="e">
        <f>AND(#REF!,"AAAAAFdyv54=")</f>
        <v>#REF!</v>
      </c>
      <c r="FD198" t="e">
        <f>AND(#REF!,"AAAAAFdyv58=")</f>
        <v>#REF!</v>
      </c>
      <c r="FE198" t="e">
        <f>AND(#REF!,"AAAAAFdyv6A=")</f>
        <v>#REF!</v>
      </c>
      <c r="FF198" t="e">
        <f>AND(#REF!,"AAAAAFdyv6E=")</f>
        <v>#REF!</v>
      </c>
      <c r="FG198" t="e">
        <f>AND(#REF!,"AAAAAFdyv6I=")</f>
        <v>#REF!</v>
      </c>
      <c r="FH198" t="e">
        <f>AND(#REF!,"AAAAAFdyv6M=")</f>
        <v>#REF!</v>
      </c>
      <c r="FI198" t="e">
        <f>AND(#REF!,"AAAAAFdyv6Q=")</f>
        <v>#REF!</v>
      </c>
      <c r="FJ198" t="e">
        <f>AND(#REF!,"AAAAAFdyv6U=")</f>
        <v>#REF!</v>
      </c>
      <c r="FK198" t="e">
        <f>AND(#REF!,"AAAAAFdyv6Y=")</f>
        <v>#REF!</v>
      </c>
      <c r="FL198" t="e">
        <f>AND(#REF!,"AAAAAFdyv6c=")</f>
        <v>#REF!</v>
      </c>
      <c r="FM198" t="e">
        <f>AND(#REF!,"AAAAAFdyv6g=")</f>
        <v>#REF!</v>
      </c>
      <c r="FN198" t="e">
        <f>AND(#REF!,"AAAAAFdyv6k=")</f>
        <v>#REF!</v>
      </c>
      <c r="FO198" t="e">
        <f>AND(#REF!,"AAAAAFdyv6o=")</f>
        <v>#REF!</v>
      </c>
      <c r="FP198" t="e">
        <f>AND(#REF!,"AAAAAFdyv6s=")</f>
        <v>#REF!</v>
      </c>
      <c r="FQ198" t="e">
        <f>IF(#REF!,"AAAAAFdyv6w=",0)</f>
        <v>#REF!</v>
      </c>
      <c r="FR198" t="e">
        <f>AND(#REF!,"AAAAAFdyv60=")</f>
        <v>#REF!</v>
      </c>
      <c r="FS198" t="e">
        <f>AND(#REF!,"AAAAAFdyv64=")</f>
        <v>#REF!</v>
      </c>
      <c r="FT198" t="e">
        <f>AND(#REF!,"AAAAAFdyv68=")</f>
        <v>#REF!</v>
      </c>
      <c r="FU198" t="e">
        <f>AND(#REF!,"AAAAAFdyv7A=")</f>
        <v>#REF!</v>
      </c>
      <c r="FV198" t="e">
        <f>AND(#REF!,"AAAAAFdyv7E=")</f>
        <v>#REF!</v>
      </c>
      <c r="FW198" t="e">
        <f>AND(#REF!,"AAAAAFdyv7I=")</f>
        <v>#REF!</v>
      </c>
      <c r="FX198" t="e">
        <f>AND(#REF!,"AAAAAFdyv7M=")</f>
        <v>#REF!</v>
      </c>
      <c r="FY198" t="e">
        <f>AND(#REF!,"AAAAAFdyv7Q=")</f>
        <v>#REF!</v>
      </c>
      <c r="FZ198" t="e">
        <f>AND(#REF!,"AAAAAFdyv7U=")</f>
        <v>#REF!</v>
      </c>
      <c r="GA198" t="e">
        <f>AND(#REF!,"AAAAAFdyv7Y=")</f>
        <v>#REF!</v>
      </c>
      <c r="GB198" t="e">
        <f>AND(#REF!,"AAAAAFdyv7c=")</f>
        <v>#REF!</v>
      </c>
      <c r="GC198" t="e">
        <f>AND(#REF!,"AAAAAFdyv7g=")</f>
        <v>#REF!</v>
      </c>
      <c r="GD198" t="e">
        <f>AND(#REF!,"AAAAAFdyv7k=")</f>
        <v>#REF!</v>
      </c>
      <c r="GE198" t="e">
        <f>AND(#REF!,"AAAAAFdyv7o=")</f>
        <v>#REF!</v>
      </c>
      <c r="GF198" t="e">
        <f>AND(#REF!,"AAAAAFdyv7s=")</f>
        <v>#REF!</v>
      </c>
      <c r="GG198" t="e">
        <f>AND(#REF!,"AAAAAFdyv7w=")</f>
        <v>#REF!</v>
      </c>
      <c r="GH198" t="e">
        <f>AND(#REF!,"AAAAAFdyv70=")</f>
        <v>#REF!</v>
      </c>
      <c r="GI198" t="e">
        <f>AND(#REF!,"AAAAAFdyv74=")</f>
        <v>#REF!</v>
      </c>
      <c r="GJ198" t="e">
        <f>AND(#REF!,"AAAAAFdyv78=")</f>
        <v>#REF!</v>
      </c>
      <c r="GK198" t="e">
        <f>AND(#REF!,"AAAAAFdyv8A=")</f>
        <v>#REF!</v>
      </c>
      <c r="GL198" t="e">
        <f>AND(#REF!,"AAAAAFdyv8E=")</f>
        <v>#REF!</v>
      </c>
      <c r="GM198" t="e">
        <f>AND(#REF!,"AAAAAFdyv8I=")</f>
        <v>#REF!</v>
      </c>
      <c r="GN198" t="e">
        <f>AND(#REF!,"AAAAAFdyv8M=")</f>
        <v>#REF!</v>
      </c>
      <c r="GO198" t="e">
        <f>AND(#REF!,"AAAAAFdyv8Q=")</f>
        <v>#REF!</v>
      </c>
      <c r="GP198" t="e">
        <f>IF(#REF!,"AAAAAFdyv8U=",0)</f>
        <v>#REF!</v>
      </c>
      <c r="GQ198" t="e">
        <f>AND(#REF!,"AAAAAFdyv8Y=")</f>
        <v>#REF!</v>
      </c>
      <c r="GR198" t="e">
        <f>AND(#REF!,"AAAAAFdyv8c=")</f>
        <v>#REF!</v>
      </c>
      <c r="GS198" t="e">
        <f>AND(#REF!,"AAAAAFdyv8g=")</f>
        <v>#REF!</v>
      </c>
      <c r="GT198" t="e">
        <f>AND(#REF!,"AAAAAFdyv8k=")</f>
        <v>#REF!</v>
      </c>
      <c r="GU198" t="e">
        <f>AND(#REF!,"AAAAAFdyv8o=")</f>
        <v>#REF!</v>
      </c>
      <c r="GV198" t="e">
        <f>AND(#REF!,"AAAAAFdyv8s=")</f>
        <v>#REF!</v>
      </c>
      <c r="GW198" t="e">
        <f>AND(#REF!,"AAAAAFdyv8w=")</f>
        <v>#REF!</v>
      </c>
      <c r="GX198" t="e">
        <f>AND(#REF!,"AAAAAFdyv80=")</f>
        <v>#REF!</v>
      </c>
      <c r="GY198" t="e">
        <f>AND(#REF!,"AAAAAFdyv84=")</f>
        <v>#REF!</v>
      </c>
      <c r="GZ198" t="e">
        <f>AND(#REF!,"AAAAAFdyv88=")</f>
        <v>#REF!</v>
      </c>
      <c r="HA198" t="e">
        <f>AND(#REF!,"AAAAAFdyv9A=")</f>
        <v>#REF!</v>
      </c>
      <c r="HB198" t="e">
        <f>AND(#REF!,"AAAAAFdyv9E=")</f>
        <v>#REF!</v>
      </c>
      <c r="HC198" t="e">
        <f>AND(#REF!,"AAAAAFdyv9I=")</f>
        <v>#REF!</v>
      </c>
      <c r="HD198" t="e">
        <f>AND(#REF!,"AAAAAFdyv9M=")</f>
        <v>#REF!</v>
      </c>
      <c r="HE198" t="e">
        <f>AND(#REF!,"AAAAAFdyv9Q=")</f>
        <v>#REF!</v>
      </c>
      <c r="HF198" t="e">
        <f>AND(#REF!,"AAAAAFdyv9U=")</f>
        <v>#REF!</v>
      </c>
      <c r="HG198" t="e">
        <f>AND(#REF!,"AAAAAFdyv9Y=")</f>
        <v>#REF!</v>
      </c>
      <c r="HH198" t="e">
        <f>AND(#REF!,"AAAAAFdyv9c=")</f>
        <v>#REF!</v>
      </c>
      <c r="HI198" t="e">
        <f>AND(#REF!,"AAAAAFdyv9g=")</f>
        <v>#REF!</v>
      </c>
      <c r="HJ198" t="e">
        <f>AND(#REF!,"AAAAAFdyv9k=")</f>
        <v>#REF!</v>
      </c>
      <c r="HK198" t="e">
        <f>AND(#REF!,"AAAAAFdyv9o=")</f>
        <v>#REF!</v>
      </c>
      <c r="HL198" t="e">
        <f>AND(#REF!,"AAAAAFdyv9s=")</f>
        <v>#REF!</v>
      </c>
      <c r="HM198" t="e">
        <f>AND(#REF!,"AAAAAFdyv9w=")</f>
        <v>#REF!</v>
      </c>
      <c r="HN198" t="e">
        <f>AND(#REF!,"AAAAAFdyv90=")</f>
        <v>#REF!</v>
      </c>
      <c r="HO198" t="e">
        <f>IF(#REF!,"AAAAAFdyv94=",0)</f>
        <v>#REF!</v>
      </c>
      <c r="HP198" t="e">
        <f>AND(#REF!,"AAAAAFdyv98=")</f>
        <v>#REF!</v>
      </c>
      <c r="HQ198" t="e">
        <f>AND(#REF!,"AAAAAFdyv+A=")</f>
        <v>#REF!</v>
      </c>
      <c r="HR198" t="e">
        <f>AND(#REF!,"AAAAAFdyv+E=")</f>
        <v>#REF!</v>
      </c>
      <c r="HS198" t="e">
        <f>AND(#REF!,"AAAAAFdyv+I=")</f>
        <v>#REF!</v>
      </c>
      <c r="HT198" t="e">
        <f>AND(#REF!,"AAAAAFdyv+M=")</f>
        <v>#REF!</v>
      </c>
      <c r="HU198" t="e">
        <f>AND(#REF!,"AAAAAFdyv+Q=")</f>
        <v>#REF!</v>
      </c>
      <c r="HV198" t="e">
        <f>AND(#REF!,"AAAAAFdyv+U=")</f>
        <v>#REF!</v>
      </c>
      <c r="HW198" t="e">
        <f>AND(#REF!,"AAAAAFdyv+Y=")</f>
        <v>#REF!</v>
      </c>
      <c r="HX198" t="e">
        <f>AND(#REF!,"AAAAAFdyv+c=")</f>
        <v>#REF!</v>
      </c>
      <c r="HY198" t="e">
        <f>AND(#REF!,"AAAAAFdyv+g=")</f>
        <v>#REF!</v>
      </c>
      <c r="HZ198" t="e">
        <f>AND(#REF!,"AAAAAFdyv+k=")</f>
        <v>#REF!</v>
      </c>
      <c r="IA198" t="e">
        <f>AND(#REF!,"AAAAAFdyv+o=")</f>
        <v>#REF!</v>
      </c>
      <c r="IB198" t="e">
        <f>AND(#REF!,"AAAAAFdyv+s=")</f>
        <v>#REF!</v>
      </c>
      <c r="IC198" t="e">
        <f>AND(#REF!,"AAAAAFdyv+w=")</f>
        <v>#REF!</v>
      </c>
      <c r="ID198" t="e">
        <f>AND(#REF!,"AAAAAFdyv+0=")</f>
        <v>#REF!</v>
      </c>
      <c r="IE198" t="e">
        <f>AND(#REF!,"AAAAAFdyv+4=")</f>
        <v>#REF!</v>
      </c>
      <c r="IF198" t="e">
        <f>AND(#REF!,"AAAAAFdyv+8=")</f>
        <v>#REF!</v>
      </c>
      <c r="IG198" t="e">
        <f>AND(#REF!,"AAAAAFdyv/A=")</f>
        <v>#REF!</v>
      </c>
      <c r="IH198" t="e">
        <f>AND(#REF!,"AAAAAFdyv/E=")</f>
        <v>#REF!</v>
      </c>
      <c r="II198" t="e">
        <f>AND(#REF!,"AAAAAFdyv/I=")</f>
        <v>#REF!</v>
      </c>
      <c r="IJ198" t="e">
        <f>AND(#REF!,"AAAAAFdyv/M=")</f>
        <v>#REF!</v>
      </c>
      <c r="IK198" t="e">
        <f>AND(#REF!,"AAAAAFdyv/Q=")</f>
        <v>#REF!</v>
      </c>
      <c r="IL198" t="e">
        <f>AND(#REF!,"AAAAAFdyv/U=")</f>
        <v>#REF!</v>
      </c>
      <c r="IM198" t="e">
        <f>AND(#REF!,"AAAAAFdyv/Y=")</f>
        <v>#REF!</v>
      </c>
      <c r="IN198" t="e">
        <f>IF(#REF!,"AAAAAFdyv/c=",0)</f>
        <v>#REF!</v>
      </c>
      <c r="IO198" t="e">
        <f>AND(#REF!,"AAAAAFdyv/g=")</f>
        <v>#REF!</v>
      </c>
      <c r="IP198" t="e">
        <f>AND(#REF!,"AAAAAFdyv/k=")</f>
        <v>#REF!</v>
      </c>
      <c r="IQ198" t="e">
        <f>AND(#REF!,"AAAAAFdyv/o=")</f>
        <v>#REF!</v>
      </c>
      <c r="IR198" t="e">
        <f>AND(#REF!,"AAAAAFdyv/s=")</f>
        <v>#REF!</v>
      </c>
      <c r="IS198" t="e">
        <f>AND(#REF!,"AAAAAFdyv/w=")</f>
        <v>#REF!</v>
      </c>
      <c r="IT198" t="e">
        <f>AND(#REF!,"AAAAAFdyv/0=")</f>
        <v>#REF!</v>
      </c>
      <c r="IU198" t="e">
        <f>AND(#REF!,"AAAAAFdyv/4=")</f>
        <v>#REF!</v>
      </c>
      <c r="IV198" t="e">
        <f>AND(#REF!,"AAAAAFdyv/8=")</f>
        <v>#REF!</v>
      </c>
    </row>
    <row r="199" spans="1:256" x14ac:dyDescent="0.25">
      <c r="A199" t="e">
        <f>AND(#REF!,"AAAAAH1//wA=")</f>
        <v>#REF!</v>
      </c>
      <c r="B199" t="e">
        <f>AND(#REF!,"AAAAAH1//wE=")</f>
        <v>#REF!</v>
      </c>
      <c r="C199" t="e">
        <f>AND(#REF!,"AAAAAH1//wI=")</f>
        <v>#REF!</v>
      </c>
      <c r="D199" t="e">
        <f>AND(#REF!,"AAAAAH1//wM=")</f>
        <v>#REF!</v>
      </c>
      <c r="E199" t="e">
        <f>AND(#REF!,"AAAAAH1//wQ=")</f>
        <v>#REF!</v>
      </c>
      <c r="F199" t="e">
        <f>AND(#REF!,"AAAAAH1//wU=")</f>
        <v>#REF!</v>
      </c>
      <c r="G199" t="e">
        <f>AND(#REF!,"AAAAAH1//wY=")</f>
        <v>#REF!</v>
      </c>
      <c r="H199" t="e">
        <f>AND(#REF!,"AAAAAH1//wc=")</f>
        <v>#REF!</v>
      </c>
      <c r="I199" t="e">
        <f>AND(#REF!,"AAAAAH1//wg=")</f>
        <v>#REF!</v>
      </c>
      <c r="J199" t="e">
        <f>AND(#REF!,"AAAAAH1//wk=")</f>
        <v>#REF!</v>
      </c>
      <c r="K199" t="e">
        <f>AND(#REF!,"AAAAAH1//wo=")</f>
        <v>#REF!</v>
      </c>
      <c r="L199" t="e">
        <f>AND(#REF!,"AAAAAH1//ws=")</f>
        <v>#REF!</v>
      </c>
      <c r="M199" t="e">
        <f>AND(#REF!,"AAAAAH1//ww=")</f>
        <v>#REF!</v>
      </c>
      <c r="N199" t="e">
        <f>AND(#REF!,"AAAAAH1//w0=")</f>
        <v>#REF!</v>
      </c>
      <c r="O199" t="e">
        <f>AND(#REF!,"AAAAAH1//w4=")</f>
        <v>#REF!</v>
      </c>
      <c r="P199" t="e">
        <f>AND(#REF!,"AAAAAH1//w8=")</f>
        <v>#REF!</v>
      </c>
      <c r="Q199" t="e">
        <f>IF(#REF!,"AAAAAH1//xA=",0)</f>
        <v>#REF!</v>
      </c>
      <c r="R199" t="e">
        <f>AND(#REF!,"AAAAAH1//xE=")</f>
        <v>#REF!</v>
      </c>
      <c r="S199" t="e">
        <f>AND(#REF!,"AAAAAH1//xI=")</f>
        <v>#REF!</v>
      </c>
      <c r="T199" t="e">
        <f>AND(#REF!,"AAAAAH1//xM=")</f>
        <v>#REF!</v>
      </c>
      <c r="U199" t="e">
        <f>AND(#REF!,"AAAAAH1//xQ=")</f>
        <v>#REF!</v>
      </c>
      <c r="V199" t="e">
        <f>AND(#REF!,"AAAAAH1//xU=")</f>
        <v>#REF!</v>
      </c>
      <c r="W199" t="e">
        <f>AND(#REF!,"AAAAAH1//xY=")</f>
        <v>#REF!</v>
      </c>
      <c r="X199" t="e">
        <f>AND(#REF!,"AAAAAH1//xc=")</f>
        <v>#REF!</v>
      </c>
      <c r="Y199" t="e">
        <f>AND(#REF!,"AAAAAH1//xg=")</f>
        <v>#REF!</v>
      </c>
      <c r="Z199" t="e">
        <f>AND(#REF!,"AAAAAH1//xk=")</f>
        <v>#REF!</v>
      </c>
      <c r="AA199" t="e">
        <f>AND(#REF!,"AAAAAH1//xo=")</f>
        <v>#REF!</v>
      </c>
      <c r="AB199" t="e">
        <f>AND(#REF!,"AAAAAH1//xs=")</f>
        <v>#REF!</v>
      </c>
      <c r="AC199" t="e">
        <f>AND(#REF!,"AAAAAH1//xw=")</f>
        <v>#REF!</v>
      </c>
      <c r="AD199" t="e">
        <f>AND(#REF!,"AAAAAH1//x0=")</f>
        <v>#REF!</v>
      </c>
      <c r="AE199" t="e">
        <f>AND(#REF!,"AAAAAH1//x4=")</f>
        <v>#REF!</v>
      </c>
      <c r="AF199" t="e">
        <f>AND(#REF!,"AAAAAH1//x8=")</f>
        <v>#REF!</v>
      </c>
      <c r="AG199" t="e">
        <f>AND(#REF!,"AAAAAH1//yA=")</f>
        <v>#REF!</v>
      </c>
      <c r="AH199" t="e">
        <f>AND(#REF!,"AAAAAH1//yE=")</f>
        <v>#REF!</v>
      </c>
      <c r="AI199" t="e">
        <f>AND(#REF!,"AAAAAH1//yI=")</f>
        <v>#REF!</v>
      </c>
      <c r="AJ199" t="e">
        <f>AND(#REF!,"AAAAAH1//yM=")</f>
        <v>#REF!</v>
      </c>
      <c r="AK199" t="e">
        <f>AND(#REF!,"AAAAAH1//yQ=")</f>
        <v>#REF!</v>
      </c>
      <c r="AL199" t="e">
        <f>AND(#REF!,"AAAAAH1//yU=")</f>
        <v>#REF!</v>
      </c>
      <c r="AM199" t="e">
        <f>AND(#REF!,"AAAAAH1//yY=")</f>
        <v>#REF!</v>
      </c>
      <c r="AN199" t="e">
        <f>AND(#REF!,"AAAAAH1//yc=")</f>
        <v>#REF!</v>
      </c>
      <c r="AO199" t="e">
        <f>AND(#REF!,"AAAAAH1//yg=")</f>
        <v>#REF!</v>
      </c>
      <c r="AP199" t="e">
        <f>IF(#REF!,"AAAAAH1//yk=",0)</f>
        <v>#REF!</v>
      </c>
      <c r="AQ199" t="e">
        <f>AND(#REF!,"AAAAAH1//yo=")</f>
        <v>#REF!</v>
      </c>
      <c r="AR199" t="e">
        <f>AND(#REF!,"AAAAAH1//ys=")</f>
        <v>#REF!</v>
      </c>
      <c r="AS199" t="e">
        <f>AND(#REF!,"AAAAAH1//yw=")</f>
        <v>#REF!</v>
      </c>
      <c r="AT199" t="e">
        <f>AND(#REF!,"AAAAAH1//y0=")</f>
        <v>#REF!</v>
      </c>
      <c r="AU199" t="e">
        <f>AND(#REF!,"AAAAAH1//y4=")</f>
        <v>#REF!</v>
      </c>
      <c r="AV199" t="e">
        <f>AND(#REF!,"AAAAAH1//y8=")</f>
        <v>#REF!</v>
      </c>
      <c r="AW199" t="e">
        <f>AND(#REF!,"AAAAAH1//zA=")</f>
        <v>#REF!</v>
      </c>
      <c r="AX199" t="e">
        <f>AND(#REF!,"AAAAAH1//zE=")</f>
        <v>#REF!</v>
      </c>
      <c r="AY199" t="e">
        <f>AND(#REF!,"AAAAAH1//zI=")</f>
        <v>#REF!</v>
      </c>
      <c r="AZ199" t="e">
        <f>AND(#REF!,"AAAAAH1//zM=")</f>
        <v>#REF!</v>
      </c>
      <c r="BA199" t="e">
        <f>AND(#REF!,"AAAAAH1//zQ=")</f>
        <v>#REF!</v>
      </c>
      <c r="BB199" t="e">
        <f>AND(#REF!,"AAAAAH1//zU=")</f>
        <v>#REF!</v>
      </c>
      <c r="BC199" t="e">
        <f>AND(#REF!,"AAAAAH1//zY=")</f>
        <v>#REF!</v>
      </c>
      <c r="BD199" t="e">
        <f>AND(#REF!,"AAAAAH1//zc=")</f>
        <v>#REF!</v>
      </c>
      <c r="BE199" t="e">
        <f>AND(#REF!,"AAAAAH1//zg=")</f>
        <v>#REF!</v>
      </c>
      <c r="BF199" t="e">
        <f>AND(#REF!,"AAAAAH1//zk=")</f>
        <v>#REF!</v>
      </c>
      <c r="BG199" t="e">
        <f>AND(#REF!,"AAAAAH1//zo=")</f>
        <v>#REF!</v>
      </c>
      <c r="BH199" t="e">
        <f>AND(#REF!,"AAAAAH1//zs=")</f>
        <v>#REF!</v>
      </c>
      <c r="BI199" t="e">
        <f>AND(#REF!,"AAAAAH1//zw=")</f>
        <v>#REF!</v>
      </c>
      <c r="BJ199" t="e">
        <f>AND(#REF!,"AAAAAH1//z0=")</f>
        <v>#REF!</v>
      </c>
      <c r="BK199" t="e">
        <f>AND(#REF!,"AAAAAH1//z4=")</f>
        <v>#REF!</v>
      </c>
      <c r="BL199" t="e">
        <f>AND(#REF!,"AAAAAH1//z8=")</f>
        <v>#REF!</v>
      </c>
      <c r="BM199" t="e">
        <f>AND(#REF!,"AAAAAH1//0A=")</f>
        <v>#REF!</v>
      </c>
      <c r="BN199" t="e">
        <f>AND(#REF!,"AAAAAH1//0E=")</f>
        <v>#REF!</v>
      </c>
      <c r="BO199" t="e">
        <f>IF(#REF!,"AAAAAH1//0I=",0)</f>
        <v>#REF!</v>
      </c>
      <c r="BP199" t="e">
        <f>AND(#REF!,"AAAAAH1//0M=")</f>
        <v>#REF!</v>
      </c>
      <c r="BQ199" t="e">
        <f>AND(#REF!,"AAAAAH1//0Q=")</f>
        <v>#REF!</v>
      </c>
      <c r="BR199" t="e">
        <f>AND(#REF!,"AAAAAH1//0U=")</f>
        <v>#REF!</v>
      </c>
      <c r="BS199" t="e">
        <f>AND(#REF!,"AAAAAH1//0Y=")</f>
        <v>#REF!</v>
      </c>
      <c r="BT199" t="e">
        <f>AND(#REF!,"AAAAAH1//0c=")</f>
        <v>#REF!</v>
      </c>
      <c r="BU199" t="e">
        <f>AND(#REF!,"AAAAAH1//0g=")</f>
        <v>#REF!</v>
      </c>
      <c r="BV199" t="e">
        <f>AND(#REF!,"AAAAAH1//0k=")</f>
        <v>#REF!</v>
      </c>
      <c r="BW199" t="e">
        <f>AND(#REF!,"AAAAAH1//0o=")</f>
        <v>#REF!</v>
      </c>
      <c r="BX199" t="e">
        <f>AND(#REF!,"AAAAAH1//0s=")</f>
        <v>#REF!</v>
      </c>
      <c r="BY199" t="e">
        <f>AND(#REF!,"AAAAAH1//0w=")</f>
        <v>#REF!</v>
      </c>
      <c r="BZ199" t="e">
        <f>AND(#REF!,"AAAAAH1//00=")</f>
        <v>#REF!</v>
      </c>
      <c r="CA199" t="e">
        <f>AND(#REF!,"AAAAAH1//04=")</f>
        <v>#REF!</v>
      </c>
      <c r="CB199" t="e">
        <f>AND(#REF!,"AAAAAH1//08=")</f>
        <v>#REF!</v>
      </c>
      <c r="CC199" t="e">
        <f>AND(#REF!,"AAAAAH1//1A=")</f>
        <v>#REF!</v>
      </c>
      <c r="CD199" t="e">
        <f>AND(#REF!,"AAAAAH1//1E=")</f>
        <v>#REF!</v>
      </c>
      <c r="CE199" t="e">
        <f>AND(#REF!,"AAAAAH1//1I=")</f>
        <v>#REF!</v>
      </c>
      <c r="CF199" t="e">
        <f>AND(#REF!,"AAAAAH1//1M=")</f>
        <v>#REF!</v>
      </c>
      <c r="CG199" t="e">
        <f>AND(#REF!,"AAAAAH1//1Q=")</f>
        <v>#REF!</v>
      </c>
      <c r="CH199" t="e">
        <f>AND(#REF!,"AAAAAH1//1U=")</f>
        <v>#REF!</v>
      </c>
      <c r="CI199" t="e">
        <f>AND(#REF!,"AAAAAH1//1Y=")</f>
        <v>#REF!</v>
      </c>
      <c r="CJ199" t="e">
        <f>AND(#REF!,"AAAAAH1//1c=")</f>
        <v>#REF!</v>
      </c>
      <c r="CK199" t="e">
        <f>AND(#REF!,"AAAAAH1//1g=")</f>
        <v>#REF!</v>
      </c>
      <c r="CL199" t="e">
        <f>AND(#REF!,"AAAAAH1//1k=")</f>
        <v>#REF!</v>
      </c>
      <c r="CM199" t="e">
        <f>AND(#REF!,"AAAAAH1//1o=")</f>
        <v>#REF!</v>
      </c>
      <c r="CN199" t="e">
        <f>IF(#REF!,"AAAAAH1//1s=",0)</f>
        <v>#REF!</v>
      </c>
      <c r="CO199" t="e">
        <f>AND(#REF!,"AAAAAH1//1w=")</f>
        <v>#REF!</v>
      </c>
      <c r="CP199" t="e">
        <f>AND(#REF!,"AAAAAH1//10=")</f>
        <v>#REF!</v>
      </c>
      <c r="CQ199" t="e">
        <f>AND(#REF!,"AAAAAH1//14=")</f>
        <v>#REF!</v>
      </c>
      <c r="CR199" t="e">
        <f>AND(#REF!,"AAAAAH1//18=")</f>
        <v>#REF!</v>
      </c>
      <c r="CS199" t="e">
        <f>AND(#REF!,"AAAAAH1//2A=")</f>
        <v>#REF!</v>
      </c>
      <c r="CT199" t="e">
        <f>AND(#REF!,"AAAAAH1//2E=")</f>
        <v>#REF!</v>
      </c>
      <c r="CU199" t="e">
        <f>AND(#REF!,"AAAAAH1//2I=")</f>
        <v>#REF!</v>
      </c>
      <c r="CV199" t="e">
        <f>AND(#REF!,"AAAAAH1//2M=")</f>
        <v>#REF!</v>
      </c>
      <c r="CW199" t="e">
        <f>AND(#REF!,"AAAAAH1//2Q=")</f>
        <v>#REF!</v>
      </c>
      <c r="CX199" t="e">
        <f>AND(#REF!,"AAAAAH1//2U=")</f>
        <v>#REF!</v>
      </c>
      <c r="CY199" t="e">
        <f>AND(#REF!,"AAAAAH1//2Y=")</f>
        <v>#REF!</v>
      </c>
      <c r="CZ199" t="e">
        <f>AND(#REF!,"AAAAAH1//2c=")</f>
        <v>#REF!</v>
      </c>
      <c r="DA199" t="e">
        <f>AND(#REF!,"AAAAAH1//2g=")</f>
        <v>#REF!</v>
      </c>
      <c r="DB199" t="e">
        <f>AND(#REF!,"AAAAAH1//2k=")</f>
        <v>#REF!</v>
      </c>
      <c r="DC199" t="e">
        <f>AND(#REF!,"AAAAAH1//2o=")</f>
        <v>#REF!</v>
      </c>
      <c r="DD199" t="e">
        <f>AND(#REF!,"AAAAAH1//2s=")</f>
        <v>#REF!</v>
      </c>
      <c r="DE199" t="e">
        <f>AND(#REF!,"AAAAAH1//2w=")</f>
        <v>#REF!</v>
      </c>
      <c r="DF199" t="e">
        <f>AND(#REF!,"AAAAAH1//20=")</f>
        <v>#REF!</v>
      </c>
      <c r="DG199" t="e">
        <f>AND(#REF!,"AAAAAH1//24=")</f>
        <v>#REF!</v>
      </c>
      <c r="DH199" t="e">
        <f>AND(#REF!,"AAAAAH1//28=")</f>
        <v>#REF!</v>
      </c>
      <c r="DI199" t="e">
        <f>AND(#REF!,"AAAAAH1//3A=")</f>
        <v>#REF!</v>
      </c>
      <c r="DJ199" t="e">
        <f>AND(#REF!,"AAAAAH1//3E=")</f>
        <v>#REF!</v>
      </c>
      <c r="DK199" t="e">
        <f>AND(#REF!,"AAAAAH1//3I=")</f>
        <v>#REF!</v>
      </c>
      <c r="DL199" t="e">
        <f>AND(#REF!,"AAAAAH1//3M=")</f>
        <v>#REF!</v>
      </c>
      <c r="DM199" t="e">
        <f>IF(#REF!,"AAAAAH1//3Q=",0)</f>
        <v>#REF!</v>
      </c>
      <c r="DN199" t="e">
        <f>AND(#REF!,"AAAAAH1//3U=")</f>
        <v>#REF!</v>
      </c>
      <c r="DO199" t="e">
        <f>AND(#REF!,"AAAAAH1//3Y=")</f>
        <v>#REF!</v>
      </c>
      <c r="DP199" t="e">
        <f>AND(#REF!,"AAAAAH1//3c=")</f>
        <v>#REF!</v>
      </c>
      <c r="DQ199" t="e">
        <f>AND(#REF!,"AAAAAH1//3g=")</f>
        <v>#REF!</v>
      </c>
      <c r="DR199" t="e">
        <f>AND(#REF!,"AAAAAH1//3k=")</f>
        <v>#REF!</v>
      </c>
      <c r="DS199" t="e">
        <f>AND(#REF!,"AAAAAH1//3o=")</f>
        <v>#REF!</v>
      </c>
      <c r="DT199" t="e">
        <f>AND(#REF!,"AAAAAH1//3s=")</f>
        <v>#REF!</v>
      </c>
      <c r="DU199" t="e">
        <f>AND(#REF!,"AAAAAH1//3w=")</f>
        <v>#REF!</v>
      </c>
      <c r="DV199" t="e">
        <f>AND(#REF!,"AAAAAH1//30=")</f>
        <v>#REF!</v>
      </c>
      <c r="DW199" t="e">
        <f>AND(#REF!,"AAAAAH1//34=")</f>
        <v>#REF!</v>
      </c>
      <c r="DX199" t="e">
        <f>AND(#REF!,"AAAAAH1//38=")</f>
        <v>#REF!</v>
      </c>
      <c r="DY199" t="e">
        <f>AND(#REF!,"AAAAAH1//4A=")</f>
        <v>#REF!</v>
      </c>
      <c r="DZ199" t="e">
        <f>AND(#REF!,"AAAAAH1//4E=")</f>
        <v>#REF!</v>
      </c>
      <c r="EA199" t="e">
        <f>AND(#REF!,"AAAAAH1//4I=")</f>
        <v>#REF!</v>
      </c>
      <c r="EB199" t="e">
        <f>AND(#REF!,"AAAAAH1//4M=")</f>
        <v>#REF!</v>
      </c>
      <c r="EC199" t="e">
        <f>AND(#REF!,"AAAAAH1//4Q=")</f>
        <v>#REF!</v>
      </c>
      <c r="ED199" t="e">
        <f>AND(#REF!,"AAAAAH1//4U=")</f>
        <v>#REF!</v>
      </c>
      <c r="EE199" t="e">
        <f>AND(#REF!,"AAAAAH1//4Y=")</f>
        <v>#REF!</v>
      </c>
      <c r="EF199" t="e">
        <f>AND(#REF!,"AAAAAH1//4c=")</f>
        <v>#REF!</v>
      </c>
      <c r="EG199" t="e">
        <f>AND(#REF!,"AAAAAH1//4g=")</f>
        <v>#REF!</v>
      </c>
      <c r="EH199" t="e">
        <f>AND(#REF!,"AAAAAH1//4k=")</f>
        <v>#REF!</v>
      </c>
      <c r="EI199" t="e">
        <f>AND(#REF!,"AAAAAH1//4o=")</f>
        <v>#REF!</v>
      </c>
      <c r="EJ199" t="e">
        <f>AND(#REF!,"AAAAAH1//4s=")</f>
        <v>#REF!</v>
      </c>
      <c r="EK199" t="e">
        <f>AND(#REF!,"AAAAAH1//4w=")</f>
        <v>#REF!</v>
      </c>
      <c r="EL199" t="e">
        <f>IF(#REF!,"AAAAAH1//40=",0)</f>
        <v>#REF!</v>
      </c>
      <c r="EM199" t="e">
        <f>AND(#REF!,"AAAAAH1//44=")</f>
        <v>#REF!</v>
      </c>
      <c r="EN199" t="e">
        <f>AND(#REF!,"AAAAAH1//48=")</f>
        <v>#REF!</v>
      </c>
      <c r="EO199" t="e">
        <f>AND(#REF!,"AAAAAH1//5A=")</f>
        <v>#REF!</v>
      </c>
      <c r="EP199" t="e">
        <f>AND(#REF!,"AAAAAH1//5E=")</f>
        <v>#REF!</v>
      </c>
      <c r="EQ199" t="e">
        <f>AND(#REF!,"AAAAAH1//5I=")</f>
        <v>#REF!</v>
      </c>
      <c r="ER199" t="e">
        <f>AND(#REF!,"AAAAAH1//5M=")</f>
        <v>#REF!</v>
      </c>
      <c r="ES199" t="e">
        <f>AND(#REF!,"AAAAAH1//5Q=")</f>
        <v>#REF!</v>
      </c>
      <c r="ET199" t="e">
        <f>AND(#REF!,"AAAAAH1//5U=")</f>
        <v>#REF!</v>
      </c>
      <c r="EU199" t="e">
        <f>AND(#REF!,"AAAAAH1//5Y=")</f>
        <v>#REF!</v>
      </c>
      <c r="EV199" t="e">
        <f>AND(#REF!,"AAAAAH1//5c=")</f>
        <v>#REF!</v>
      </c>
      <c r="EW199" t="e">
        <f>AND(#REF!,"AAAAAH1//5g=")</f>
        <v>#REF!</v>
      </c>
      <c r="EX199" t="e">
        <f>AND(#REF!,"AAAAAH1//5k=")</f>
        <v>#REF!</v>
      </c>
      <c r="EY199" t="e">
        <f>AND(#REF!,"AAAAAH1//5o=")</f>
        <v>#REF!</v>
      </c>
      <c r="EZ199" t="e">
        <f>AND(#REF!,"AAAAAH1//5s=")</f>
        <v>#REF!</v>
      </c>
      <c r="FA199" t="e">
        <f>AND(#REF!,"AAAAAH1//5w=")</f>
        <v>#REF!</v>
      </c>
      <c r="FB199" t="e">
        <f>AND(#REF!,"AAAAAH1//50=")</f>
        <v>#REF!</v>
      </c>
      <c r="FC199" t="e">
        <f>AND(#REF!,"AAAAAH1//54=")</f>
        <v>#REF!</v>
      </c>
      <c r="FD199" t="e">
        <f>AND(#REF!,"AAAAAH1//58=")</f>
        <v>#REF!</v>
      </c>
      <c r="FE199" t="e">
        <f>AND(#REF!,"AAAAAH1//6A=")</f>
        <v>#REF!</v>
      </c>
      <c r="FF199" t="e">
        <f>AND(#REF!,"AAAAAH1//6E=")</f>
        <v>#REF!</v>
      </c>
      <c r="FG199" t="e">
        <f>AND(#REF!,"AAAAAH1//6I=")</f>
        <v>#REF!</v>
      </c>
      <c r="FH199" t="e">
        <f>AND(#REF!,"AAAAAH1//6M=")</f>
        <v>#REF!</v>
      </c>
      <c r="FI199" t="e">
        <f>AND(#REF!,"AAAAAH1//6Q=")</f>
        <v>#REF!</v>
      </c>
      <c r="FJ199" t="e">
        <f>AND(#REF!,"AAAAAH1//6U=")</f>
        <v>#REF!</v>
      </c>
      <c r="FK199" t="e">
        <f>IF(#REF!,"AAAAAH1//6Y=",0)</f>
        <v>#REF!</v>
      </c>
      <c r="FL199" t="e">
        <f>AND(#REF!,"AAAAAH1//6c=")</f>
        <v>#REF!</v>
      </c>
      <c r="FM199" t="e">
        <f>AND(#REF!,"AAAAAH1//6g=")</f>
        <v>#REF!</v>
      </c>
      <c r="FN199" t="e">
        <f>AND(#REF!,"AAAAAH1//6k=")</f>
        <v>#REF!</v>
      </c>
      <c r="FO199" t="e">
        <f>AND(#REF!,"AAAAAH1//6o=")</f>
        <v>#REF!</v>
      </c>
      <c r="FP199" t="e">
        <f>AND(#REF!,"AAAAAH1//6s=")</f>
        <v>#REF!</v>
      </c>
      <c r="FQ199" t="e">
        <f>AND(#REF!,"AAAAAH1//6w=")</f>
        <v>#REF!</v>
      </c>
      <c r="FR199" t="e">
        <f>AND(#REF!,"AAAAAH1//60=")</f>
        <v>#REF!</v>
      </c>
      <c r="FS199" t="e">
        <f>AND(#REF!,"AAAAAH1//64=")</f>
        <v>#REF!</v>
      </c>
      <c r="FT199" t="e">
        <f>AND(#REF!,"AAAAAH1//68=")</f>
        <v>#REF!</v>
      </c>
      <c r="FU199" t="e">
        <f>AND(#REF!,"AAAAAH1//7A=")</f>
        <v>#REF!</v>
      </c>
      <c r="FV199" t="e">
        <f>AND(#REF!,"AAAAAH1//7E=")</f>
        <v>#REF!</v>
      </c>
      <c r="FW199" t="e">
        <f>AND(#REF!,"AAAAAH1//7I=")</f>
        <v>#REF!</v>
      </c>
      <c r="FX199" t="e">
        <f>AND(#REF!,"AAAAAH1//7M=")</f>
        <v>#REF!</v>
      </c>
      <c r="FY199" t="e">
        <f>AND(#REF!,"AAAAAH1//7Q=")</f>
        <v>#REF!</v>
      </c>
      <c r="FZ199" t="e">
        <f>AND(#REF!,"AAAAAH1//7U=")</f>
        <v>#REF!</v>
      </c>
      <c r="GA199" t="e">
        <f>AND(#REF!,"AAAAAH1//7Y=")</f>
        <v>#REF!</v>
      </c>
      <c r="GB199" t="e">
        <f>AND(#REF!,"AAAAAH1//7c=")</f>
        <v>#REF!</v>
      </c>
      <c r="GC199" t="e">
        <f>AND(#REF!,"AAAAAH1//7g=")</f>
        <v>#REF!</v>
      </c>
      <c r="GD199" t="e">
        <f>AND(#REF!,"AAAAAH1//7k=")</f>
        <v>#REF!</v>
      </c>
      <c r="GE199" t="e">
        <f>AND(#REF!,"AAAAAH1//7o=")</f>
        <v>#REF!</v>
      </c>
      <c r="GF199" t="e">
        <f>AND(#REF!,"AAAAAH1//7s=")</f>
        <v>#REF!</v>
      </c>
      <c r="GG199" t="e">
        <f>AND(#REF!,"AAAAAH1//7w=")</f>
        <v>#REF!</v>
      </c>
      <c r="GH199" t="e">
        <f>AND(#REF!,"AAAAAH1//70=")</f>
        <v>#REF!</v>
      </c>
      <c r="GI199" t="e">
        <f>AND(#REF!,"AAAAAH1//74=")</f>
        <v>#REF!</v>
      </c>
      <c r="GJ199" t="e">
        <f>IF(#REF!,"AAAAAH1//78=",0)</f>
        <v>#REF!</v>
      </c>
      <c r="GK199" t="e">
        <f>AND(#REF!,"AAAAAH1//8A=")</f>
        <v>#REF!</v>
      </c>
      <c r="GL199" t="e">
        <f>AND(#REF!,"AAAAAH1//8E=")</f>
        <v>#REF!</v>
      </c>
      <c r="GM199" t="e">
        <f>AND(#REF!,"AAAAAH1//8I=")</f>
        <v>#REF!</v>
      </c>
      <c r="GN199" t="e">
        <f>AND(#REF!,"AAAAAH1//8M=")</f>
        <v>#REF!</v>
      </c>
      <c r="GO199" t="e">
        <f>AND(#REF!,"AAAAAH1//8Q=")</f>
        <v>#REF!</v>
      </c>
      <c r="GP199" t="e">
        <f>AND(#REF!,"AAAAAH1//8U=")</f>
        <v>#REF!</v>
      </c>
      <c r="GQ199" t="e">
        <f>AND(#REF!,"AAAAAH1//8Y=")</f>
        <v>#REF!</v>
      </c>
      <c r="GR199" t="e">
        <f>AND(#REF!,"AAAAAH1//8c=")</f>
        <v>#REF!</v>
      </c>
      <c r="GS199" t="e">
        <f>AND(#REF!,"AAAAAH1//8g=")</f>
        <v>#REF!</v>
      </c>
      <c r="GT199" t="e">
        <f>AND(#REF!,"AAAAAH1//8k=")</f>
        <v>#REF!</v>
      </c>
      <c r="GU199" t="e">
        <f>AND(#REF!,"AAAAAH1//8o=")</f>
        <v>#REF!</v>
      </c>
      <c r="GV199" t="e">
        <f>AND(#REF!,"AAAAAH1//8s=")</f>
        <v>#REF!</v>
      </c>
      <c r="GW199" t="e">
        <f>AND(#REF!,"AAAAAH1//8w=")</f>
        <v>#REF!</v>
      </c>
      <c r="GX199" t="e">
        <f>AND(#REF!,"AAAAAH1//80=")</f>
        <v>#REF!</v>
      </c>
      <c r="GY199" t="e">
        <f>AND(#REF!,"AAAAAH1//84=")</f>
        <v>#REF!</v>
      </c>
      <c r="GZ199" t="e">
        <f>AND(#REF!,"AAAAAH1//88=")</f>
        <v>#REF!</v>
      </c>
      <c r="HA199" t="e">
        <f>AND(#REF!,"AAAAAH1//9A=")</f>
        <v>#REF!</v>
      </c>
      <c r="HB199" t="e">
        <f>AND(#REF!,"AAAAAH1//9E=")</f>
        <v>#REF!</v>
      </c>
      <c r="HC199" t="e">
        <f>AND(#REF!,"AAAAAH1//9I=")</f>
        <v>#REF!</v>
      </c>
      <c r="HD199" t="e">
        <f>AND(#REF!,"AAAAAH1//9M=")</f>
        <v>#REF!</v>
      </c>
      <c r="HE199" t="e">
        <f>AND(#REF!,"AAAAAH1//9Q=")</f>
        <v>#REF!</v>
      </c>
      <c r="HF199" t="e">
        <f>AND(#REF!,"AAAAAH1//9U=")</f>
        <v>#REF!</v>
      </c>
      <c r="HG199" t="e">
        <f>AND(#REF!,"AAAAAH1//9Y=")</f>
        <v>#REF!</v>
      </c>
      <c r="HH199" t="e">
        <f>AND(#REF!,"AAAAAH1//9c=")</f>
        <v>#REF!</v>
      </c>
      <c r="HI199" t="e">
        <f>IF(#REF!,"AAAAAH1//9g=",0)</f>
        <v>#REF!</v>
      </c>
      <c r="HJ199" t="e">
        <f>AND(#REF!,"AAAAAH1//9k=")</f>
        <v>#REF!</v>
      </c>
      <c r="HK199" t="e">
        <f>AND(#REF!,"AAAAAH1//9o=")</f>
        <v>#REF!</v>
      </c>
      <c r="HL199" t="e">
        <f>AND(#REF!,"AAAAAH1//9s=")</f>
        <v>#REF!</v>
      </c>
      <c r="HM199" t="e">
        <f>AND(#REF!,"AAAAAH1//9w=")</f>
        <v>#REF!</v>
      </c>
      <c r="HN199" t="e">
        <f>AND(#REF!,"AAAAAH1//90=")</f>
        <v>#REF!</v>
      </c>
      <c r="HO199" t="e">
        <f>AND(#REF!,"AAAAAH1//94=")</f>
        <v>#REF!</v>
      </c>
      <c r="HP199" t="e">
        <f>AND(#REF!,"AAAAAH1//98=")</f>
        <v>#REF!</v>
      </c>
      <c r="HQ199" t="e">
        <f>AND(#REF!,"AAAAAH1//+A=")</f>
        <v>#REF!</v>
      </c>
      <c r="HR199" t="e">
        <f>AND(#REF!,"AAAAAH1//+E=")</f>
        <v>#REF!</v>
      </c>
      <c r="HS199" t="e">
        <f>AND(#REF!,"AAAAAH1//+I=")</f>
        <v>#REF!</v>
      </c>
      <c r="HT199" t="e">
        <f>AND(#REF!,"AAAAAH1//+M=")</f>
        <v>#REF!</v>
      </c>
      <c r="HU199" t="e">
        <f>AND(#REF!,"AAAAAH1//+Q=")</f>
        <v>#REF!</v>
      </c>
      <c r="HV199" t="e">
        <f>AND(#REF!,"AAAAAH1//+U=")</f>
        <v>#REF!</v>
      </c>
      <c r="HW199" t="e">
        <f>AND(#REF!,"AAAAAH1//+Y=")</f>
        <v>#REF!</v>
      </c>
      <c r="HX199" t="e">
        <f>AND(#REF!,"AAAAAH1//+c=")</f>
        <v>#REF!</v>
      </c>
      <c r="HY199" t="e">
        <f>AND(#REF!,"AAAAAH1//+g=")</f>
        <v>#REF!</v>
      </c>
      <c r="HZ199" t="e">
        <f>AND(#REF!,"AAAAAH1//+k=")</f>
        <v>#REF!</v>
      </c>
      <c r="IA199" t="e">
        <f>AND(#REF!,"AAAAAH1//+o=")</f>
        <v>#REF!</v>
      </c>
      <c r="IB199" t="e">
        <f>AND(#REF!,"AAAAAH1//+s=")</f>
        <v>#REF!</v>
      </c>
      <c r="IC199" t="e">
        <f>AND(#REF!,"AAAAAH1//+w=")</f>
        <v>#REF!</v>
      </c>
      <c r="ID199" t="e">
        <f>AND(#REF!,"AAAAAH1//+0=")</f>
        <v>#REF!</v>
      </c>
      <c r="IE199" t="e">
        <f>AND(#REF!,"AAAAAH1//+4=")</f>
        <v>#REF!</v>
      </c>
      <c r="IF199" t="e">
        <f>AND(#REF!,"AAAAAH1//+8=")</f>
        <v>#REF!</v>
      </c>
      <c r="IG199" t="e">
        <f>AND(#REF!,"AAAAAH1///A=")</f>
        <v>#REF!</v>
      </c>
      <c r="IH199" t="e">
        <f>IF(#REF!,"AAAAAH1///E=",0)</f>
        <v>#REF!</v>
      </c>
      <c r="II199" t="e">
        <f>AND(#REF!,"AAAAAH1///I=")</f>
        <v>#REF!</v>
      </c>
      <c r="IJ199" t="e">
        <f>AND(#REF!,"AAAAAH1///M=")</f>
        <v>#REF!</v>
      </c>
      <c r="IK199" t="e">
        <f>AND(#REF!,"AAAAAH1///Q=")</f>
        <v>#REF!</v>
      </c>
      <c r="IL199" t="e">
        <f>AND(#REF!,"AAAAAH1///U=")</f>
        <v>#REF!</v>
      </c>
      <c r="IM199" t="e">
        <f>AND(#REF!,"AAAAAH1///Y=")</f>
        <v>#REF!</v>
      </c>
      <c r="IN199" t="e">
        <f>AND(#REF!,"AAAAAH1///c=")</f>
        <v>#REF!</v>
      </c>
      <c r="IO199" t="e">
        <f>AND(#REF!,"AAAAAH1///g=")</f>
        <v>#REF!</v>
      </c>
      <c r="IP199" t="e">
        <f>AND(#REF!,"AAAAAH1///k=")</f>
        <v>#REF!</v>
      </c>
      <c r="IQ199" t="e">
        <f>AND(#REF!,"AAAAAH1///o=")</f>
        <v>#REF!</v>
      </c>
      <c r="IR199" t="e">
        <f>AND(#REF!,"AAAAAH1///s=")</f>
        <v>#REF!</v>
      </c>
      <c r="IS199" t="e">
        <f>AND(#REF!,"AAAAAH1///w=")</f>
        <v>#REF!</v>
      </c>
      <c r="IT199" t="e">
        <f>AND(#REF!,"AAAAAH1///0=")</f>
        <v>#REF!</v>
      </c>
      <c r="IU199" t="e">
        <f>AND(#REF!,"AAAAAH1///4=")</f>
        <v>#REF!</v>
      </c>
      <c r="IV199" t="e">
        <f>AND(#REF!,"AAAAAH1///8=")</f>
        <v>#REF!</v>
      </c>
    </row>
    <row r="200" spans="1:256" x14ac:dyDescent="0.25">
      <c r="A200" t="e">
        <f>AND(#REF!,"AAAAAH++9wA=")</f>
        <v>#REF!</v>
      </c>
      <c r="B200" t="e">
        <f>AND(#REF!,"AAAAAH++9wE=")</f>
        <v>#REF!</v>
      </c>
      <c r="C200" t="e">
        <f>AND(#REF!,"AAAAAH++9wI=")</f>
        <v>#REF!</v>
      </c>
      <c r="D200" t="e">
        <f>AND(#REF!,"AAAAAH++9wM=")</f>
        <v>#REF!</v>
      </c>
      <c r="E200" t="e">
        <f>AND(#REF!,"AAAAAH++9wQ=")</f>
        <v>#REF!</v>
      </c>
      <c r="F200" t="e">
        <f>AND(#REF!,"AAAAAH++9wU=")</f>
        <v>#REF!</v>
      </c>
      <c r="G200" t="e">
        <f>AND(#REF!,"AAAAAH++9wY=")</f>
        <v>#REF!</v>
      </c>
      <c r="H200" t="e">
        <f>AND(#REF!,"AAAAAH++9wc=")</f>
        <v>#REF!</v>
      </c>
      <c r="I200" t="e">
        <f>AND(#REF!,"AAAAAH++9wg=")</f>
        <v>#REF!</v>
      </c>
      <c r="J200" t="e">
        <f>AND(#REF!,"AAAAAH++9wk=")</f>
        <v>#REF!</v>
      </c>
      <c r="K200" t="e">
        <f>IF(#REF!,"AAAAAH++9wo=",0)</f>
        <v>#REF!</v>
      </c>
      <c r="L200" t="e">
        <f>AND(#REF!,"AAAAAH++9ws=")</f>
        <v>#REF!</v>
      </c>
      <c r="M200" t="e">
        <f>AND(#REF!,"AAAAAH++9ww=")</f>
        <v>#REF!</v>
      </c>
      <c r="N200" t="e">
        <f>AND(#REF!,"AAAAAH++9w0=")</f>
        <v>#REF!</v>
      </c>
      <c r="O200" t="e">
        <f>AND(#REF!,"AAAAAH++9w4=")</f>
        <v>#REF!</v>
      </c>
      <c r="P200" t="e">
        <f>AND(#REF!,"AAAAAH++9w8=")</f>
        <v>#REF!</v>
      </c>
      <c r="Q200" t="e">
        <f>AND(#REF!,"AAAAAH++9xA=")</f>
        <v>#REF!</v>
      </c>
      <c r="R200" t="e">
        <f>AND(#REF!,"AAAAAH++9xE=")</f>
        <v>#REF!</v>
      </c>
      <c r="S200" t="e">
        <f>AND(#REF!,"AAAAAH++9xI=")</f>
        <v>#REF!</v>
      </c>
      <c r="T200" t="e">
        <f>AND(#REF!,"AAAAAH++9xM=")</f>
        <v>#REF!</v>
      </c>
      <c r="U200" t="e">
        <f>AND(#REF!,"AAAAAH++9xQ=")</f>
        <v>#REF!</v>
      </c>
      <c r="V200" t="e">
        <f>AND(#REF!,"AAAAAH++9xU=")</f>
        <v>#REF!</v>
      </c>
      <c r="W200" t="e">
        <f>AND(#REF!,"AAAAAH++9xY=")</f>
        <v>#REF!</v>
      </c>
      <c r="X200" t="e">
        <f>AND(#REF!,"AAAAAH++9xc=")</f>
        <v>#REF!</v>
      </c>
      <c r="Y200" t="e">
        <f>AND(#REF!,"AAAAAH++9xg=")</f>
        <v>#REF!</v>
      </c>
      <c r="Z200" t="e">
        <f>AND(#REF!,"AAAAAH++9xk=")</f>
        <v>#REF!</v>
      </c>
      <c r="AA200" t="e">
        <f>AND(#REF!,"AAAAAH++9xo=")</f>
        <v>#REF!</v>
      </c>
      <c r="AB200" t="e">
        <f>AND(#REF!,"AAAAAH++9xs=")</f>
        <v>#REF!</v>
      </c>
      <c r="AC200" t="e">
        <f>AND(#REF!,"AAAAAH++9xw=")</f>
        <v>#REF!</v>
      </c>
      <c r="AD200" t="e">
        <f>AND(#REF!,"AAAAAH++9x0=")</f>
        <v>#REF!</v>
      </c>
      <c r="AE200" t="e">
        <f>AND(#REF!,"AAAAAH++9x4=")</f>
        <v>#REF!</v>
      </c>
      <c r="AF200" t="e">
        <f>AND(#REF!,"AAAAAH++9x8=")</f>
        <v>#REF!</v>
      </c>
      <c r="AG200" t="e">
        <f>AND(#REF!,"AAAAAH++9yA=")</f>
        <v>#REF!</v>
      </c>
      <c r="AH200" t="e">
        <f>AND(#REF!,"AAAAAH++9yE=")</f>
        <v>#REF!</v>
      </c>
      <c r="AI200" t="e">
        <f>AND(#REF!,"AAAAAH++9yI=")</f>
        <v>#REF!</v>
      </c>
      <c r="AJ200" t="e">
        <f>IF(#REF!,"AAAAAH++9yM=",0)</f>
        <v>#REF!</v>
      </c>
      <c r="AK200" t="e">
        <f>AND(#REF!,"AAAAAH++9yQ=")</f>
        <v>#REF!</v>
      </c>
      <c r="AL200" t="e">
        <f>AND(#REF!,"AAAAAH++9yU=")</f>
        <v>#REF!</v>
      </c>
      <c r="AM200" t="e">
        <f>AND(#REF!,"AAAAAH++9yY=")</f>
        <v>#REF!</v>
      </c>
      <c r="AN200" t="e">
        <f>AND(#REF!,"AAAAAH++9yc=")</f>
        <v>#REF!</v>
      </c>
      <c r="AO200" t="e">
        <f>AND(#REF!,"AAAAAH++9yg=")</f>
        <v>#REF!</v>
      </c>
      <c r="AP200" t="e">
        <f>AND(#REF!,"AAAAAH++9yk=")</f>
        <v>#REF!</v>
      </c>
      <c r="AQ200" t="e">
        <f>AND(#REF!,"AAAAAH++9yo=")</f>
        <v>#REF!</v>
      </c>
      <c r="AR200" t="e">
        <f>AND(#REF!,"AAAAAH++9ys=")</f>
        <v>#REF!</v>
      </c>
      <c r="AS200" t="e">
        <f>AND(#REF!,"AAAAAH++9yw=")</f>
        <v>#REF!</v>
      </c>
      <c r="AT200" t="e">
        <f>AND(#REF!,"AAAAAH++9y0=")</f>
        <v>#REF!</v>
      </c>
      <c r="AU200" t="e">
        <f>AND(#REF!,"AAAAAH++9y4=")</f>
        <v>#REF!</v>
      </c>
      <c r="AV200" t="e">
        <f>AND(#REF!,"AAAAAH++9y8=")</f>
        <v>#REF!</v>
      </c>
      <c r="AW200" t="e">
        <f>AND(#REF!,"AAAAAH++9zA=")</f>
        <v>#REF!</v>
      </c>
      <c r="AX200" t="e">
        <f>AND(#REF!,"AAAAAH++9zE=")</f>
        <v>#REF!</v>
      </c>
      <c r="AY200" t="e">
        <f>AND(#REF!,"AAAAAH++9zI=")</f>
        <v>#REF!</v>
      </c>
      <c r="AZ200" t="e">
        <f>AND(#REF!,"AAAAAH++9zM=")</f>
        <v>#REF!</v>
      </c>
      <c r="BA200" t="e">
        <f>AND(#REF!,"AAAAAH++9zQ=")</f>
        <v>#REF!</v>
      </c>
      <c r="BB200" t="e">
        <f>AND(#REF!,"AAAAAH++9zU=")</f>
        <v>#REF!</v>
      </c>
      <c r="BC200" t="e">
        <f>AND(#REF!,"AAAAAH++9zY=")</f>
        <v>#REF!</v>
      </c>
      <c r="BD200" t="e">
        <f>AND(#REF!,"AAAAAH++9zc=")</f>
        <v>#REF!</v>
      </c>
      <c r="BE200" t="e">
        <f>AND(#REF!,"AAAAAH++9zg=")</f>
        <v>#REF!</v>
      </c>
      <c r="BF200" t="e">
        <f>AND(#REF!,"AAAAAH++9zk=")</f>
        <v>#REF!</v>
      </c>
      <c r="BG200" t="e">
        <f>AND(#REF!,"AAAAAH++9zo=")</f>
        <v>#REF!</v>
      </c>
      <c r="BH200" t="e">
        <f>AND(#REF!,"AAAAAH++9zs=")</f>
        <v>#REF!</v>
      </c>
      <c r="BI200" t="e">
        <f>IF(#REF!,"AAAAAH++9zw=",0)</f>
        <v>#REF!</v>
      </c>
      <c r="BJ200" t="e">
        <f>AND(#REF!,"AAAAAH++9z0=")</f>
        <v>#REF!</v>
      </c>
      <c r="BK200" t="e">
        <f>AND(#REF!,"AAAAAH++9z4=")</f>
        <v>#REF!</v>
      </c>
      <c r="BL200" t="e">
        <f>AND(#REF!,"AAAAAH++9z8=")</f>
        <v>#REF!</v>
      </c>
      <c r="BM200" t="e">
        <f>AND(#REF!,"AAAAAH++90A=")</f>
        <v>#REF!</v>
      </c>
      <c r="BN200" t="e">
        <f>AND(#REF!,"AAAAAH++90E=")</f>
        <v>#REF!</v>
      </c>
      <c r="BO200" t="e">
        <f>AND(#REF!,"AAAAAH++90I=")</f>
        <v>#REF!</v>
      </c>
      <c r="BP200" t="e">
        <f>AND(#REF!,"AAAAAH++90M=")</f>
        <v>#REF!</v>
      </c>
      <c r="BQ200" t="e">
        <f>AND(#REF!,"AAAAAH++90Q=")</f>
        <v>#REF!</v>
      </c>
      <c r="BR200" t="e">
        <f>AND(#REF!,"AAAAAH++90U=")</f>
        <v>#REF!</v>
      </c>
      <c r="BS200" t="e">
        <f>AND(#REF!,"AAAAAH++90Y=")</f>
        <v>#REF!</v>
      </c>
      <c r="BT200" t="e">
        <f>AND(#REF!,"AAAAAH++90c=")</f>
        <v>#REF!</v>
      </c>
      <c r="BU200" t="e">
        <f>AND(#REF!,"AAAAAH++90g=")</f>
        <v>#REF!</v>
      </c>
      <c r="BV200" t="e">
        <f>AND(#REF!,"AAAAAH++90k=")</f>
        <v>#REF!</v>
      </c>
      <c r="BW200" t="e">
        <f>AND(#REF!,"AAAAAH++90o=")</f>
        <v>#REF!</v>
      </c>
      <c r="BX200" t="e">
        <f>AND(#REF!,"AAAAAH++90s=")</f>
        <v>#REF!</v>
      </c>
      <c r="BY200" t="e">
        <f>AND(#REF!,"AAAAAH++90w=")</f>
        <v>#REF!</v>
      </c>
      <c r="BZ200" t="e">
        <f>AND(#REF!,"AAAAAH++900=")</f>
        <v>#REF!</v>
      </c>
      <c r="CA200" t="e">
        <f>AND(#REF!,"AAAAAH++904=")</f>
        <v>#REF!</v>
      </c>
      <c r="CB200" t="e">
        <f>AND(#REF!,"AAAAAH++908=")</f>
        <v>#REF!</v>
      </c>
      <c r="CC200" t="e">
        <f>AND(#REF!,"AAAAAH++91A=")</f>
        <v>#REF!</v>
      </c>
      <c r="CD200" t="e">
        <f>AND(#REF!,"AAAAAH++91E=")</f>
        <v>#REF!</v>
      </c>
      <c r="CE200" t="e">
        <f>AND(#REF!,"AAAAAH++91I=")</f>
        <v>#REF!</v>
      </c>
      <c r="CF200" t="e">
        <f>AND(#REF!,"AAAAAH++91M=")</f>
        <v>#REF!</v>
      </c>
      <c r="CG200" t="e">
        <f>AND(#REF!,"AAAAAH++91Q=")</f>
        <v>#REF!</v>
      </c>
      <c r="CH200" t="e">
        <f>IF(#REF!,"AAAAAH++91U=",0)</f>
        <v>#REF!</v>
      </c>
      <c r="CI200" t="e">
        <f>AND(#REF!,"AAAAAH++91Y=")</f>
        <v>#REF!</v>
      </c>
      <c r="CJ200" t="e">
        <f>AND(#REF!,"AAAAAH++91c=")</f>
        <v>#REF!</v>
      </c>
      <c r="CK200" t="e">
        <f>AND(#REF!,"AAAAAH++91g=")</f>
        <v>#REF!</v>
      </c>
      <c r="CL200" t="e">
        <f>AND(#REF!,"AAAAAH++91k=")</f>
        <v>#REF!</v>
      </c>
      <c r="CM200" t="e">
        <f>AND(#REF!,"AAAAAH++91o=")</f>
        <v>#REF!</v>
      </c>
      <c r="CN200" t="e">
        <f>AND(#REF!,"AAAAAH++91s=")</f>
        <v>#REF!</v>
      </c>
      <c r="CO200" t="e">
        <f>AND(#REF!,"AAAAAH++91w=")</f>
        <v>#REF!</v>
      </c>
      <c r="CP200" t="e">
        <f>AND(#REF!,"AAAAAH++910=")</f>
        <v>#REF!</v>
      </c>
      <c r="CQ200" t="e">
        <f>AND(#REF!,"AAAAAH++914=")</f>
        <v>#REF!</v>
      </c>
      <c r="CR200" t="e">
        <f>AND(#REF!,"AAAAAH++918=")</f>
        <v>#REF!</v>
      </c>
      <c r="CS200" t="e">
        <f>AND(#REF!,"AAAAAH++92A=")</f>
        <v>#REF!</v>
      </c>
      <c r="CT200" t="e">
        <f>AND(#REF!,"AAAAAH++92E=")</f>
        <v>#REF!</v>
      </c>
      <c r="CU200" t="e">
        <f>AND(#REF!,"AAAAAH++92I=")</f>
        <v>#REF!</v>
      </c>
      <c r="CV200" t="e">
        <f>AND(#REF!,"AAAAAH++92M=")</f>
        <v>#REF!</v>
      </c>
      <c r="CW200" t="e">
        <f>AND(#REF!,"AAAAAH++92Q=")</f>
        <v>#REF!</v>
      </c>
      <c r="CX200" t="e">
        <f>AND(#REF!,"AAAAAH++92U=")</f>
        <v>#REF!</v>
      </c>
      <c r="CY200" t="e">
        <f>AND(#REF!,"AAAAAH++92Y=")</f>
        <v>#REF!</v>
      </c>
      <c r="CZ200" t="e">
        <f>AND(#REF!,"AAAAAH++92c=")</f>
        <v>#REF!</v>
      </c>
      <c r="DA200" t="e">
        <f>AND(#REF!,"AAAAAH++92g=")</f>
        <v>#REF!</v>
      </c>
      <c r="DB200" t="e">
        <f>AND(#REF!,"AAAAAH++92k=")</f>
        <v>#REF!</v>
      </c>
      <c r="DC200" t="e">
        <f>AND(#REF!,"AAAAAH++92o=")</f>
        <v>#REF!</v>
      </c>
      <c r="DD200" t="e">
        <f>AND(#REF!,"AAAAAH++92s=")</f>
        <v>#REF!</v>
      </c>
      <c r="DE200" t="e">
        <f>AND(#REF!,"AAAAAH++92w=")</f>
        <v>#REF!</v>
      </c>
      <c r="DF200" t="e">
        <f>AND(#REF!,"AAAAAH++920=")</f>
        <v>#REF!</v>
      </c>
      <c r="DG200" t="e">
        <f>IF(#REF!,"AAAAAH++924=",0)</f>
        <v>#REF!</v>
      </c>
      <c r="DH200" t="e">
        <f>AND(#REF!,"AAAAAH++928=")</f>
        <v>#REF!</v>
      </c>
      <c r="DI200" t="e">
        <f>AND(#REF!,"AAAAAH++93A=")</f>
        <v>#REF!</v>
      </c>
      <c r="DJ200" t="e">
        <f>AND(#REF!,"AAAAAH++93E=")</f>
        <v>#REF!</v>
      </c>
      <c r="DK200" t="e">
        <f>AND(#REF!,"AAAAAH++93I=")</f>
        <v>#REF!</v>
      </c>
      <c r="DL200" t="e">
        <f>AND(#REF!,"AAAAAH++93M=")</f>
        <v>#REF!</v>
      </c>
      <c r="DM200" t="e">
        <f>AND(#REF!,"AAAAAH++93Q=")</f>
        <v>#REF!</v>
      </c>
      <c r="DN200" t="e">
        <f>AND(#REF!,"AAAAAH++93U=")</f>
        <v>#REF!</v>
      </c>
      <c r="DO200" t="e">
        <f>AND(#REF!,"AAAAAH++93Y=")</f>
        <v>#REF!</v>
      </c>
      <c r="DP200" t="e">
        <f>AND(#REF!,"AAAAAH++93c=")</f>
        <v>#REF!</v>
      </c>
      <c r="DQ200" t="e">
        <f>AND(#REF!,"AAAAAH++93g=")</f>
        <v>#REF!</v>
      </c>
      <c r="DR200" t="e">
        <f>AND(#REF!,"AAAAAH++93k=")</f>
        <v>#REF!</v>
      </c>
      <c r="DS200" t="e">
        <f>AND(#REF!,"AAAAAH++93o=")</f>
        <v>#REF!</v>
      </c>
      <c r="DT200" t="e">
        <f>AND(#REF!,"AAAAAH++93s=")</f>
        <v>#REF!</v>
      </c>
      <c r="DU200" t="e">
        <f>AND(#REF!,"AAAAAH++93w=")</f>
        <v>#REF!</v>
      </c>
      <c r="DV200" t="e">
        <f>AND(#REF!,"AAAAAH++930=")</f>
        <v>#REF!</v>
      </c>
      <c r="DW200" t="e">
        <f>AND(#REF!,"AAAAAH++934=")</f>
        <v>#REF!</v>
      </c>
      <c r="DX200" t="e">
        <f>AND(#REF!,"AAAAAH++938=")</f>
        <v>#REF!</v>
      </c>
      <c r="DY200" t="e">
        <f>AND(#REF!,"AAAAAH++94A=")</f>
        <v>#REF!</v>
      </c>
      <c r="DZ200" t="e">
        <f>AND(#REF!,"AAAAAH++94E=")</f>
        <v>#REF!</v>
      </c>
      <c r="EA200" t="e">
        <f>AND(#REF!,"AAAAAH++94I=")</f>
        <v>#REF!</v>
      </c>
      <c r="EB200" t="e">
        <f>AND(#REF!,"AAAAAH++94M=")</f>
        <v>#REF!</v>
      </c>
      <c r="EC200" t="e">
        <f>AND(#REF!,"AAAAAH++94Q=")</f>
        <v>#REF!</v>
      </c>
      <c r="ED200" t="e">
        <f>AND(#REF!,"AAAAAH++94U=")</f>
        <v>#REF!</v>
      </c>
      <c r="EE200" t="e">
        <f>AND(#REF!,"AAAAAH++94Y=")</f>
        <v>#REF!</v>
      </c>
      <c r="EF200" t="e">
        <f>IF(#REF!,"AAAAAH++94c=",0)</f>
        <v>#REF!</v>
      </c>
      <c r="EG200" t="e">
        <f>AND(#REF!,"AAAAAH++94g=")</f>
        <v>#REF!</v>
      </c>
      <c r="EH200" t="e">
        <f>AND(#REF!,"AAAAAH++94k=")</f>
        <v>#REF!</v>
      </c>
      <c r="EI200" t="e">
        <f>AND(#REF!,"AAAAAH++94o=")</f>
        <v>#REF!</v>
      </c>
      <c r="EJ200" t="e">
        <f>AND(#REF!,"AAAAAH++94s=")</f>
        <v>#REF!</v>
      </c>
      <c r="EK200" t="e">
        <f>AND(#REF!,"AAAAAH++94w=")</f>
        <v>#REF!</v>
      </c>
      <c r="EL200" t="e">
        <f>AND(#REF!,"AAAAAH++940=")</f>
        <v>#REF!</v>
      </c>
      <c r="EM200" t="e">
        <f>AND(#REF!,"AAAAAH++944=")</f>
        <v>#REF!</v>
      </c>
      <c r="EN200" t="e">
        <f>AND(#REF!,"AAAAAH++948=")</f>
        <v>#REF!</v>
      </c>
      <c r="EO200" t="e">
        <f>AND(#REF!,"AAAAAH++95A=")</f>
        <v>#REF!</v>
      </c>
      <c r="EP200" t="e">
        <f>AND(#REF!,"AAAAAH++95E=")</f>
        <v>#REF!</v>
      </c>
      <c r="EQ200" t="e">
        <f>AND(#REF!,"AAAAAH++95I=")</f>
        <v>#REF!</v>
      </c>
      <c r="ER200" t="e">
        <f>AND(#REF!,"AAAAAH++95M=")</f>
        <v>#REF!</v>
      </c>
      <c r="ES200" t="e">
        <f>AND(#REF!,"AAAAAH++95Q=")</f>
        <v>#REF!</v>
      </c>
      <c r="ET200" t="e">
        <f>AND(#REF!,"AAAAAH++95U=")</f>
        <v>#REF!</v>
      </c>
      <c r="EU200" t="e">
        <f>AND(#REF!,"AAAAAH++95Y=")</f>
        <v>#REF!</v>
      </c>
      <c r="EV200" t="e">
        <f>AND(#REF!,"AAAAAH++95c=")</f>
        <v>#REF!</v>
      </c>
      <c r="EW200" t="e">
        <f>AND(#REF!,"AAAAAH++95g=")</f>
        <v>#REF!</v>
      </c>
      <c r="EX200" t="e">
        <f>AND(#REF!,"AAAAAH++95k=")</f>
        <v>#REF!</v>
      </c>
      <c r="EY200" t="e">
        <f>AND(#REF!,"AAAAAH++95o=")</f>
        <v>#REF!</v>
      </c>
      <c r="EZ200" t="e">
        <f>AND(#REF!,"AAAAAH++95s=")</f>
        <v>#REF!</v>
      </c>
      <c r="FA200" t="e">
        <f>AND(#REF!,"AAAAAH++95w=")</f>
        <v>#REF!</v>
      </c>
      <c r="FB200" t="e">
        <f>AND(#REF!,"AAAAAH++950=")</f>
        <v>#REF!</v>
      </c>
      <c r="FC200" t="e">
        <f>AND(#REF!,"AAAAAH++954=")</f>
        <v>#REF!</v>
      </c>
      <c r="FD200" t="e">
        <f>AND(#REF!,"AAAAAH++958=")</f>
        <v>#REF!</v>
      </c>
      <c r="FE200" t="e">
        <f>IF(#REF!,"AAAAAH++96A=",0)</f>
        <v>#REF!</v>
      </c>
      <c r="FF200" t="e">
        <f>AND(#REF!,"AAAAAH++96E=")</f>
        <v>#REF!</v>
      </c>
      <c r="FG200" t="e">
        <f>AND(#REF!,"AAAAAH++96I=")</f>
        <v>#REF!</v>
      </c>
      <c r="FH200" t="e">
        <f>AND(#REF!,"AAAAAH++96M=")</f>
        <v>#REF!</v>
      </c>
      <c r="FI200" t="e">
        <f>AND(#REF!,"AAAAAH++96Q=")</f>
        <v>#REF!</v>
      </c>
      <c r="FJ200" t="e">
        <f>AND(#REF!,"AAAAAH++96U=")</f>
        <v>#REF!</v>
      </c>
      <c r="FK200" t="e">
        <f>AND(#REF!,"AAAAAH++96Y=")</f>
        <v>#REF!</v>
      </c>
      <c r="FL200" t="e">
        <f>AND(#REF!,"AAAAAH++96c=")</f>
        <v>#REF!</v>
      </c>
      <c r="FM200" t="e">
        <f>AND(#REF!,"AAAAAH++96g=")</f>
        <v>#REF!</v>
      </c>
      <c r="FN200" t="e">
        <f>AND(#REF!,"AAAAAH++96k=")</f>
        <v>#REF!</v>
      </c>
      <c r="FO200" t="e">
        <f>AND(#REF!,"AAAAAH++96o=")</f>
        <v>#REF!</v>
      </c>
      <c r="FP200" t="e">
        <f>AND(#REF!,"AAAAAH++96s=")</f>
        <v>#REF!</v>
      </c>
      <c r="FQ200" t="e">
        <f>AND(#REF!,"AAAAAH++96w=")</f>
        <v>#REF!</v>
      </c>
      <c r="FR200" t="e">
        <f>AND(#REF!,"AAAAAH++960=")</f>
        <v>#REF!</v>
      </c>
      <c r="FS200" t="e">
        <f>AND(#REF!,"AAAAAH++964=")</f>
        <v>#REF!</v>
      </c>
      <c r="FT200" t="e">
        <f>AND(#REF!,"AAAAAH++968=")</f>
        <v>#REF!</v>
      </c>
      <c r="FU200" t="e">
        <f>AND(#REF!,"AAAAAH++97A=")</f>
        <v>#REF!</v>
      </c>
      <c r="FV200" t="e">
        <f>AND(#REF!,"AAAAAH++97E=")</f>
        <v>#REF!</v>
      </c>
      <c r="FW200" t="e">
        <f>AND(#REF!,"AAAAAH++97I=")</f>
        <v>#REF!</v>
      </c>
      <c r="FX200" t="e">
        <f>AND(#REF!,"AAAAAH++97M=")</f>
        <v>#REF!</v>
      </c>
      <c r="FY200" t="e">
        <f>AND(#REF!,"AAAAAH++97Q=")</f>
        <v>#REF!</v>
      </c>
      <c r="FZ200" t="e">
        <f>AND(#REF!,"AAAAAH++97U=")</f>
        <v>#REF!</v>
      </c>
      <c r="GA200" t="e">
        <f>AND(#REF!,"AAAAAH++97Y=")</f>
        <v>#REF!</v>
      </c>
      <c r="GB200" t="e">
        <f>AND(#REF!,"AAAAAH++97c=")</f>
        <v>#REF!</v>
      </c>
      <c r="GC200" t="e">
        <f>AND(#REF!,"AAAAAH++97g=")</f>
        <v>#REF!</v>
      </c>
      <c r="GD200" t="e">
        <f>IF(#REF!,"AAAAAH++97k=",0)</f>
        <v>#REF!</v>
      </c>
      <c r="GE200" t="e">
        <f>AND(#REF!,"AAAAAH++97o=")</f>
        <v>#REF!</v>
      </c>
      <c r="GF200" t="e">
        <f>AND(#REF!,"AAAAAH++97s=")</f>
        <v>#REF!</v>
      </c>
      <c r="GG200" t="e">
        <f>AND(#REF!,"AAAAAH++97w=")</f>
        <v>#REF!</v>
      </c>
      <c r="GH200" t="e">
        <f>AND(#REF!,"AAAAAH++970=")</f>
        <v>#REF!</v>
      </c>
      <c r="GI200" t="e">
        <f>AND(#REF!,"AAAAAH++974=")</f>
        <v>#REF!</v>
      </c>
      <c r="GJ200" t="e">
        <f>AND(#REF!,"AAAAAH++978=")</f>
        <v>#REF!</v>
      </c>
      <c r="GK200" t="e">
        <f>AND(#REF!,"AAAAAH++98A=")</f>
        <v>#REF!</v>
      </c>
      <c r="GL200" t="e">
        <f>AND(#REF!,"AAAAAH++98E=")</f>
        <v>#REF!</v>
      </c>
      <c r="GM200" t="e">
        <f>AND(#REF!,"AAAAAH++98I=")</f>
        <v>#REF!</v>
      </c>
      <c r="GN200" t="e">
        <f>AND(#REF!,"AAAAAH++98M=")</f>
        <v>#REF!</v>
      </c>
      <c r="GO200" t="e">
        <f>AND(#REF!,"AAAAAH++98Q=")</f>
        <v>#REF!</v>
      </c>
      <c r="GP200" t="e">
        <f>AND(#REF!,"AAAAAH++98U=")</f>
        <v>#REF!</v>
      </c>
      <c r="GQ200" t="e">
        <f>AND(#REF!,"AAAAAH++98Y=")</f>
        <v>#REF!</v>
      </c>
      <c r="GR200" t="e">
        <f>AND(#REF!,"AAAAAH++98c=")</f>
        <v>#REF!</v>
      </c>
      <c r="GS200" t="e">
        <f>AND(#REF!,"AAAAAH++98g=")</f>
        <v>#REF!</v>
      </c>
      <c r="GT200" t="e">
        <f>AND(#REF!,"AAAAAH++98k=")</f>
        <v>#REF!</v>
      </c>
      <c r="GU200" t="e">
        <f>AND(#REF!,"AAAAAH++98o=")</f>
        <v>#REF!</v>
      </c>
      <c r="GV200" t="e">
        <f>AND(#REF!,"AAAAAH++98s=")</f>
        <v>#REF!</v>
      </c>
      <c r="GW200" t="e">
        <f>AND(#REF!,"AAAAAH++98w=")</f>
        <v>#REF!</v>
      </c>
      <c r="GX200" t="e">
        <f>AND(#REF!,"AAAAAH++980=")</f>
        <v>#REF!</v>
      </c>
      <c r="GY200" t="e">
        <f>AND(#REF!,"AAAAAH++984=")</f>
        <v>#REF!</v>
      </c>
      <c r="GZ200" t="e">
        <f>AND(#REF!,"AAAAAH++988=")</f>
        <v>#REF!</v>
      </c>
      <c r="HA200" t="e">
        <f>AND(#REF!,"AAAAAH++99A=")</f>
        <v>#REF!</v>
      </c>
      <c r="HB200" t="e">
        <f>AND(#REF!,"AAAAAH++99E=")</f>
        <v>#REF!</v>
      </c>
      <c r="HC200" t="e">
        <f>IF(#REF!,"AAAAAH++99I=",0)</f>
        <v>#REF!</v>
      </c>
      <c r="HD200" t="e">
        <f>AND(#REF!,"AAAAAH++99M=")</f>
        <v>#REF!</v>
      </c>
      <c r="HE200" t="e">
        <f>AND(#REF!,"AAAAAH++99Q=")</f>
        <v>#REF!</v>
      </c>
      <c r="HF200" t="e">
        <f>AND(#REF!,"AAAAAH++99U=")</f>
        <v>#REF!</v>
      </c>
      <c r="HG200" t="e">
        <f>AND(#REF!,"AAAAAH++99Y=")</f>
        <v>#REF!</v>
      </c>
      <c r="HH200" t="e">
        <f>AND(#REF!,"AAAAAH++99c=")</f>
        <v>#REF!</v>
      </c>
      <c r="HI200" t="e">
        <f>AND(#REF!,"AAAAAH++99g=")</f>
        <v>#REF!</v>
      </c>
      <c r="HJ200" t="e">
        <f>AND(#REF!,"AAAAAH++99k=")</f>
        <v>#REF!</v>
      </c>
      <c r="HK200" t="e">
        <f>AND(#REF!,"AAAAAH++99o=")</f>
        <v>#REF!</v>
      </c>
      <c r="HL200" t="e">
        <f>AND(#REF!,"AAAAAH++99s=")</f>
        <v>#REF!</v>
      </c>
      <c r="HM200" t="e">
        <f>AND(#REF!,"AAAAAH++99w=")</f>
        <v>#REF!</v>
      </c>
      <c r="HN200" t="e">
        <f>AND(#REF!,"AAAAAH++990=")</f>
        <v>#REF!</v>
      </c>
      <c r="HO200" t="e">
        <f>AND(#REF!,"AAAAAH++994=")</f>
        <v>#REF!</v>
      </c>
      <c r="HP200" t="e">
        <f>AND(#REF!,"AAAAAH++998=")</f>
        <v>#REF!</v>
      </c>
      <c r="HQ200" t="e">
        <f>AND(#REF!,"AAAAAH++9+A=")</f>
        <v>#REF!</v>
      </c>
      <c r="HR200" t="e">
        <f>AND(#REF!,"AAAAAH++9+E=")</f>
        <v>#REF!</v>
      </c>
      <c r="HS200" t="e">
        <f>AND(#REF!,"AAAAAH++9+I=")</f>
        <v>#REF!</v>
      </c>
      <c r="HT200" t="e">
        <f>AND(#REF!,"AAAAAH++9+M=")</f>
        <v>#REF!</v>
      </c>
      <c r="HU200" t="e">
        <f>AND(#REF!,"AAAAAH++9+Q=")</f>
        <v>#REF!</v>
      </c>
      <c r="HV200" t="e">
        <f>AND(#REF!,"AAAAAH++9+U=")</f>
        <v>#REF!</v>
      </c>
      <c r="HW200" t="e">
        <f>AND(#REF!,"AAAAAH++9+Y=")</f>
        <v>#REF!</v>
      </c>
      <c r="HX200" t="e">
        <f>AND(#REF!,"AAAAAH++9+c=")</f>
        <v>#REF!</v>
      </c>
      <c r="HY200" t="e">
        <f>AND(#REF!,"AAAAAH++9+g=")</f>
        <v>#REF!</v>
      </c>
      <c r="HZ200" t="e">
        <f>AND(#REF!,"AAAAAH++9+k=")</f>
        <v>#REF!</v>
      </c>
      <c r="IA200" t="e">
        <f>AND(#REF!,"AAAAAH++9+o=")</f>
        <v>#REF!</v>
      </c>
      <c r="IB200" t="e">
        <f>IF(#REF!,"AAAAAH++9+s=",0)</f>
        <v>#REF!</v>
      </c>
      <c r="IC200" t="e">
        <f>AND(#REF!,"AAAAAH++9+w=")</f>
        <v>#REF!</v>
      </c>
      <c r="ID200" t="e">
        <f>AND(#REF!,"AAAAAH++9+0=")</f>
        <v>#REF!</v>
      </c>
      <c r="IE200" t="e">
        <f>AND(#REF!,"AAAAAH++9+4=")</f>
        <v>#REF!</v>
      </c>
      <c r="IF200" t="e">
        <f>AND(#REF!,"AAAAAH++9+8=")</f>
        <v>#REF!</v>
      </c>
      <c r="IG200" t="e">
        <f>AND(#REF!,"AAAAAH++9/A=")</f>
        <v>#REF!</v>
      </c>
      <c r="IH200" t="e">
        <f>AND(#REF!,"AAAAAH++9/E=")</f>
        <v>#REF!</v>
      </c>
      <c r="II200" t="e">
        <f>AND(#REF!,"AAAAAH++9/I=")</f>
        <v>#REF!</v>
      </c>
      <c r="IJ200" t="e">
        <f>AND(#REF!,"AAAAAH++9/M=")</f>
        <v>#REF!</v>
      </c>
      <c r="IK200" t="e">
        <f>AND(#REF!,"AAAAAH++9/Q=")</f>
        <v>#REF!</v>
      </c>
      <c r="IL200" t="e">
        <f>AND(#REF!,"AAAAAH++9/U=")</f>
        <v>#REF!</v>
      </c>
      <c r="IM200" t="e">
        <f>AND(#REF!,"AAAAAH++9/Y=")</f>
        <v>#REF!</v>
      </c>
      <c r="IN200" t="e">
        <f>AND(#REF!,"AAAAAH++9/c=")</f>
        <v>#REF!</v>
      </c>
      <c r="IO200" t="e">
        <f>AND(#REF!,"AAAAAH++9/g=")</f>
        <v>#REF!</v>
      </c>
      <c r="IP200" t="e">
        <f>AND(#REF!,"AAAAAH++9/k=")</f>
        <v>#REF!</v>
      </c>
      <c r="IQ200" t="e">
        <f>AND(#REF!,"AAAAAH++9/o=")</f>
        <v>#REF!</v>
      </c>
      <c r="IR200" t="e">
        <f>AND(#REF!,"AAAAAH++9/s=")</f>
        <v>#REF!</v>
      </c>
      <c r="IS200" t="e">
        <f>AND(#REF!,"AAAAAH++9/w=")</f>
        <v>#REF!</v>
      </c>
      <c r="IT200" t="e">
        <f>AND(#REF!,"AAAAAH++9/0=")</f>
        <v>#REF!</v>
      </c>
      <c r="IU200" t="e">
        <f>AND(#REF!,"AAAAAH++9/4=")</f>
        <v>#REF!</v>
      </c>
      <c r="IV200" t="e">
        <f>AND(#REF!,"AAAAAH++9/8=")</f>
        <v>#REF!</v>
      </c>
    </row>
    <row r="201" spans="1:256" x14ac:dyDescent="0.25">
      <c r="A201" t="e">
        <f>AND(#REF!,"AAAAAH+W3wA=")</f>
        <v>#REF!</v>
      </c>
      <c r="B201" t="e">
        <f>AND(#REF!,"AAAAAH+W3wE=")</f>
        <v>#REF!</v>
      </c>
      <c r="C201" t="e">
        <f>AND(#REF!,"AAAAAH+W3wI=")</f>
        <v>#REF!</v>
      </c>
      <c r="D201" t="e">
        <f>AND(#REF!,"AAAAAH+W3wM=")</f>
        <v>#REF!</v>
      </c>
      <c r="E201" t="e">
        <f>IF(#REF!,"AAAAAH+W3wQ=",0)</f>
        <v>#REF!</v>
      </c>
      <c r="F201" t="e">
        <f>AND(#REF!,"AAAAAH+W3wU=")</f>
        <v>#REF!</v>
      </c>
      <c r="G201" t="e">
        <f>AND(#REF!,"AAAAAH+W3wY=")</f>
        <v>#REF!</v>
      </c>
      <c r="H201" t="e">
        <f>AND(#REF!,"AAAAAH+W3wc=")</f>
        <v>#REF!</v>
      </c>
      <c r="I201" t="e">
        <f>AND(#REF!,"AAAAAH+W3wg=")</f>
        <v>#REF!</v>
      </c>
      <c r="J201" t="e">
        <f>AND(#REF!,"AAAAAH+W3wk=")</f>
        <v>#REF!</v>
      </c>
      <c r="K201" t="e">
        <f>AND(#REF!,"AAAAAH+W3wo=")</f>
        <v>#REF!</v>
      </c>
      <c r="L201" t="e">
        <f>AND(#REF!,"AAAAAH+W3ws=")</f>
        <v>#REF!</v>
      </c>
      <c r="M201" t="e">
        <f>AND(#REF!,"AAAAAH+W3ww=")</f>
        <v>#REF!</v>
      </c>
      <c r="N201" t="e">
        <f>AND(#REF!,"AAAAAH+W3w0=")</f>
        <v>#REF!</v>
      </c>
      <c r="O201" t="e">
        <f>AND(#REF!,"AAAAAH+W3w4=")</f>
        <v>#REF!</v>
      </c>
      <c r="P201" t="e">
        <f>AND(#REF!,"AAAAAH+W3w8=")</f>
        <v>#REF!</v>
      </c>
      <c r="Q201" t="e">
        <f>AND(#REF!,"AAAAAH+W3xA=")</f>
        <v>#REF!</v>
      </c>
      <c r="R201" t="e">
        <f>AND(#REF!,"AAAAAH+W3xE=")</f>
        <v>#REF!</v>
      </c>
      <c r="S201" t="e">
        <f>AND(#REF!,"AAAAAH+W3xI=")</f>
        <v>#REF!</v>
      </c>
      <c r="T201" t="e">
        <f>AND(#REF!,"AAAAAH+W3xM=")</f>
        <v>#REF!</v>
      </c>
      <c r="U201" t="e">
        <f>AND(#REF!,"AAAAAH+W3xQ=")</f>
        <v>#REF!</v>
      </c>
      <c r="V201" t="e">
        <f>AND(#REF!,"AAAAAH+W3xU=")</f>
        <v>#REF!</v>
      </c>
      <c r="W201" t="e">
        <f>AND(#REF!,"AAAAAH+W3xY=")</f>
        <v>#REF!</v>
      </c>
      <c r="X201" t="e">
        <f>AND(#REF!,"AAAAAH+W3xc=")</f>
        <v>#REF!</v>
      </c>
      <c r="Y201" t="e">
        <f>AND(#REF!,"AAAAAH+W3xg=")</f>
        <v>#REF!</v>
      </c>
      <c r="Z201" t="e">
        <f>AND(#REF!,"AAAAAH+W3xk=")</f>
        <v>#REF!</v>
      </c>
      <c r="AA201" t="e">
        <f>AND(#REF!,"AAAAAH+W3xo=")</f>
        <v>#REF!</v>
      </c>
      <c r="AB201" t="e">
        <f>AND(#REF!,"AAAAAH+W3xs=")</f>
        <v>#REF!</v>
      </c>
      <c r="AC201" t="e">
        <f>AND(#REF!,"AAAAAH+W3xw=")</f>
        <v>#REF!</v>
      </c>
      <c r="AD201" t="e">
        <f>IF(#REF!,"AAAAAH+W3x0=",0)</f>
        <v>#REF!</v>
      </c>
      <c r="AE201" t="e">
        <f>AND(#REF!,"AAAAAH+W3x4=")</f>
        <v>#REF!</v>
      </c>
      <c r="AF201" t="e">
        <f>AND(#REF!,"AAAAAH+W3x8=")</f>
        <v>#REF!</v>
      </c>
      <c r="AG201" t="e">
        <f>AND(#REF!,"AAAAAH+W3yA=")</f>
        <v>#REF!</v>
      </c>
      <c r="AH201" t="e">
        <f>AND(#REF!,"AAAAAH+W3yE=")</f>
        <v>#REF!</v>
      </c>
      <c r="AI201" t="e">
        <f>AND(#REF!,"AAAAAH+W3yI=")</f>
        <v>#REF!</v>
      </c>
      <c r="AJ201" t="e">
        <f>AND(#REF!,"AAAAAH+W3yM=")</f>
        <v>#REF!</v>
      </c>
      <c r="AK201" t="e">
        <f>AND(#REF!,"AAAAAH+W3yQ=")</f>
        <v>#REF!</v>
      </c>
      <c r="AL201" t="e">
        <f>AND(#REF!,"AAAAAH+W3yU=")</f>
        <v>#REF!</v>
      </c>
      <c r="AM201" t="e">
        <f>AND(#REF!,"AAAAAH+W3yY=")</f>
        <v>#REF!</v>
      </c>
      <c r="AN201" t="e">
        <f>AND(#REF!,"AAAAAH+W3yc=")</f>
        <v>#REF!</v>
      </c>
      <c r="AO201" t="e">
        <f>AND(#REF!,"AAAAAH+W3yg=")</f>
        <v>#REF!</v>
      </c>
      <c r="AP201" t="e">
        <f>AND(#REF!,"AAAAAH+W3yk=")</f>
        <v>#REF!</v>
      </c>
      <c r="AQ201" t="e">
        <f>AND(#REF!,"AAAAAH+W3yo=")</f>
        <v>#REF!</v>
      </c>
      <c r="AR201" t="e">
        <f>AND(#REF!,"AAAAAH+W3ys=")</f>
        <v>#REF!</v>
      </c>
      <c r="AS201" t="e">
        <f>AND(#REF!,"AAAAAH+W3yw=")</f>
        <v>#REF!</v>
      </c>
      <c r="AT201" t="e">
        <f>AND(#REF!,"AAAAAH+W3y0=")</f>
        <v>#REF!</v>
      </c>
      <c r="AU201" t="e">
        <f>AND(#REF!,"AAAAAH+W3y4=")</f>
        <v>#REF!</v>
      </c>
      <c r="AV201" t="e">
        <f>AND(#REF!,"AAAAAH+W3y8=")</f>
        <v>#REF!</v>
      </c>
      <c r="AW201" t="e">
        <f>AND(#REF!,"AAAAAH+W3zA=")</f>
        <v>#REF!</v>
      </c>
      <c r="AX201" t="e">
        <f>AND(#REF!,"AAAAAH+W3zE=")</f>
        <v>#REF!</v>
      </c>
      <c r="AY201" t="e">
        <f>AND(#REF!,"AAAAAH+W3zI=")</f>
        <v>#REF!</v>
      </c>
      <c r="AZ201" t="e">
        <f>AND(#REF!,"AAAAAH+W3zM=")</f>
        <v>#REF!</v>
      </c>
      <c r="BA201" t="e">
        <f>AND(#REF!,"AAAAAH+W3zQ=")</f>
        <v>#REF!</v>
      </c>
      <c r="BB201" t="e">
        <f>AND(#REF!,"AAAAAH+W3zU=")</f>
        <v>#REF!</v>
      </c>
      <c r="BC201" t="e">
        <f>IF(#REF!,"AAAAAH+W3zY=",0)</f>
        <v>#REF!</v>
      </c>
      <c r="BD201" t="e">
        <f>AND(#REF!,"AAAAAH+W3zc=")</f>
        <v>#REF!</v>
      </c>
      <c r="BE201" t="e">
        <f>AND(#REF!,"AAAAAH+W3zg=")</f>
        <v>#REF!</v>
      </c>
      <c r="BF201" t="e">
        <f>AND(#REF!,"AAAAAH+W3zk=")</f>
        <v>#REF!</v>
      </c>
      <c r="BG201" t="e">
        <f>AND(#REF!,"AAAAAH+W3zo=")</f>
        <v>#REF!</v>
      </c>
      <c r="BH201" t="e">
        <f>AND(#REF!,"AAAAAH+W3zs=")</f>
        <v>#REF!</v>
      </c>
      <c r="BI201" t="e">
        <f>AND(#REF!,"AAAAAH+W3zw=")</f>
        <v>#REF!</v>
      </c>
      <c r="BJ201" t="e">
        <f>AND(#REF!,"AAAAAH+W3z0=")</f>
        <v>#REF!</v>
      </c>
      <c r="BK201" t="e">
        <f>AND(#REF!,"AAAAAH+W3z4=")</f>
        <v>#REF!</v>
      </c>
      <c r="BL201" t="e">
        <f>AND(#REF!,"AAAAAH+W3z8=")</f>
        <v>#REF!</v>
      </c>
      <c r="BM201" t="e">
        <f>AND(#REF!,"AAAAAH+W30A=")</f>
        <v>#REF!</v>
      </c>
      <c r="BN201" t="e">
        <f>AND(#REF!,"AAAAAH+W30E=")</f>
        <v>#REF!</v>
      </c>
      <c r="BO201" t="e">
        <f>AND(#REF!,"AAAAAH+W30I=")</f>
        <v>#REF!</v>
      </c>
      <c r="BP201" t="e">
        <f>AND(#REF!,"AAAAAH+W30M=")</f>
        <v>#REF!</v>
      </c>
      <c r="BQ201" t="e">
        <f>AND(#REF!,"AAAAAH+W30Q=")</f>
        <v>#REF!</v>
      </c>
      <c r="BR201" t="e">
        <f>AND(#REF!,"AAAAAH+W30U=")</f>
        <v>#REF!</v>
      </c>
      <c r="BS201" t="e">
        <f>AND(#REF!,"AAAAAH+W30Y=")</f>
        <v>#REF!</v>
      </c>
      <c r="BT201" t="e">
        <f>AND(#REF!,"AAAAAH+W30c=")</f>
        <v>#REF!</v>
      </c>
      <c r="BU201" t="e">
        <f>AND(#REF!,"AAAAAH+W30g=")</f>
        <v>#REF!</v>
      </c>
      <c r="BV201" t="e">
        <f>AND(#REF!,"AAAAAH+W30k=")</f>
        <v>#REF!</v>
      </c>
      <c r="BW201" t="e">
        <f>AND(#REF!,"AAAAAH+W30o=")</f>
        <v>#REF!</v>
      </c>
      <c r="BX201" t="e">
        <f>AND(#REF!,"AAAAAH+W30s=")</f>
        <v>#REF!</v>
      </c>
      <c r="BY201" t="e">
        <f>AND(#REF!,"AAAAAH+W30w=")</f>
        <v>#REF!</v>
      </c>
      <c r="BZ201" t="e">
        <f>AND(#REF!,"AAAAAH+W300=")</f>
        <v>#REF!</v>
      </c>
      <c r="CA201" t="e">
        <f>AND(#REF!,"AAAAAH+W304=")</f>
        <v>#REF!</v>
      </c>
      <c r="CB201" t="e">
        <f>IF(#REF!,"AAAAAH+W308=",0)</f>
        <v>#REF!</v>
      </c>
      <c r="CC201" t="e">
        <f>AND(#REF!,"AAAAAH+W31A=")</f>
        <v>#REF!</v>
      </c>
      <c r="CD201" t="e">
        <f>AND(#REF!,"AAAAAH+W31E=")</f>
        <v>#REF!</v>
      </c>
      <c r="CE201" t="e">
        <f>AND(#REF!,"AAAAAH+W31I=")</f>
        <v>#REF!</v>
      </c>
      <c r="CF201" t="e">
        <f>AND(#REF!,"AAAAAH+W31M=")</f>
        <v>#REF!</v>
      </c>
      <c r="CG201" t="e">
        <f>AND(#REF!,"AAAAAH+W31Q=")</f>
        <v>#REF!</v>
      </c>
      <c r="CH201" t="e">
        <f>AND(#REF!,"AAAAAH+W31U=")</f>
        <v>#REF!</v>
      </c>
      <c r="CI201" t="e">
        <f>AND(#REF!,"AAAAAH+W31Y=")</f>
        <v>#REF!</v>
      </c>
      <c r="CJ201" t="e">
        <f>AND(#REF!,"AAAAAH+W31c=")</f>
        <v>#REF!</v>
      </c>
      <c r="CK201" t="e">
        <f>AND(#REF!,"AAAAAH+W31g=")</f>
        <v>#REF!</v>
      </c>
      <c r="CL201" t="e">
        <f>AND(#REF!,"AAAAAH+W31k=")</f>
        <v>#REF!</v>
      </c>
      <c r="CM201" t="e">
        <f>AND(#REF!,"AAAAAH+W31o=")</f>
        <v>#REF!</v>
      </c>
      <c r="CN201" t="e">
        <f>AND(#REF!,"AAAAAH+W31s=")</f>
        <v>#REF!</v>
      </c>
      <c r="CO201" t="e">
        <f>AND(#REF!,"AAAAAH+W31w=")</f>
        <v>#REF!</v>
      </c>
      <c r="CP201" t="e">
        <f>AND(#REF!,"AAAAAH+W310=")</f>
        <v>#REF!</v>
      </c>
      <c r="CQ201" t="e">
        <f>AND(#REF!,"AAAAAH+W314=")</f>
        <v>#REF!</v>
      </c>
      <c r="CR201" t="e">
        <f>AND(#REF!,"AAAAAH+W318=")</f>
        <v>#REF!</v>
      </c>
      <c r="CS201" t="e">
        <f>AND(#REF!,"AAAAAH+W32A=")</f>
        <v>#REF!</v>
      </c>
      <c r="CT201" t="e">
        <f>AND(#REF!,"AAAAAH+W32E=")</f>
        <v>#REF!</v>
      </c>
      <c r="CU201" t="e">
        <f>AND(#REF!,"AAAAAH+W32I=")</f>
        <v>#REF!</v>
      </c>
      <c r="CV201" t="e">
        <f>AND(#REF!,"AAAAAH+W32M=")</f>
        <v>#REF!</v>
      </c>
      <c r="CW201" t="e">
        <f>AND(#REF!,"AAAAAH+W32Q=")</f>
        <v>#REF!</v>
      </c>
      <c r="CX201" t="e">
        <f>AND(#REF!,"AAAAAH+W32U=")</f>
        <v>#REF!</v>
      </c>
      <c r="CY201" t="e">
        <f>AND(#REF!,"AAAAAH+W32Y=")</f>
        <v>#REF!</v>
      </c>
      <c r="CZ201" t="e">
        <f>AND(#REF!,"AAAAAH+W32c=")</f>
        <v>#REF!</v>
      </c>
      <c r="DA201" t="e">
        <f>IF(#REF!,"AAAAAH+W32g=",0)</f>
        <v>#REF!</v>
      </c>
      <c r="DB201" t="e">
        <f>AND(#REF!,"AAAAAH+W32k=")</f>
        <v>#REF!</v>
      </c>
      <c r="DC201" t="e">
        <f>AND(#REF!,"AAAAAH+W32o=")</f>
        <v>#REF!</v>
      </c>
      <c r="DD201" t="e">
        <f>AND(#REF!,"AAAAAH+W32s=")</f>
        <v>#REF!</v>
      </c>
      <c r="DE201" t="e">
        <f>AND(#REF!,"AAAAAH+W32w=")</f>
        <v>#REF!</v>
      </c>
      <c r="DF201" t="e">
        <f>AND(#REF!,"AAAAAH+W320=")</f>
        <v>#REF!</v>
      </c>
      <c r="DG201" t="e">
        <f>AND(#REF!,"AAAAAH+W324=")</f>
        <v>#REF!</v>
      </c>
      <c r="DH201" t="e">
        <f>AND(#REF!,"AAAAAH+W328=")</f>
        <v>#REF!</v>
      </c>
      <c r="DI201" t="e">
        <f>AND(#REF!,"AAAAAH+W33A=")</f>
        <v>#REF!</v>
      </c>
      <c r="DJ201" t="e">
        <f>AND(#REF!,"AAAAAH+W33E=")</f>
        <v>#REF!</v>
      </c>
      <c r="DK201" t="e">
        <f>AND(#REF!,"AAAAAH+W33I=")</f>
        <v>#REF!</v>
      </c>
      <c r="DL201" t="e">
        <f>AND(#REF!,"AAAAAH+W33M=")</f>
        <v>#REF!</v>
      </c>
      <c r="DM201" t="e">
        <f>AND(#REF!,"AAAAAH+W33Q=")</f>
        <v>#REF!</v>
      </c>
      <c r="DN201" t="e">
        <f>AND(#REF!,"AAAAAH+W33U=")</f>
        <v>#REF!</v>
      </c>
      <c r="DO201" t="e">
        <f>AND(#REF!,"AAAAAH+W33Y=")</f>
        <v>#REF!</v>
      </c>
      <c r="DP201" t="e">
        <f>AND(#REF!,"AAAAAH+W33c=")</f>
        <v>#REF!</v>
      </c>
      <c r="DQ201" t="e">
        <f>AND(#REF!,"AAAAAH+W33g=")</f>
        <v>#REF!</v>
      </c>
      <c r="DR201" t="e">
        <f>AND(#REF!,"AAAAAH+W33k=")</f>
        <v>#REF!</v>
      </c>
      <c r="DS201" t="e">
        <f>AND(#REF!,"AAAAAH+W33o=")</f>
        <v>#REF!</v>
      </c>
      <c r="DT201" t="e">
        <f>AND(#REF!,"AAAAAH+W33s=")</f>
        <v>#REF!</v>
      </c>
      <c r="DU201" t="e">
        <f>AND(#REF!,"AAAAAH+W33w=")</f>
        <v>#REF!</v>
      </c>
      <c r="DV201" t="e">
        <f>AND(#REF!,"AAAAAH+W330=")</f>
        <v>#REF!</v>
      </c>
      <c r="DW201" t="e">
        <f>AND(#REF!,"AAAAAH+W334=")</f>
        <v>#REF!</v>
      </c>
      <c r="DX201" t="e">
        <f>AND(#REF!,"AAAAAH+W338=")</f>
        <v>#REF!</v>
      </c>
      <c r="DY201" t="e">
        <f>AND(#REF!,"AAAAAH+W34A=")</f>
        <v>#REF!</v>
      </c>
      <c r="DZ201" t="e">
        <f>IF(#REF!,"AAAAAH+W34E=",0)</f>
        <v>#REF!</v>
      </c>
      <c r="EA201" t="e">
        <f>AND(#REF!,"AAAAAH+W34I=")</f>
        <v>#REF!</v>
      </c>
      <c r="EB201" t="e">
        <f>AND(#REF!,"AAAAAH+W34M=")</f>
        <v>#REF!</v>
      </c>
      <c r="EC201" t="e">
        <f>AND(#REF!,"AAAAAH+W34Q=")</f>
        <v>#REF!</v>
      </c>
      <c r="ED201" t="e">
        <f>AND(#REF!,"AAAAAH+W34U=")</f>
        <v>#REF!</v>
      </c>
      <c r="EE201" t="e">
        <f>AND(#REF!,"AAAAAH+W34Y=")</f>
        <v>#REF!</v>
      </c>
      <c r="EF201" t="e">
        <f>AND(#REF!,"AAAAAH+W34c=")</f>
        <v>#REF!</v>
      </c>
      <c r="EG201" t="e">
        <f>AND(#REF!,"AAAAAH+W34g=")</f>
        <v>#REF!</v>
      </c>
      <c r="EH201" t="e">
        <f>AND(#REF!,"AAAAAH+W34k=")</f>
        <v>#REF!</v>
      </c>
      <c r="EI201" t="e">
        <f>AND(#REF!,"AAAAAH+W34o=")</f>
        <v>#REF!</v>
      </c>
      <c r="EJ201" t="e">
        <f>AND(#REF!,"AAAAAH+W34s=")</f>
        <v>#REF!</v>
      </c>
      <c r="EK201" t="e">
        <f>AND(#REF!,"AAAAAH+W34w=")</f>
        <v>#REF!</v>
      </c>
      <c r="EL201" t="e">
        <f>AND(#REF!,"AAAAAH+W340=")</f>
        <v>#REF!</v>
      </c>
      <c r="EM201" t="e">
        <f>AND(#REF!,"AAAAAH+W344=")</f>
        <v>#REF!</v>
      </c>
      <c r="EN201" t="e">
        <f>AND(#REF!,"AAAAAH+W348=")</f>
        <v>#REF!</v>
      </c>
      <c r="EO201" t="e">
        <f>AND(#REF!,"AAAAAH+W35A=")</f>
        <v>#REF!</v>
      </c>
      <c r="EP201" t="e">
        <f>AND(#REF!,"AAAAAH+W35E=")</f>
        <v>#REF!</v>
      </c>
      <c r="EQ201" t="e">
        <f>AND(#REF!,"AAAAAH+W35I=")</f>
        <v>#REF!</v>
      </c>
      <c r="ER201" t="e">
        <f>AND(#REF!,"AAAAAH+W35M=")</f>
        <v>#REF!</v>
      </c>
      <c r="ES201" t="e">
        <f>AND(#REF!,"AAAAAH+W35Q=")</f>
        <v>#REF!</v>
      </c>
      <c r="ET201" t="e">
        <f>AND(#REF!,"AAAAAH+W35U=")</f>
        <v>#REF!</v>
      </c>
      <c r="EU201" t="e">
        <f>AND(#REF!,"AAAAAH+W35Y=")</f>
        <v>#REF!</v>
      </c>
      <c r="EV201" t="e">
        <f>AND(#REF!,"AAAAAH+W35c=")</f>
        <v>#REF!</v>
      </c>
      <c r="EW201" t="e">
        <f>AND(#REF!,"AAAAAH+W35g=")</f>
        <v>#REF!</v>
      </c>
      <c r="EX201" t="e">
        <f>AND(#REF!,"AAAAAH+W35k=")</f>
        <v>#REF!</v>
      </c>
      <c r="EY201" t="e">
        <f>IF(#REF!,"AAAAAH+W35o=",0)</f>
        <v>#REF!</v>
      </c>
      <c r="EZ201" t="e">
        <f>AND(#REF!,"AAAAAH+W35s=")</f>
        <v>#REF!</v>
      </c>
      <c r="FA201" t="e">
        <f>AND(#REF!,"AAAAAH+W35w=")</f>
        <v>#REF!</v>
      </c>
      <c r="FB201" t="e">
        <f>AND(#REF!,"AAAAAH+W350=")</f>
        <v>#REF!</v>
      </c>
      <c r="FC201" t="e">
        <f>AND(#REF!,"AAAAAH+W354=")</f>
        <v>#REF!</v>
      </c>
      <c r="FD201" t="e">
        <f>AND(#REF!,"AAAAAH+W358=")</f>
        <v>#REF!</v>
      </c>
      <c r="FE201" t="e">
        <f>AND(#REF!,"AAAAAH+W36A=")</f>
        <v>#REF!</v>
      </c>
      <c r="FF201" t="e">
        <f>AND(#REF!,"AAAAAH+W36E=")</f>
        <v>#REF!</v>
      </c>
      <c r="FG201" t="e">
        <f>AND(#REF!,"AAAAAH+W36I=")</f>
        <v>#REF!</v>
      </c>
      <c r="FH201" t="e">
        <f>AND(#REF!,"AAAAAH+W36M=")</f>
        <v>#REF!</v>
      </c>
      <c r="FI201" t="e">
        <f>AND(#REF!,"AAAAAH+W36Q=")</f>
        <v>#REF!</v>
      </c>
      <c r="FJ201" t="e">
        <f>AND(#REF!,"AAAAAH+W36U=")</f>
        <v>#REF!</v>
      </c>
      <c r="FK201" t="e">
        <f>AND(#REF!,"AAAAAH+W36Y=")</f>
        <v>#REF!</v>
      </c>
      <c r="FL201" t="e">
        <f>AND(#REF!,"AAAAAH+W36c=")</f>
        <v>#REF!</v>
      </c>
      <c r="FM201" t="e">
        <f>AND(#REF!,"AAAAAH+W36g=")</f>
        <v>#REF!</v>
      </c>
      <c r="FN201" t="e">
        <f>AND(#REF!,"AAAAAH+W36k=")</f>
        <v>#REF!</v>
      </c>
      <c r="FO201" t="e">
        <f>AND(#REF!,"AAAAAH+W36o=")</f>
        <v>#REF!</v>
      </c>
      <c r="FP201" t="e">
        <f>AND(#REF!,"AAAAAH+W36s=")</f>
        <v>#REF!</v>
      </c>
      <c r="FQ201" t="e">
        <f>AND(#REF!,"AAAAAH+W36w=")</f>
        <v>#REF!</v>
      </c>
      <c r="FR201" t="e">
        <f>AND(#REF!,"AAAAAH+W360=")</f>
        <v>#REF!</v>
      </c>
      <c r="FS201" t="e">
        <f>AND(#REF!,"AAAAAH+W364=")</f>
        <v>#REF!</v>
      </c>
      <c r="FT201" t="e">
        <f>AND(#REF!,"AAAAAH+W368=")</f>
        <v>#REF!</v>
      </c>
      <c r="FU201" t="e">
        <f>AND(#REF!,"AAAAAH+W37A=")</f>
        <v>#REF!</v>
      </c>
      <c r="FV201" t="e">
        <f>AND(#REF!,"AAAAAH+W37E=")</f>
        <v>#REF!</v>
      </c>
      <c r="FW201" t="e">
        <f>AND(#REF!,"AAAAAH+W37I=")</f>
        <v>#REF!</v>
      </c>
      <c r="FX201" t="e">
        <f>IF(#REF!,"AAAAAH+W37M=",0)</f>
        <v>#REF!</v>
      </c>
      <c r="FY201" t="e">
        <f>AND(#REF!,"AAAAAH+W37Q=")</f>
        <v>#REF!</v>
      </c>
      <c r="FZ201" t="e">
        <f>AND(#REF!,"AAAAAH+W37U=")</f>
        <v>#REF!</v>
      </c>
      <c r="GA201" t="e">
        <f>AND(#REF!,"AAAAAH+W37Y=")</f>
        <v>#REF!</v>
      </c>
      <c r="GB201" t="e">
        <f>AND(#REF!,"AAAAAH+W37c=")</f>
        <v>#REF!</v>
      </c>
      <c r="GC201" t="e">
        <f>AND(#REF!,"AAAAAH+W37g=")</f>
        <v>#REF!</v>
      </c>
      <c r="GD201" t="e">
        <f>AND(#REF!,"AAAAAH+W37k=")</f>
        <v>#REF!</v>
      </c>
      <c r="GE201" t="e">
        <f>AND(#REF!,"AAAAAH+W37o=")</f>
        <v>#REF!</v>
      </c>
      <c r="GF201" t="e">
        <f>AND(#REF!,"AAAAAH+W37s=")</f>
        <v>#REF!</v>
      </c>
      <c r="GG201" t="e">
        <f>AND(#REF!,"AAAAAH+W37w=")</f>
        <v>#REF!</v>
      </c>
      <c r="GH201" t="e">
        <f>AND(#REF!,"AAAAAH+W370=")</f>
        <v>#REF!</v>
      </c>
      <c r="GI201" t="e">
        <f>AND(#REF!,"AAAAAH+W374=")</f>
        <v>#REF!</v>
      </c>
      <c r="GJ201" t="e">
        <f>AND(#REF!,"AAAAAH+W378=")</f>
        <v>#REF!</v>
      </c>
      <c r="GK201" t="e">
        <f>AND(#REF!,"AAAAAH+W38A=")</f>
        <v>#REF!</v>
      </c>
      <c r="GL201" t="e">
        <f>AND(#REF!,"AAAAAH+W38E=")</f>
        <v>#REF!</v>
      </c>
      <c r="GM201" t="e">
        <f>AND(#REF!,"AAAAAH+W38I=")</f>
        <v>#REF!</v>
      </c>
      <c r="GN201" t="e">
        <f>AND(#REF!,"AAAAAH+W38M=")</f>
        <v>#REF!</v>
      </c>
      <c r="GO201" t="e">
        <f>AND(#REF!,"AAAAAH+W38Q=")</f>
        <v>#REF!</v>
      </c>
      <c r="GP201" t="e">
        <f>AND(#REF!,"AAAAAH+W38U=")</f>
        <v>#REF!</v>
      </c>
      <c r="GQ201" t="e">
        <f>AND(#REF!,"AAAAAH+W38Y=")</f>
        <v>#REF!</v>
      </c>
      <c r="GR201" t="e">
        <f>AND(#REF!,"AAAAAH+W38c=")</f>
        <v>#REF!</v>
      </c>
      <c r="GS201" t="e">
        <f>AND(#REF!,"AAAAAH+W38g=")</f>
        <v>#REF!</v>
      </c>
      <c r="GT201" t="e">
        <f>AND(#REF!,"AAAAAH+W38k=")</f>
        <v>#REF!</v>
      </c>
      <c r="GU201" t="e">
        <f>AND(#REF!,"AAAAAH+W38o=")</f>
        <v>#REF!</v>
      </c>
      <c r="GV201" t="e">
        <f>AND(#REF!,"AAAAAH+W38s=")</f>
        <v>#REF!</v>
      </c>
      <c r="GW201" t="e">
        <f>IF(#REF!,"AAAAAH+W38w=",0)</f>
        <v>#REF!</v>
      </c>
      <c r="GX201" t="e">
        <f>AND(#REF!,"AAAAAH+W380=")</f>
        <v>#REF!</v>
      </c>
      <c r="GY201" t="e">
        <f>AND(#REF!,"AAAAAH+W384=")</f>
        <v>#REF!</v>
      </c>
      <c r="GZ201" t="e">
        <f>AND(#REF!,"AAAAAH+W388=")</f>
        <v>#REF!</v>
      </c>
      <c r="HA201" t="e">
        <f>AND(#REF!,"AAAAAH+W39A=")</f>
        <v>#REF!</v>
      </c>
      <c r="HB201" t="e">
        <f>AND(#REF!,"AAAAAH+W39E=")</f>
        <v>#REF!</v>
      </c>
      <c r="HC201" t="e">
        <f>AND(#REF!,"AAAAAH+W39I=")</f>
        <v>#REF!</v>
      </c>
      <c r="HD201" t="e">
        <f>AND(#REF!,"AAAAAH+W39M=")</f>
        <v>#REF!</v>
      </c>
      <c r="HE201" t="e">
        <f>AND(#REF!,"AAAAAH+W39Q=")</f>
        <v>#REF!</v>
      </c>
      <c r="HF201" t="e">
        <f>AND(#REF!,"AAAAAH+W39U=")</f>
        <v>#REF!</v>
      </c>
      <c r="HG201" t="e">
        <f>AND(#REF!,"AAAAAH+W39Y=")</f>
        <v>#REF!</v>
      </c>
      <c r="HH201" t="e">
        <f>AND(#REF!,"AAAAAH+W39c=")</f>
        <v>#REF!</v>
      </c>
      <c r="HI201" t="e">
        <f>AND(#REF!,"AAAAAH+W39g=")</f>
        <v>#REF!</v>
      </c>
      <c r="HJ201" t="e">
        <f>AND(#REF!,"AAAAAH+W39k=")</f>
        <v>#REF!</v>
      </c>
      <c r="HK201" t="e">
        <f>AND(#REF!,"AAAAAH+W39o=")</f>
        <v>#REF!</v>
      </c>
      <c r="HL201" t="e">
        <f>AND(#REF!,"AAAAAH+W39s=")</f>
        <v>#REF!</v>
      </c>
      <c r="HM201" t="e">
        <f>AND(#REF!,"AAAAAH+W39w=")</f>
        <v>#REF!</v>
      </c>
      <c r="HN201" t="e">
        <f>AND(#REF!,"AAAAAH+W390=")</f>
        <v>#REF!</v>
      </c>
      <c r="HO201" t="e">
        <f>AND(#REF!,"AAAAAH+W394=")</f>
        <v>#REF!</v>
      </c>
      <c r="HP201" t="e">
        <f>AND(#REF!,"AAAAAH+W398=")</f>
        <v>#REF!</v>
      </c>
      <c r="HQ201" t="e">
        <f>AND(#REF!,"AAAAAH+W3+A=")</f>
        <v>#REF!</v>
      </c>
      <c r="HR201" t="e">
        <f>AND(#REF!,"AAAAAH+W3+E=")</f>
        <v>#REF!</v>
      </c>
      <c r="HS201" t="e">
        <f>AND(#REF!,"AAAAAH+W3+I=")</f>
        <v>#REF!</v>
      </c>
      <c r="HT201" t="e">
        <f>AND(#REF!,"AAAAAH+W3+M=")</f>
        <v>#REF!</v>
      </c>
      <c r="HU201" t="e">
        <f>AND(#REF!,"AAAAAH+W3+Q=")</f>
        <v>#REF!</v>
      </c>
      <c r="HV201" t="e">
        <f>IF(#REF!,"AAAAAH+W3+U=",0)</f>
        <v>#REF!</v>
      </c>
      <c r="HW201" t="e">
        <f>AND(#REF!,"AAAAAH+W3+Y=")</f>
        <v>#REF!</v>
      </c>
      <c r="HX201" t="e">
        <f>AND(#REF!,"AAAAAH+W3+c=")</f>
        <v>#REF!</v>
      </c>
      <c r="HY201" t="e">
        <f>AND(#REF!,"AAAAAH+W3+g=")</f>
        <v>#REF!</v>
      </c>
      <c r="HZ201" t="e">
        <f>AND(#REF!,"AAAAAH+W3+k=")</f>
        <v>#REF!</v>
      </c>
      <c r="IA201" t="e">
        <f>AND(#REF!,"AAAAAH+W3+o=")</f>
        <v>#REF!</v>
      </c>
      <c r="IB201" t="e">
        <f>AND(#REF!,"AAAAAH+W3+s=")</f>
        <v>#REF!</v>
      </c>
      <c r="IC201" t="e">
        <f>AND(#REF!,"AAAAAH+W3+w=")</f>
        <v>#REF!</v>
      </c>
      <c r="ID201" t="e">
        <f>AND(#REF!,"AAAAAH+W3+0=")</f>
        <v>#REF!</v>
      </c>
      <c r="IE201" t="e">
        <f>AND(#REF!,"AAAAAH+W3+4=")</f>
        <v>#REF!</v>
      </c>
      <c r="IF201" t="e">
        <f>AND(#REF!,"AAAAAH+W3+8=")</f>
        <v>#REF!</v>
      </c>
      <c r="IG201" t="e">
        <f>AND(#REF!,"AAAAAH+W3/A=")</f>
        <v>#REF!</v>
      </c>
      <c r="IH201" t="e">
        <f>AND(#REF!,"AAAAAH+W3/E=")</f>
        <v>#REF!</v>
      </c>
      <c r="II201" t="e">
        <f>AND(#REF!,"AAAAAH+W3/I=")</f>
        <v>#REF!</v>
      </c>
      <c r="IJ201" t="e">
        <f>AND(#REF!,"AAAAAH+W3/M=")</f>
        <v>#REF!</v>
      </c>
      <c r="IK201" t="e">
        <f>AND(#REF!,"AAAAAH+W3/Q=")</f>
        <v>#REF!</v>
      </c>
      <c r="IL201" t="e">
        <f>AND(#REF!,"AAAAAH+W3/U=")</f>
        <v>#REF!</v>
      </c>
      <c r="IM201" t="e">
        <f>AND(#REF!,"AAAAAH+W3/Y=")</f>
        <v>#REF!</v>
      </c>
      <c r="IN201" t="e">
        <f>AND(#REF!,"AAAAAH+W3/c=")</f>
        <v>#REF!</v>
      </c>
      <c r="IO201" t="e">
        <f>AND(#REF!,"AAAAAH+W3/g=")</f>
        <v>#REF!</v>
      </c>
      <c r="IP201" t="e">
        <f>AND(#REF!,"AAAAAH+W3/k=")</f>
        <v>#REF!</v>
      </c>
      <c r="IQ201" t="e">
        <f>AND(#REF!,"AAAAAH+W3/o=")</f>
        <v>#REF!</v>
      </c>
      <c r="IR201" t="e">
        <f>AND(#REF!,"AAAAAH+W3/s=")</f>
        <v>#REF!</v>
      </c>
      <c r="IS201" t="e">
        <f>AND(#REF!,"AAAAAH+W3/w=")</f>
        <v>#REF!</v>
      </c>
      <c r="IT201" t="e">
        <f>AND(#REF!,"AAAAAH+W3/0=")</f>
        <v>#REF!</v>
      </c>
      <c r="IU201" t="e">
        <f>IF(#REF!,"AAAAAH+W3/4=",0)</f>
        <v>#REF!</v>
      </c>
      <c r="IV201" t="e">
        <f>AND(#REF!,"AAAAAH+W3/8=")</f>
        <v>#REF!</v>
      </c>
    </row>
    <row r="202" spans="1:256" x14ac:dyDescent="0.25">
      <c r="A202" t="e">
        <f>AND(#REF!,"AAAAAH8/hwA=")</f>
        <v>#REF!</v>
      </c>
      <c r="B202" t="e">
        <f>AND(#REF!,"AAAAAH8/hwE=")</f>
        <v>#REF!</v>
      </c>
      <c r="C202" t="e">
        <f>AND(#REF!,"AAAAAH8/hwI=")</f>
        <v>#REF!</v>
      </c>
      <c r="D202" t="e">
        <f>AND(#REF!,"AAAAAH8/hwM=")</f>
        <v>#REF!</v>
      </c>
      <c r="E202" t="e">
        <f>AND(#REF!,"AAAAAH8/hwQ=")</f>
        <v>#REF!</v>
      </c>
      <c r="F202" t="e">
        <f>AND(#REF!,"AAAAAH8/hwU=")</f>
        <v>#REF!</v>
      </c>
      <c r="G202" t="e">
        <f>AND(#REF!,"AAAAAH8/hwY=")</f>
        <v>#REF!</v>
      </c>
      <c r="H202" t="e">
        <f>AND(#REF!,"AAAAAH8/hwc=")</f>
        <v>#REF!</v>
      </c>
      <c r="I202" t="e">
        <f>AND(#REF!,"AAAAAH8/hwg=")</f>
        <v>#REF!</v>
      </c>
      <c r="J202" t="e">
        <f>AND(#REF!,"AAAAAH8/hwk=")</f>
        <v>#REF!</v>
      </c>
      <c r="K202" t="e">
        <f>AND(#REF!,"AAAAAH8/hwo=")</f>
        <v>#REF!</v>
      </c>
      <c r="L202" t="e">
        <f>AND(#REF!,"AAAAAH8/hws=")</f>
        <v>#REF!</v>
      </c>
      <c r="M202" t="e">
        <f>AND(#REF!,"AAAAAH8/hww=")</f>
        <v>#REF!</v>
      </c>
      <c r="N202" t="e">
        <f>AND(#REF!,"AAAAAH8/hw0=")</f>
        <v>#REF!</v>
      </c>
      <c r="O202" t="e">
        <f>AND(#REF!,"AAAAAH8/hw4=")</f>
        <v>#REF!</v>
      </c>
      <c r="P202" t="e">
        <f>AND(#REF!,"AAAAAH8/hw8=")</f>
        <v>#REF!</v>
      </c>
      <c r="Q202" t="e">
        <f>AND(#REF!,"AAAAAH8/hxA=")</f>
        <v>#REF!</v>
      </c>
      <c r="R202" t="e">
        <f>AND(#REF!,"AAAAAH8/hxE=")</f>
        <v>#REF!</v>
      </c>
      <c r="S202" t="e">
        <f>AND(#REF!,"AAAAAH8/hxI=")</f>
        <v>#REF!</v>
      </c>
      <c r="T202" t="e">
        <f>AND(#REF!,"AAAAAH8/hxM=")</f>
        <v>#REF!</v>
      </c>
      <c r="U202" t="e">
        <f>AND(#REF!,"AAAAAH8/hxQ=")</f>
        <v>#REF!</v>
      </c>
      <c r="V202" t="e">
        <f>AND(#REF!,"AAAAAH8/hxU=")</f>
        <v>#REF!</v>
      </c>
      <c r="W202" t="e">
        <f>AND(#REF!,"AAAAAH8/hxY=")</f>
        <v>#REF!</v>
      </c>
      <c r="X202" t="e">
        <f>IF(#REF!,"AAAAAH8/hxc=",0)</f>
        <v>#REF!</v>
      </c>
      <c r="Y202" t="e">
        <f>AND(#REF!,"AAAAAH8/hxg=")</f>
        <v>#REF!</v>
      </c>
      <c r="Z202" t="e">
        <f>AND(#REF!,"AAAAAH8/hxk=")</f>
        <v>#REF!</v>
      </c>
      <c r="AA202" t="e">
        <f>AND(#REF!,"AAAAAH8/hxo=")</f>
        <v>#REF!</v>
      </c>
      <c r="AB202" t="e">
        <f>AND(#REF!,"AAAAAH8/hxs=")</f>
        <v>#REF!</v>
      </c>
      <c r="AC202" t="e">
        <f>AND(#REF!,"AAAAAH8/hxw=")</f>
        <v>#REF!</v>
      </c>
      <c r="AD202" t="e">
        <f>AND(#REF!,"AAAAAH8/hx0=")</f>
        <v>#REF!</v>
      </c>
      <c r="AE202" t="e">
        <f>AND(#REF!,"AAAAAH8/hx4=")</f>
        <v>#REF!</v>
      </c>
      <c r="AF202" t="e">
        <f>AND(#REF!,"AAAAAH8/hx8=")</f>
        <v>#REF!</v>
      </c>
      <c r="AG202" t="e">
        <f>AND(#REF!,"AAAAAH8/hyA=")</f>
        <v>#REF!</v>
      </c>
      <c r="AH202" t="e">
        <f>AND(#REF!,"AAAAAH8/hyE=")</f>
        <v>#REF!</v>
      </c>
      <c r="AI202" t="e">
        <f>AND(#REF!,"AAAAAH8/hyI=")</f>
        <v>#REF!</v>
      </c>
      <c r="AJ202" t="e">
        <f>AND(#REF!,"AAAAAH8/hyM=")</f>
        <v>#REF!</v>
      </c>
      <c r="AK202" t="e">
        <f>AND(#REF!,"AAAAAH8/hyQ=")</f>
        <v>#REF!</v>
      </c>
      <c r="AL202" t="e">
        <f>AND(#REF!,"AAAAAH8/hyU=")</f>
        <v>#REF!</v>
      </c>
      <c r="AM202" t="e">
        <f>AND(#REF!,"AAAAAH8/hyY=")</f>
        <v>#REF!</v>
      </c>
      <c r="AN202" t="e">
        <f>AND(#REF!,"AAAAAH8/hyc=")</f>
        <v>#REF!</v>
      </c>
      <c r="AO202" t="e">
        <f>AND(#REF!,"AAAAAH8/hyg=")</f>
        <v>#REF!</v>
      </c>
      <c r="AP202" t="e">
        <f>AND(#REF!,"AAAAAH8/hyk=")</f>
        <v>#REF!</v>
      </c>
      <c r="AQ202" t="e">
        <f>AND(#REF!,"AAAAAH8/hyo=")</f>
        <v>#REF!</v>
      </c>
      <c r="AR202" t="e">
        <f>AND(#REF!,"AAAAAH8/hys=")</f>
        <v>#REF!</v>
      </c>
      <c r="AS202" t="e">
        <f>AND(#REF!,"AAAAAH8/hyw=")</f>
        <v>#REF!</v>
      </c>
      <c r="AT202" t="e">
        <f>AND(#REF!,"AAAAAH8/hy0=")</f>
        <v>#REF!</v>
      </c>
      <c r="AU202" t="e">
        <f>AND(#REF!,"AAAAAH8/hy4=")</f>
        <v>#REF!</v>
      </c>
      <c r="AV202" t="e">
        <f>AND(#REF!,"AAAAAH8/hy8=")</f>
        <v>#REF!</v>
      </c>
      <c r="AW202" t="e">
        <f>IF(#REF!,"AAAAAH8/hzA=",0)</f>
        <v>#REF!</v>
      </c>
      <c r="AX202" t="e">
        <f>AND(#REF!,"AAAAAH8/hzE=")</f>
        <v>#REF!</v>
      </c>
      <c r="AY202" t="e">
        <f>AND(#REF!,"AAAAAH8/hzI=")</f>
        <v>#REF!</v>
      </c>
      <c r="AZ202" t="e">
        <f>AND(#REF!,"AAAAAH8/hzM=")</f>
        <v>#REF!</v>
      </c>
      <c r="BA202" t="e">
        <f>AND(#REF!,"AAAAAH8/hzQ=")</f>
        <v>#REF!</v>
      </c>
      <c r="BB202" t="e">
        <f>AND(#REF!,"AAAAAH8/hzU=")</f>
        <v>#REF!</v>
      </c>
      <c r="BC202" t="e">
        <f>AND(#REF!,"AAAAAH8/hzY=")</f>
        <v>#REF!</v>
      </c>
      <c r="BD202" t="e">
        <f>AND(#REF!,"AAAAAH8/hzc=")</f>
        <v>#REF!</v>
      </c>
      <c r="BE202" t="e">
        <f>AND(#REF!,"AAAAAH8/hzg=")</f>
        <v>#REF!</v>
      </c>
      <c r="BF202" t="e">
        <f>AND(#REF!,"AAAAAH8/hzk=")</f>
        <v>#REF!</v>
      </c>
      <c r="BG202" t="e">
        <f>AND(#REF!,"AAAAAH8/hzo=")</f>
        <v>#REF!</v>
      </c>
      <c r="BH202" t="e">
        <f>AND(#REF!,"AAAAAH8/hzs=")</f>
        <v>#REF!</v>
      </c>
      <c r="BI202" t="e">
        <f>AND(#REF!,"AAAAAH8/hzw=")</f>
        <v>#REF!</v>
      </c>
      <c r="BJ202" t="e">
        <f>AND(#REF!,"AAAAAH8/hz0=")</f>
        <v>#REF!</v>
      </c>
      <c r="BK202" t="e">
        <f>AND(#REF!,"AAAAAH8/hz4=")</f>
        <v>#REF!</v>
      </c>
      <c r="BL202" t="e">
        <f>AND(#REF!,"AAAAAH8/hz8=")</f>
        <v>#REF!</v>
      </c>
      <c r="BM202" t="e">
        <f>AND(#REF!,"AAAAAH8/h0A=")</f>
        <v>#REF!</v>
      </c>
      <c r="BN202" t="e">
        <f>AND(#REF!,"AAAAAH8/h0E=")</f>
        <v>#REF!</v>
      </c>
      <c r="BO202" t="e">
        <f>AND(#REF!,"AAAAAH8/h0I=")</f>
        <v>#REF!</v>
      </c>
      <c r="BP202" t="e">
        <f>AND(#REF!,"AAAAAH8/h0M=")</f>
        <v>#REF!</v>
      </c>
      <c r="BQ202" t="e">
        <f>AND(#REF!,"AAAAAH8/h0Q=")</f>
        <v>#REF!</v>
      </c>
      <c r="BR202" t="e">
        <f>AND(#REF!,"AAAAAH8/h0U=")</f>
        <v>#REF!</v>
      </c>
      <c r="BS202" t="e">
        <f>AND(#REF!,"AAAAAH8/h0Y=")</f>
        <v>#REF!</v>
      </c>
      <c r="BT202" t="e">
        <f>AND(#REF!,"AAAAAH8/h0c=")</f>
        <v>#REF!</v>
      </c>
      <c r="BU202" t="e">
        <f>AND(#REF!,"AAAAAH8/h0g=")</f>
        <v>#REF!</v>
      </c>
      <c r="BV202" t="e">
        <f>IF(#REF!,"AAAAAH8/h0k=",0)</f>
        <v>#REF!</v>
      </c>
      <c r="BW202" t="e">
        <f>AND(#REF!,"AAAAAH8/h0o=")</f>
        <v>#REF!</v>
      </c>
      <c r="BX202" t="e">
        <f>AND(#REF!,"AAAAAH8/h0s=")</f>
        <v>#REF!</v>
      </c>
      <c r="BY202" t="e">
        <f>AND(#REF!,"AAAAAH8/h0w=")</f>
        <v>#REF!</v>
      </c>
      <c r="BZ202" t="e">
        <f>AND(#REF!,"AAAAAH8/h00=")</f>
        <v>#REF!</v>
      </c>
      <c r="CA202" t="e">
        <f>AND(#REF!,"AAAAAH8/h04=")</f>
        <v>#REF!</v>
      </c>
      <c r="CB202" t="e">
        <f>AND(#REF!,"AAAAAH8/h08=")</f>
        <v>#REF!</v>
      </c>
      <c r="CC202" t="e">
        <f>AND(#REF!,"AAAAAH8/h1A=")</f>
        <v>#REF!</v>
      </c>
      <c r="CD202" t="e">
        <f>AND(#REF!,"AAAAAH8/h1E=")</f>
        <v>#REF!</v>
      </c>
      <c r="CE202" t="e">
        <f>AND(#REF!,"AAAAAH8/h1I=")</f>
        <v>#REF!</v>
      </c>
      <c r="CF202" t="e">
        <f>AND(#REF!,"AAAAAH8/h1M=")</f>
        <v>#REF!</v>
      </c>
      <c r="CG202" t="e">
        <f>AND(#REF!,"AAAAAH8/h1Q=")</f>
        <v>#REF!</v>
      </c>
      <c r="CH202" t="e">
        <f>AND(#REF!,"AAAAAH8/h1U=")</f>
        <v>#REF!</v>
      </c>
      <c r="CI202" t="e">
        <f>AND(#REF!,"AAAAAH8/h1Y=")</f>
        <v>#REF!</v>
      </c>
      <c r="CJ202" t="e">
        <f>AND(#REF!,"AAAAAH8/h1c=")</f>
        <v>#REF!</v>
      </c>
      <c r="CK202" t="e">
        <f>AND(#REF!,"AAAAAH8/h1g=")</f>
        <v>#REF!</v>
      </c>
      <c r="CL202" t="e">
        <f>AND(#REF!,"AAAAAH8/h1k=")</f>
        <v>#REF!</v>
      </c>
      <c r="CM202" t="e">
        <f>AND(#REF!,"AAAAAH8/h1o=")</f>
        <v>#REF!</v>
      </c>
      <c r="CN202" t="e">
        <f>AND(#REF!,"AAAAAH8/h1s=")</f>
        <v>#REF!</v>
      </c>
      <c r="CO202" t="e">
        <f>AND(#REF!,"AAAAAH8/h1w=")</f>
        <v>#REF!</v>
      </c>
      <c r="CP202" t="e">
        <f>AND(#REF!,"AAAAAH8/h10=")</f>
        <v>#REF!</v>
      </c>
      <c r="CQ202" t="e">
        <f>AND(#REF!,"AAAAAH8/h14=")</f>
        <v>#REF!</v>
      </c>
      <c r="CR202" t="e">
        <f>AND(#REF!,"AAAAAH8/h18=")</f>
        <v>#REF!</v>
      </c>
      <c r="CS202" t="e">
        <f>AND(#REF!,"AAAAAH8/h2A=")</f>
        <v>#REF!</v>
      </c>
      <c r="CT202" t="e">
        <f>AND(#REF!,"AAAAAH8/h2E=")</f>
        <v>#REF!</v>
      </c>
      <c r="CU202" t="e">
        <f>IF(#REF!,"AAAAAH8/h2I=",0)</f>
        <v>#REF!</v>
      </c>
      <c r="CV202" t="e">
        <f>AND(#REF!,"AAAAAH8/h2M=")</f>
        <v>#REF!</v>
      </c>
      <c r="CW202" t="e">
        <f>AND(#REF!,"AAAAAH8/h2Q=")</f>
        <v>#REF!</v>
      </c>
      <c r="CX202" t="e">
        <f>AND(#REF!,"AAAAAH8/h2U=")</f>
        <v>#REF!</v>
      </c>
      <c r="CY202" t="e">
        <f>AND(#REF!,"AAAAAH8/h2Y=")</f>
        <v>#REF!</v>
      </c>
      <c r="CZ202" t="e">
        <f>AND(#REF!,"AAAAAH8/h2c=")</f>
        <v>#REF!</v>
      </c>
      <c r="DA202" t="e">
        <f>AND(#REF!,"AAAAAH8/h2g=")</f>
        <v>#REF!</v>
      </c>
      <c r="DB202" t="e">
        <f>AND(#REF!,"AAAAAH8/h2k=")</f>
        <v>#REF!</v>
      </c>
      <c r="DC202" t="e">
        <f>AND(#REF!,"AAAAAH8/h2o=")</f>
        <v>#REF!</v>
      </c>
      <c r="DD202" t="e">
        <f>AND(#REF!,"AAAAAH8/h2s=")</f>
        <v>#REF!</v>
      </c>
      <c r="DE202" t="e">
        <f>AND(#REF!,"AAAAAH8/h2w=")</f>
        <v>#REF!</v>
      </c>
      <c r="DF202" t="e">
        <f>AND(#REF!,"AAAAAH8/h20=")</f>
        <v>#REF!</v>
      </c>
      <c r="DG202" t="e">
        <f>AND(#REF!,"AAAAAH8/h24=")</f>
        <v>#REF!</v>
      </c>
      <c r="DH202" t="e">
        <f>AND(#REF!,"AAAAAH8/h28=")</f>
        <v>#REF!</v>
      </c>
      <c r="DI202" t="e">
        <f>AND(#REF!,"AAAAAH8/h3A=")</f>
        <v>#REF!</v>
      </c>
      <c r="DJ202" t="e">
        <f>AND(#REF!,"AAAAAH8/h3E=")</f>
        <v>#REF!</v>
      </c>
      <c r="DK202" t="e">
        <f>AND(#REF!,"AAAAAH8/h3I=")</f>
        <v>#REF!</v>
      </c>
      <c r="DL202" t="e">
        <f>AND(#REF!,"AAAAAH8/h3M=")</f>
        <v>#REF!</v>
      </c>
      <c r="DM202" t="e">
        <f>AND(#REF!,"AAAAAH8/h3Q=")</f>
        <v>#REF!</v>
      </c>
      <c r="DN202" t="e">
        <f>AND(#REF!,"AAAAAH8/h3U=")</f>
        <v>#REF!</v>
      </c>
      <c r="DO202" t="e">
        <f>AND(#REF!,"AAAAAH8/h3Y=")</f>
        <v>#REF!</v>
      </c>
      <c r="DP202" t="e">
        <f>AND(#REF!,"AAAAAH8/h3c=")</f>
        <v>#REF!</v>
      </c>
      <c r="DQ202" t="e">
        <f>AND(#REF!,"AAAAAH8/h3g=")</f>
        <v>#REF!</v>
      </c>
      <c r="DR202" t="e">
        <f>AND(#REF!,"AAAAAH8/h3k=")</f>
        <v>#REF!</v>
      </c>
      <c r="DS202" t="e">
        <f>AND(#REF!,"AAAAAH8/h3o=")</f>
        <v>#REF!</v>
      </c>
      <c r="DT202" t="e">
        <f>IF(#REF!,"AAAAAH8/h3s=",0)</f>
        <v>#REF!</v>
      </c>
      <c r="DU202" t="e">
        <f>AND(#REF!,"AAAAAH8/h3w=")</f>
        <v>#REF!</v>
      </c>
      <c r="DV202" t="e">
        <f>AND(#REF!,"AAAAAH8/h30=")</f>
        <v>#REF!</v>
      </c>
      <c r="DW202" t="e">
        <f>AND(#REF!,"AAAAAH8/h34=")</f>
        <v>#REF!</v>
      </c>
      <c r="DX202" t="e">
        <f>AND(#REF!,"AAAAAH8/h38=")</f>
        <v>#REF!</v>
      </c>
      <c r="DY202" t="e">
        <f>AND(#REF!,"AAAAAH8/h4A=")</f>
        <v>#REF!</v>
      </c>
      <c r="DZ202" t="e">
        <f>AND(#REF!,"AAAAAH8/h4E=")</f>
        <v>#REF!</v>
      </c>
      <c r="EA202" t="e">
        <f>AND(#REF!,"AAAAAH8/h4I=")</f>
        <v>#REF!</v>
      </c>
      <c r="EB202" t="e">
        <f>AND(#REF!,"AAAAAH8/h4M=")</f>
        <v>#REF!</v>
      </c>
      <c r="EC202" t="e">
        <f>AND(#REF!,"AAAAAH8/h4Q=")</f>
        <v>#REF!</v>
      </c>
      <c r="ED202" t="e">
        <f>AND(#REF!,"AAAAAH8/h4U=")</f>
        <v>#REF!</v>
      </c>
      <c r="EE202" t="e">
        <f>AND(#REF!,"AAAAAH8/h4Y=")</f>
        <v>#REF!</v>
      </c>
      <c r="EF202" t="e">
        <f>AND(#REF!,"AAAAAH8/h4c=")</f>
        <v>#REF!</v>
      </c>
      <c r="EG202" t="e">
        <f>AND(#REF!,"AAAAAH8/h4g=")</f>
        <v>#REF!</v>
      </c>
      <c r="EH202" t="e">
        <f>AND(#REF!,"AAAAAH8/h4k=")</f>
        <v>#REF!</v>
      </c>
      <c r="EI202" t="e">
        <f>AND(#REF!,"AAAAAH8/h4o=")</f>
        <v>#REF!</v>
      </c>
      <c r="EJ202" t="e">
        <f>AND(#REF!,"AAAAAH8/h4s=")</f>
        <v>#REF!</v>
      </c>
      <c r="EK202" t="e">
        <f>AND(#REF!,"AAAAAH8/h4w=")</f>
        <v>#REF!</v>
      </c>
      <c r="EL202" t="e">
        <f>AND(#REF!,"AAAAAH8/h40=")</f>
        <v>#REF!</v>
      </c>
      <c r="EM202" t="e">
        <f>AND(#REF!,"AAAAAH8/h44=")</f>
        <v>#REF!</v>
      </c>
      <c r="EN202" t="e">
        <f>AND(#REF!,"AAAAAH8/h48=")</f>
        <v>#REF!</v>
      </c>
      <c r="EO202" t="e">
        <f>AND(#REF!,"AAAAAH8/h5A=")</f>
        <v>#REF!</v>
      </c>
      <c r="EP202" t="e">
        <f>AND(#REF!,"AAAAAH8/h5E=")</f>
        <v>#REF!</v>
      </c>
      <c r="EQ202" t="e">
        <f>AND(#REF!,"AAAAAH8/h5I=")</f>
        <v>#REF!</v>
      </c>
      <c r="ER202" t="e">
        <f>AND(#REF!,"AAAAAH8/h5M=")</f>
        <v>#REF!</v>
      </c>
      <c r="ES202" t="e">
        <f>IF(#REF!,"AAAAAH8/h5Q=",0)</f>
        <v>#REF!</v>
      </c>
      <c r="ET202" t="e">
        <f>AND(#REF!,"AAAAAH8/h5U=")</f>
        <v>#REF!</v>
      </c>
      <c r="EU202" t="e">
        <f>AND(#REF!,"AAAAAH8/h5Y=")</f>
        <v>#REF!</v>
      </c>
      <c r="EV202" t="e">
        <f>AND(#REF!,"AAAAAH8/h5c=")</f>
        <v>#REF!</v>
      </c>
      <c r="EW202" t="e">
        <f>AND(#REF!,"AAAAAH8/h5g=")</f>
        <v>#REF!</v>
      </c>
      <c r="EX202" t="e">
        <f>AND(#REF!,"AAAAAH8/h5k=")</f>
        <v>#REF!</v>
      </c>
      <c r="EY202" t="e">
        <f>AND(#REF!,"AAAAAH8/h5o=")</f>
        <v>#REF!</v>
      </c>
      <c r="EZ202" t="e">
        <f>AND(#REF!,"AAAAAH8/h5s=")</f>
        <v>#REF!</v>
      </c>
      <c r="FA202" t="e">
        <f>AND(#REF!,"AAAAAH8/h5w=")</f>
        <v>#REF!</v>
      </c>
      <c r="FB202" t="e">
        <f>AND(#REF!,"AAAAAH8/h50=")</f>
        <v>#REF!</v>
      </c>
      <c r="FC202" t="e">
        <f>AND(#REF!,"AAAAAH8/h54=")</f>
        <v>#REF!</v>
      </c>
      <c r="FD202" t="e">
        <f>AND(#REF!,"AAAAAH8/h58=")</f>
        <v>#REF!</v>
      </c>
      <c r="FE202" t="e">
        <f>AND(#REF!,"AAAAAH8/h6A=")</f>
        <v>#REF!</v>
      </c>
      <c r="FF202" t="e">
        <f>AND(#REF!,"AAAAAH8/h6E=")</f>
        <v>#REF!</v>
      </c>
      <c r="FG202" t="e">
        <f>AND(#REF!,"AAAAAH8/h6I=")</f>
        <v>#REF!</v>
      </c>
      <c r="FH202" t="e">
        <f>AND(#REF!,"AAAAAH8/h6M=")</f>
        <v>#REF!</v>
      </c>
      <c r="FI202" t="e">
        <f>AND(#REF!,"AAAAAH8/h6Q=")</f>
        <v>#REF!</v>
      </c>
      <c r="FJ202" t="e">
        <f>AND(#REF!,"AAAAAH8/h6U=")</f>
        <v>#REF!</v>
      </c>
      <c r="FK202" t="e">
        <f>AND(#REF!,"AAAAAH8/h6Y=")</f>
        <v>#REF!</v>
      </c>
      <c r="FL202" t="e">
        <f>AND(#REF!,"AAAAAH8/h6c=")</f>
        <v>#REF!</v>
      </c>
      <c r="FM202" t="e">
        <f>AND(#REF!,"AAAAAH8/h6g=")</f>
        <v>#REF!</v>
      </c>
      <c r="FN202" t="e">
        <f>AND(#REF!,"AAAAAH8/h6k=")</f>
        <v>#REF!</v>
      </c>
      <c r="FO202" t="e">
        <f>AND(#REF!,"AAAAAH8/h6o=")</f>
        <v>#REF!</v>
      </c>
      <c r="FP202" t="e">
        <f>AND(#REF!,"AAAAAH8/h6s=")</f>
        <v>#REF!</v>
      </c>
      <c r="FQ202" t="e">
        <f>AND(#REF!,"AAAAAH8/h6w=")</f>
        <v>#REF!</v>
      </c>
      <c r="FR202" t="e">
        <f>IF(#REF!,"AAAAAH8/h60=",0)</f>
        <v>#REF!</v>
      </c>
      <c r="FS202" t="e">
        <f>AND(#REF!,"AAAAAH8/h64=")</f>
        <v>#REF!</v>
      </c>
      <c r="FT202" t="e">
        <f>AND(#REF!,"AAAAAH8/h68=")</f>
        <v>#REF!</v>
      </c>
      <c r="FU202" t="e">
        <f>AND(#REF!,"AAAAAH8/h7A=")</f>
        <v>#REF!</v>
      </c>
      <c r="FV202" t="e">
        <f>AND(#REF!,"AAAAAH8/h7E=")</f>
        <v>#REF!</v>
      </c>
      <c r="FW202" t="e">
        <f>AND(#REF!,"AAAAAH8/h7I=")</f>
        <v>#REF!</v>
      </c>
      <c r="FX202" t="e">
        <f>AND(#REF!,"AAAAAH8/h7M=")</f>
        <v>#REF!</v>
      </c>
      <c r="FY202" t="e">
        <f>AND(#REF!,"AAAAAH8/h7Q=")</f>
        <v>#REF!</v>
      </c>
      <c r="FZ202" t="e">
        <f>AND(#REF!,"AAAAAH8/h7U=")</f>
        <v>#REF!</v>
      </c>
      <c r="GA202" t="e">
        <f>AND(#REF!,"AAAAAH8/h7Y=")</f>
        <v>#REF!</v>
      </c>
      <c r="GB202" t="e">
        <f>AND(#REF!,"AAAAAH8/h7c=")</f>
        <v>#REF!</v>
      </c>
      <c r="GC202" t="e">
        <f>AND(#REF!,"AAAAAH8/h7g=")</f>
        <v>#REF!</v>
      </c>
      <c r="GD202" t="e">
        <f>AND(#REF!,"AAAAAH8/h7k=")</f>
        <v>#REF!</v>
      </c>
      <c r="GE202" t="e">
        <f>AND(#REF!,"AAAAAH8/h7o=")</f>
        <v>#REF!</v>
      </c>
      <c r="GF202" t="e">
        <f>AND(#REF!,"AAAAAH8/h7s=")</f>
        <v>#REF!</v>
      </c>
      <c r="GG202" t="e">
        <f>AND(#REF!,"AAAAAH8/h7w=")</f>
        <v>#REF!</v>
      </c>
      <c r="GH202" t="e">
        <f>AND(#REF!,"AAAAAH8/h70=")</f>
        <v>#REF!</v>
      </c>
      <c r="GI202" t="e">
        <f>AND(#REF!,"AAAAAH8/h74=")</f>
        <v>#REF!</v>
      </c>
      <c r="GJ202" t="e">
        <f>AND(#REF!,"AAAAAH8/h78=")</f>
        <v>#REF!</v>
      </c>
      <c r="GK202" t="e">
        <f>AND(#REF!,"AAAAAH8/h8A=")</f>
        <v>#REF!</v>
      </c>
      <c r="GL202" t="e">
        <f>AND(#REF!,"AAAAAH8/h8E=")</f>
        <v>#REF!</v>
      </c>
      <c r="GM202" t="e">
        <f>AND(#REF!,"AAAAAH8/h8I=")</f>
        <v>#REF!</v>
      </c>
      <c r="GN202" t="e">
        <f>AND(#REF!,"AAAAAH8/h8M=")</f>
        <v>#REF!</v>
      </c>
      <c r="GO202" t="e">
        <f>AND(#REF!,"AAAAAH8/h8Q=")</f>
        <v>#REF!</v>
      </c>
      <c r="GP202" t="e">
        <f>AND(#REF!,"AAAAAH8/h8U=")</f>
        <v>#REF!</v>
      </c>
      <c r="GQ202" t="e">
        <f>IF(#REF!,"AAAAAH8/h8Y=",0)</f>
        <v>#REF!</v>
      </c>
      <c r="GR202" t="e">
        <f>AND(#REF!,"AAAAAH8/h8c=")</f>
        <v>#REF!</v>
      </c>
      <c r="GS202" t="e">
        <f>AND(#REF!,"AAAAAH8/h8g=")</f>
        <v>#REF!</v>
      </c>
      <c r="GT202" t="e">
        <f>AND(#REF!,"AAAAAH8/h8k=")</f>
        <v>#REF!</v>
      </c>
      <c r="GU202" t="e">
        <f>AND(#REF!,"AAAAAH8/h8o=")</f>
        <v>#REF!</v>
      </c>
      <c r="GV202" t="e">
        <f>AND(#REF!,"AAAAAH8/h8s=")</f>
        <v>#REF!</v>
      </c>
      <c r="GW202" t="e">
        <f>AND(#REF!,"AAAAAH8/h8w=")</f>
        <v>#REF!</v>
      </c>
      <c r="GX202" t="e">
        <f>AND(#REF!,"AAAAAH8/h80=")</f>
        <v>#REF!</v>
      </c>
      <c r="GY202" t="e">
        <f>AND(#REF!,"AAAAAH8/h84=")</f>
        <v>#REF!</v>
      </c>
      <c r="GZ202" t="e">
        <f>AND(#REF!,"AAAAAH8/h88=")</f>
        <v>#REF!</v>
      </c>
      <c r="HA202" t="e">
        <f>AND(#REF!,"AAAAAH8/h9A=")</f>
        <v>#REF!</v>
      </c>
      <c r="HB202" t="e">
        <f>AND(#REF!,"AAAAAH8/h9E=")</f>
        <v>#REF!</v>
      </c>
      <c r="HC202" t="e">
        <f>AND(#REF!,"AAAAAH8/h9I=")</f>
        <v>#REF!</v>
      </c>
      <c r="HD202" t="e">
        <f>AND(#REF!,"AAAAAH8/h9M=")</f>
        <v>#REF!</v>
      </c>
      <c r="HE202" t="e">
        <f>AND(#REF!,"AAAAAH8/h9Q=")</f>
        <v>#REF!</v>
      </c>
      <c r="HF202" t="e">
        <f>AND(#REF!,"AAAAAH8/h9U=")</f>
        <v>#REF!</v>
      </c>
      <c r="HG202" t="e">
        <f>AND(#REF!,"AAAAAH8/h9Y=")</f>
        <v>#REF!</v>
      </c>
      <c r="HH202" t="e">
        <f>AND(#REF!,"AAAAAH8/h9c=")</f>
        <v>#REF!</v>
      </c>
      <c r="HI202" t="e">
        <f>AND(#REF!,"AAAAAH8/h9g=")</f>
        <v>#REF!</v>
      </c>
      <c r="HJ202" t="e">
        <f>AND(#REF!,"AAAAAH8/h9k=")</f>
        <v>#REF!</v>
      </c>
      <c r="HK202" t="e">
        <f>AND(#REF!,"AAAAAH8/h9o=")</f>
        <v>#REF!</v>
      </c>
      <c r="HL202" t="e">
        <f>AND(#REF!,"AAAAAH8/h9s=")</f>
        <v>#REF!</v>
      </c>
      <c r="HM202" t="e">
        <f>AND(#REF!,"AAAAAH8/h9w=")</f>
        <v>#REF!</v>
      </c>
      <c r="HN202" t="e">
        <f>AND(#REF!,"AAAAAH8/h90=")</f>
        <v>#REF!</v>
      </c>
      <c r="HO202" t="e">
        <f>AND(#REF!,"AAAAAH8/h94=")</f>
        <v>#REF!</v>
      </c>
      <c r="HP202" t="e">
        <f>IF(#REF!,"AAAAAH8/h98=",0)</f>
        <v>#REF!</v>
      </c>
      <c r="HQ202" t="e">
        <f>AND(#REF!,"AAAAAH8/h+A=")</f>
        <v>#REF!</v>
      </c>
      <c r="HR202" t="e">
        <f>AND(#REF!,"AAAAAH8/h+E=")</f>
        <v>#REF!</v>
      </c>
      <c r="HS202" t="e">
        <f>AND(#REF!,"AAAAAH8/h+I=")</f>
        <v>#REF!</v>
      </c>
      <c r="HT202" t="e">
        <f>AND(#REF!,"AAAAAH8/h+M=")</f>
        <v>#REF!</v>
      </c>
      <c r="HU202" t="e">
        <f>AND(#REF!,"AAAAAH8/h+Q=")</f>
        <v>#REF!</v>
      </c>
      <c r="HV202" t="e">
        <f>AND(#REF!,"AAAAAH8/h+U=")</f>
        <v>#REF!</v>
      </c>
      <c r="HW202" t="e">
        <f>AND(#REF!,"AAAAAH8/h+Y=")</f>
        <v>#REF!</v>
      </c>
      <c r="HX202" t="e">
        <f>AND(#REF!,"AAAAAH8/h+c=")</f>
        <v>#REF!</v>
      </c>
      <c r="HY202" t="e">
        <f>AND(#REF!,"AAAAAH8/h+g=")</f>
        <v>#REF!</v>
      </c>
      <c r="HZ202" t="e">
        <f>AND(#REF!,"AAAAAH8/h+k=")</f>
        <v>#REF!</v>
      </c>
      <c r="IA202" t="e">
        <f>AND(#REF!,"AAAAAH8/h+o=")</f>
        <v>#REF!</v>
      </c>
      <c r="IB202" t="e">
        <f>AND(#REF!,"AAAAAH8/h+s=")</f>
        <v>#REF!</v>
      </c>
      <c r="IC202" t="e">
        <f>AND(#REF!,"AAAAAH8/h+w=")</f>
        <v>#REF!</v>
      </c>
      <c r="ID202" t="e">
        <f>AND(#REF!,"AAAAAH8/h+0=")</f>
        <v>#REF!</v>
      </c>
      <c r="IE202" t="e">
        <f>AND(#REF!,"AAAAAH8/h+4=")</f>
        <v>#REF!</v>
      </c>
      <c r="IF202" t="e">
        <f>AND(#REF!,"AAAAAH8/h+8=")</f>
        <v>#REF!</v>
      </c>
      <c r="IG202" t="e">
        <f>AND(#REF!,"AAAAAH8/h/A=")</f>
        <v>#REF!</v>
      </c>
      <c r="IH202" t="e">
        <f>AND(#REF!,"AAAAAH8/h/E=")</f>
        <v>#REF!</v>
      </c>
      <c r="II202" t="e">
        <f>AND(#REF!,"AAAAAH8/h/I=")</f>
        <v>#REF!</v>
      </c>
      <c r="IJ202" t="e">
        <f>AND(#REF!,"AAAAAH8/h/M=")</f>
        <v>#REF!</v>
      </c>
      <c r="IK202" t="e">
        <f>AND(#REF!,"AAAAAH8/h/Q=")</f>
        <v>#REF!</v>
      </c>
      <c r="IL202" t="e">
        <f>AND(#REF!,"AAAAAH8/h/U=")</f>
        <v>#REF!</v>
      </c>
      <c r="IM202" t="e">
        <f>AND(#REF!,"AAAAAH8/h/Y=")</f>
        <v>#REF!</v>
      </c>
      <c r="IN202" t="e">
        <f>AND(#REF!,"AAAAAH8/h/c=")</f>
        <v>#REF!</v>
      </c>
      <c r="IO202" t="e">
        <f>IF(#REF!,"AAAAAH8/h/g=",0)</f>
        <v>#REF!</v>
      </c>
      <c r="IP202" t="e">
        <f>AND(#REF!,"AAAAAH8/h/k=")</f>
        <v>#REF!</v>
      </c>
      <c r="IQ202" t="e">
        <f>AND(#REF!,"AAAAAH8/h/o=")</f>
        <v>#REF!</v>
      </c>
      <c r="IR202" t="e">
        <f>AND(#REF!,"AAAAAH8/h/s=")</f>
        <v>#REF!</v>
      </c>
      <c r="IS202" t="e">
        <f>AND(#REF!,"AAAAAH8/h/w=")</f>
        <v>#REF!</v>
      </c>
      <c r="IT202" t="e">
        <f>AND(#REF!,"AAAAAH8/h/0=")</f>
        <v>#REF!</v>
      </c>
      <c r="IU202" t="e">
        <f>AND(#REF!,"AAAAAH8/h/4=")</f>
        <v>#REF!</v>
      </c>
      <c r="IV202" t="e">
        <f>AND(#REF!,"AAAAAH8/h/8=")</f>
        <v>#REF!</v>
      </c>
    </row>
    <row r="203" spans="1:256" x14ac:dyDescent="0.25">
      <c r="A203" t="e">
        <f>AND(#REF!,"AAAAADb+3wA=")</f>
        <v>#REF!</v>
      </c>
      <c r="B203" t="e">
        <f>AND(#REF!,"AAAAADb+3wE=")</f>
        <v>#REF!</v>
      </c>
      <c r="C203" t="e">
        <f>AND(#REF!,"AAAAADb+3wI=")</f>
        <v>#REF!</v>
      </c>
      <c r="D203" t="e">
        <f>AND(#REF!,"AAAAADb+3wM=")</f>
        <v>#REF!</v>
      </c>
      <c r="E203" t="e">
        <f>AND(#REF!,"AAAAADb+3wQ=")</f>
        <v>#REF!</v>
      </c>
      <c r="F203" t="e">
        <f>AND(#REF!,"AAAAADb+3wU=")</f>
        <v>#REF!</v>
      </c>
      <c r="G203" t="e">
        <f>AND(#REF!,"AAAAADb+3wY=")</f>
        <v>#REF!</v>
      </c>
      <c r="H203" t="e">
        <f>AND(#REF!,"AAAAADb+3wc=")</f>
        <v>#REF!</v>
      </c>
      <c r="I203" t="e">
        <f>AND(#REF!,"AAAAADb+3wg=")</f>
        <v>#REF!</v>
      </c>
      <c r="J203" t="e">
        <f>AND(#REF!,"AAAAADb+3wk=")</f>
        <v>#REF!</v>
      </c>
      <c r="K203" t="e">
        <f>AND(#REF!,"AAAAADb+3wo=")</f>
        <v>#REF!</v>
      </c>
      <c r="L203" t="e">
        <f>AND(#REF!,"AAAAADb+3ws=")</f>
        <v>#REF!</v>
      </c>
      <c r="M203" t="e">
        <f>AND(#REF!,"AAAAADb+3ww=")</f>
        <v>#REF!</v>
      </c>
      <c r="N203" t="e">
        <f>AND(#REF!,"AAAAADb+3w0=")</f>
        <v>#REF!</v>
      </c>
      <c r="O203" t="e">
        <f>AND(#REF!,"AAAAADb+3w4=")</f>
        <v>#REF!</v>
      </c>
      <c r="P203" t="e">
        <f>AND(#REF!,"AAAAADb+3w8=")</f>
        <v>#REF!</v>
      </c>
      <c r="Q203" t="e">
        <f>AND(#REF!,"AAAAADb+3xA=")</f>
        <v>#REF!</v>
      </c>
      <c r="R203" t="e">
        <f>IF(#REF!,"AAAAADb+3xE=",0)</f>
        <v>#REF!</v>
      </c>
      <c r="S203" t="e">
        <f>AND(#REF!,"AAAAADb+3xI=")</f>
        <v>#REF!</v>
      </c>
      <c r="T203" t="e">
        <f>AND(#REF!,"AAAAADb+3xM=")</f>
        <v>#REF!</v>
      </c>
      <c r="U203" t="e">
        <f>AND(#REF!,"AAAAADb+3xQ=")</f>
        <v>#REF!</v>
      </c>
      <c r="V203" t="e">
        <f>AND(#REF!,"AAAAADb+3xU=")</f>
        <v>#REF!</v>
      </c>
      <c r="W203" t="e">
        <f>AND(#REF!,"AAAAADb+3xY=")</f>
        <v>#REF!</v>
      </c>
      <c r="X203" t="e">
        <f>AND(#REF!,"AAAAADb+3xc=")</f>
        <v>#REF!</v>
      </c>
      <c r="Y203" t="e">
        <f>AND(#REF!,"AAAAADb+3xg=")</f>
        <v>#REF!</v>
      </c>
      <c r="Z203" t="e">
        <f>AND(#REF!,"AAAAADb+3xk=")</f>
        <v>#REF!</v>
      </c>
      <c r="AA203" t="e">
        <f>AND(#REF!,"AAAAADb+3xo=")</f>
        <v>#REF!</v>
      </c>
      <c r="AB203" t="e">
        <f>AND(#REF!,"AAAAADb+3xs=")</f>
        <v>#REF!</v>
      </c>
      <c r="AC203" t="e">
        <f>AND(#REF!,"AAAAADb+3xw=")</f>
        <v>#REF!</v>
      </c>
      <c r="AD203" t="e">
        <f>AND(#REF!,"AAAAADb+3x0=")</f>
        <v>#REF!</v>
      </c>
      <c r="AE203" t="e">
        <f>AND(#REF!,"AAAAADb+3x4=")</f>
        <v>#REF!</v>
      </c>
      <c r="AF203" t="e">
        <f>AND(#REF!,"AAAAADb+3x8=")</f>
        <v>#REF!</v>
      </c>
      <c r="AG203" t="e">
        <f>AND(#REF!,"AAAAADb+3yA=")</f>
        <v>#REF!</v>
      </c>
      <c r="AH203" t="e">
        <f>AND(#REF!,"AAAAADb+3yE=")</f>
        <v>#REF!</v>
      </c>
      <c r="AI203" t="e">
        <f>AND(#REF!,"AAAAADb+3yI=")</f>
        <v>#REF!</v>
      </c>
      <c r="AJ203" t="e">
        <f>AND(#REF!,"AAAAADb+3yM=")</f>
        <v>#REF!</v>
      </c>
      <c r="AK203" t="e">
        <f>AND(#REF!,"AAAAADb+3yQ=")</f>
        <v>#REF!</v>
      </c>
      <c r="AL203" t="e">
        <f>AND(#REF!,"AAAAADb+3yU=")</f>
        <v>#REF!</v>
      </c>
      <c r="AM203" t="e">
        <f>AND(#REF!,"AAAAADb+3yY=")</f>
        <v>#REF!</v>
      </c>
      <c r="AN203" t="e">
        <f>AND(#REF!,"AAAAADb+3yc=")</f>
        <v>#REF!</v>
      </c>
      <c r="AO203" t="e">
        <f>AND(#REF!,"AAAAADb+3yg=")</f>
        <v>#REF!</v>
      </c>
      <c r="AP203" t="e">
        <f>AND(#REF!,"AAAAADb+3yk=")</f>
        <v>#REF!</v>
      </c>
      <c r="AQ203" t="e">
        <f>IF(#REF!,"AAAAADb+3yo=",0)</f>
        <v>#REF!</v>
      </c>
      <c r="AR203" t="e">
        <f>AND(#REF!,"AAAAADb+3ys=")</f>
        <v>#REF!</v>
      </c>
      <c r="AS203" t="e">
        <f>AND(#REF!,"AAAAADb+3yw=")</f>
        <v>#REF!</v>
      </c>
      <c r="AT203" t="e">
        <f>AND(#REF!,"AAAAADb+3y0=")</f>
        <v>#REF!</v>
      </c>
      <c r="AU203" t="e">
        <f>AND(#REF!,"AAAAADb+3y4=")</f>
        <v>#REF!</v>
      </c>
      <c r="AV203" t="e">
        <f>AND(#REF!,"AAAAADb+3y8=")</f>
        <v>#REF!</v>
      </c>
      <c r="AW203" t="e">
        <f>AND(#REF!,"AAAAADb+3zA=")</f>
        <v>#REF!</v>
      </c>
      <c r="AX203" t="e">
        <f>AND(#REF!,"AAAAADb+3zE=")</f>
        <v>#REF!</v>
      </c>
      <c r="AY203" t="e">
        <f>AND(#REF!,"AAAAADb+3zI=")</f>
        <v>#REF!</v>
      </c>
      <c r="AZ203" t="e">
        <f>AND(#REF!,"AAAAADb+3zM=")</f>
        <v>#REF!</v>
      </c>
      <c r="BA203" t="e">
        <f>AND(#REF!,"AAAAADb+3zQ=")</f>
        <v>#REF!</v>
      </c>
      <c r="BB203" t="e">
        <f>AND(#REF!,"AAAAADb+3zU=")</f>
        <v>#REF!</v>
      </c>
      <c r="BC203" t="e">
        <f>AND(#REF!,"AAAAADb+3zY=")</f>
        <v>#REF!</v>
      </c>
      <c r="BD203" t="e">
        <f>AND(#REF!,"AAAAADb+3zc=")</f>
        <v>#REF!</v>
      </c>
      <c r="BE203" t="e">
        <f>AND(#REF!,"AAAAADb+3zg=")</f>
        <v>#REF!</v>
      </c>
      <c r="BF203" t="e">
        <f>AND(#REF!,"AAAAADb+3zk=")</f>
        <v>#REF!</v>
      </c>
      <c r="BG203" t="e">
        <f>AND(#REF!,"AAAAADb+3zo=")</f>
        <v>#REF!</v>
      </c>
      <c r="BH203" t="e">
        <f>AND(#REF!,"AAAAADb+3zs=")</f>
        <v>#REF!</v>
      </c>
      <c r="BI203" t="e">
        <f>AND(#REF!,"AAAAADb+3zw=")</f>
        <v>#REF!</v>
      </c>
      <c r="BJ203" t="e">
        <f>AND(#REF!,"AAAAADb+3z0=")</f>
        <v>#REF!</v>
      </c>
      <c r="BK203" t="e">
        <f>AND(#REF!,"AAAAADb+3z4=")</f>
        <v>#REF!</v>
      </c>
      <c r="BL203" t="e">
        <f>AND(#REF!,"AAAAADb+3z8=")</f>
        <v>#REF!</v>
      </c>
      <c r="BM203" t="e">
        <f>AND(#REF!,"AAAAADb+30A=")</f>
        <v>#REF!</v>
      </c>
      <c r="BN203" t="e">
        <f>AND(#REF!,"AAAAADb+30E=")</f>
        <v>#REF!</v>
      </c>
      <c r="BO203" t="e">
        <f>AND(#REF!,"AAAAADb+30I=")</f>
        <v>#REF!</v>
      </c>
      <c r="BP203" t="e">
        <f>IF(#REF!,"AAAAADb+30M=",0)</f>
        <v>#REF!</v>
      </c>
      <c r="BQ203" t="e">
        <f>AND(#REF!,"AAAAADb+30Q=")</f>
        <v>#REF!</v>
      </c>
      <c r="BR203" t="e">
        <f>AND(#REF!,"AAAAADb+30U=")</f>
        <v>#REF!</v>
      </c>
      <c r="BS203" t="e">
        <f>AND(#REF!,"AAAAADb+30Y=")</f>
        <v>#REF!</v>
      </c>
      <c r="BT203" t="e">
        <f>AND(#REF!,"AAAAADb+30c=")</f>
        <v>#REF!</v>
      </c>
      <c r="BU203" t="e">
        <f>AND(#REF!,"AAAAADb+30g=")</f>
        <v>#REF!</v>
      </c>
      <c r="BV203" t="e">
        <f>AND(#REF!,"AAAAADb+30k=")</f>
        <v>#REF!</v>
      </c>
      <c r="BW203" t="e">
        <f>AND(#REF!,"AAAAADb+30o=")</f>
        <v>#REF!</v>
      </c>
      <c r="BX203" t="e">
        <f>AND(#REF!,"AAAAADb+30s=")</f>
        <v>#REF!</v>
      </c>
      <c r="BY203" t="e">
        <f>AND(#REF!,"AAAAADb+30w=")</f>
        <v>#REF!</v>
      </c>
      <c r="BZ203" t="e">
        <f>AND(#REF!,"AAAAADb+300=")</f>
        <v>#REF!</v>
      </c>
      <c r="CA203" t="e">
        <f>AND(#REF!,"AAAAADb+304=")</f>
        <v>#REF!</v>
      </c>
      <c r="CB203" t="e">
        <f>AND(#REF!,"AAAAADb+308=")</f>
        <v>#REF!</v>
      </c>
      <c r="CC203" t="e">
        <f>AND(#REF!,"AAAAADb+31A=")</f>
        <v>#REF!</v>
      </c>
      <c r="CD203" t="e">
        <f>AND(#REF!,"AAAAADb+31E=")</f>
        <v>#REF!</v>
      </c>
      <c r="CE203" t="e">
        <f>AND(#REF!,"AAAAADb+31I=")</f>
        <v>#REF!</v>
      </c>
      <c r="CF203" t="e">
        <f>AND(#REF!,"AAAAADb+31M=")</f>
        <v>#REF!</v>
      </c>
      <c r="CG203" t="e">
        <f>AND(#REF!,"AAAAADb+31Q=")</f>
        <v>#REF!</v>
      </c>
      <c r="CH203" t="e">
        <f>AND(#REF!,"AAAAADb+31U=")</f>
        <v>#REF!</v>
      </c>
      <c r="CI203" t="e">
        <f>AND(#REF!,"AAAAADb+31Y=")</f>
        <v>#REF!</v>
      </c>
      <c r="CJ203" t="e">
        <f>AND(#REF!,"AAAAADb+31c=")</f>
        <v>#REF!</v>
      </c>
      <c r="CK203" t="e">
        <f>AND(#REF!,"AAAAADb+31g=")</f>
        <v>#REF!</v>
      </c>
      <c r="CL203" t="e">
        <f>AND(#REF!,"AAAAADb+31k=")</f>
        <v>#REF!</v>
      </c>
      <c r="CM203" t="e">
        <f>AND(#REF!,"AAAAADb+31o=")</f>
        <v>#REF!</v>
      </c>
      <c r="CN203" t="e">
        <f>AND(#REF!,"AAAAADb+31s=")</f>
        <v>#REF!</v>
      </c>
      <c r="CO203" t="e">
        <f>IF(#REF!,"AAAAADb+31w=",0)</f>
        <v>#REF!</v>
      </c>
      <c r="CP203" t="e">
        <f>AND(#REF!,"AAAAADb+310=")</f>
        <v>#REF!</v>
      </c>
      <c r="CQ203" t="e">
        <f>AND(#REF!,"AAAAADb+314=")</f>
        <v>#REF!</v>
      </c>
      <c r="CR203" t="e">
        <f>AND(#REF!,"AAAAADb+318=")</f>
        <v>#REF!</v>
      </c>
      <c r="CS203" t="e">
        <f>AND(#REF!,"AAAAADb+32A=")</f>
        <v>#REF!</v>
      </c>
      <c r="CT203" t="e">
        <f>AND(#REF!,"AAAAADb+32E=")</f>
        <v>#REF!</v>
      </c>
      <c r="CU203" t="e">
        <f>AND(#REF!,"AAAAADb+32I=")</f>
        <v>#REF!</v>
      </c>
      <c r="CV203" t="e">
        <f>AND(#REF!,"AAAAADb+32M=")</f>
        <v>#REF!</v>
      </c>
      <c r="CW203" t="e">
        <f>AND(#REF!,"AAAAADb+32Q=")</f>
        <v>#REF!</v>
      </c>
      <c r="CX203" t="e">
        <f>AND(#REF!,"AAAAADb+32U=")</f>
        <v>#REF!</v>
      </c>
      <c r="CY203" t="e">
        <f>AND(#REF!,"AAAAADb+32Y=")</f>
        <v>#REF!</v>
      </c>
      <c r="CZ203" t="e">
        <f>AND(#REF!,"AAAAADb+32c=")</f>
        <v>#REF!</v>
      </c>
      <c r="DA203" t="e">
        <f>AND(#REF!,"AAAAADb+32g=")</f>
        <v>#REF!</v>
      </c>
      <c r="DB203" t="e">
        <f>AND(#REF!,"AAAAADb+32k=")</f>
        <v>#REF!</v>
      </c>
      <c r="DC203" t="e">
        <f>AND(#REF!,"AAAAADb+32o=")</f>
        <v>#REF!</v>
      </c>
      <c r="DD203" t="e">
        <f>AND(#REF!,"AAAAADb+32s=")</f>
        <v>#REF!</v>
      </c>
      <c r="DE203" t="e">
        <f>AND(#REF!,"AAAAADb+32w=")</f>
        <v>#REF!</v>
      </c>
      <c r="DF203" t="e">
        <f>AND(#REF!,"AAAAADb+320=")</f>
        <v>#REF!</v>
      </c>
      <c r="DG203" t="e">
        <f>AND(#REF!,"AAAAADb+324=")</f>
        <v>#REF!</v>
      </c>
      <c r="DH203" t="e">
        <f>AND(#REF!,"AAAAADb+328=")</f>
        <v>#REF!</v>
      </c>
      <c r="DI203" t="e">
        <f>AND(#REF!,"AAAAADb+33A=")</f>
        <v>#REF!</v>
      </c>
      <c r="DJ203" t="e">
        <f>AND(#REF!,"AAAAADb+33E=")</f>
        <v>#REF!</v>
      </c>
      <c r="DK203" t="e">
        <f>AND(#REF!,"AAAAADb+33I=")</f>
        <v>#REF!</v>
      </c>
      <c r="DL203" t="e">
        <f>AND(#REF!,"AAAAADb+33M=")</f>
        <v>#REF!</v>
      </c>
      <c r="DM203" t="e">
        <f>AND(#REF!,"AAAAADb+33Q=")</f>
        <v>#REF!</v>
      </c>
      <c r="DN203" t="e">
        <f>IF(#REF!,"AAAAADb+33U=",0)</f>
        <v>#REF!</v>
      </c>
      <c r="DO203" t="e">
        <f>AND(#REF!,"AAAAADb+33Y=")</f>
        <v>#REF!</v>
      </c>
      <c r="DP203" t="e">
        <f>AND(#REF!,"AAAAADb+33c=")</f>
        <v>#REF!</v>
      </c>
      <c r="DQ203" t="e">
        <f>AND(#REF!,"AAAAADb+33g=")</f>
        <v>#REF!</v>
      </c>
      <c r="DR203" t="e">
        <f>AND(#REF!,"AAAAADb+33k=")</f>
        <v>#REF!</v>
      </c>
      <c r="DS203" t="e">
        <f>AND(#REF!,"AAAAADb+33o=")</f>
        <v>#REF!</v>
      </c>
      <c r="DT203" t="e">
        <f>AND(#REF!,"AAAAADb+33s=")</f>
        <v>#REF!</v>
      </c>
      <c r="DU203" t="e">
        <f>AND(#REF!,"AAAAADb+33w=")</f>
        <v>#REF!</v>
      </c>
      <c r="DV203" t="e">
        <f>AND(#REF!,"AAAAADb+330=")</f>
        <v>#REF!</v>
      </c>
      <c r="DW203" t="e">
        <f>AND(#REF!,"AAAAADb+334=")</f>
        <v>#REF!</v>
      </c>
      <c r="DX203" t="e">
        <f>AND(#REF!,"AAAAADb+338=")</f>
        <v>#REF!</v>
      </c>
      <c r="DY203" t="e">
        <f>AND(#REF!,"AAAAADb+34A=")</f>
        <v>#REF!</v>
      </c>
      <c r="DZ203" t="e">
        <f>AND(#REF!,"AAAAADb+34E=")</f>
        <v>#REF!</v>
      </c>
      <c r="EA203" t="e">
        <f>AND(#REF!,"AAAAADb+34I=")</f>
        <v>#REF!</v>
      </c>
      <c r="EB203" t="e">
        <f>AND(#REF!,"AAAAADb+34M=")</f>
        <v>#REF!</v>
      </c>
      <c r="EC203" t="e">
        <f>AND(#REF!,"AAAAADb+34Q=")</f>
        <v>#REF!</v>
      </c>
      <c r="ED203" t="e">
        <f>AND(#REF!,"AAAAADb+34U=")</f>
        <v>#REF!</v>
      </c>
      <c r="EE203" t="e">
        <f>AND(#REF!,"AAAAADb+34Y=")</f>
        <v>#REF!</v>
      </c>
      <c r="EF203" t="e">
        <f>AND(#REF!,"AAAAADb+34c=")</f>
        <v>#REF!</v>
      </c>
      <c r="EG203" t="e">
        <f>AND(#REF!,"AAAAADb+34g=")</f>
        <v>#REF!</v>
      </c>
      <c r="EH203" t="e">
        <f>AND(#REF!,"AAAAADb+34k=")</f>
        <v>#REF!</v>
      </c>
      <c r="EI203" t="e">
        <f>AND(#REF!,"AAAAADb+34o=")</f>
        <v>#REF!</v>
      </c>
      <c r="EJ203" t="e">
        <f>AND(#REF!,"AAAAADb+34s=")</f>
        <v>#REF!</v>
      </c>
      <c r="EK203" t="e">
        <f>AND(#REF!,"AAAAADb+34w=")</f>
        <v>#REF!</v>
      </c>
      <c r="EL203" t="e">
        <f>AND(#REF!,"AAAAADb+340=")</f>
        <v>#REF!</v>
      </c>
      <c r="EM203" t="e">
        <f>IF(#REF!,"AAAAADb+344=",0)</f>
        <v>#REF!</v>
      </c>
      <c r="EN203" t="e">
        <f>AND(#REF!,"AAAAADb+348=")</f>
        <v>#REF!</v>
      </c>
      <c r="EO203" t="e">
        <f>AND(#REF!,"AAAAADb+35A=")</f>
        <v>#REF!</v>
      </c>
      <c r="EP203" t="e">
        <f>AND(#REF!,"AAAAADb+35E=")</f>
        <v>#REF!</v>
      </c>
      <c r="EQ203" t="e">
        <f>AND(#REF!,"AAAAADb+35I=")</f>
        <v>#REF!</v>
      </c>
      <c r="ER203" t="e">
        <f>AND(#REF!,"AAAAADb+35M=")</f>
        <v>#REF!</v>
      </c>
      <c r="ES203" t="e">
        <f>AND(#REF!,"AAAAADb+35Q=")</f>
        <v>#REF!</v>
      </c>
      <c r="ET203" t="e">
        <f>AND(#REF!,"AAAAADb+35U=")</f>
        <v>#REF!</v>
      </c>
      <c r="EU203" t="e">
        <f>AND(#REF!,"AAAAADb+35Y=")</f>
        <v>#REF!</v>
      </c>
      <c r="EV203" t="e">
        <f>AND(#REF!,"AAAAADb+35c=")</f>
        <v>#REF!</v>
      </c>
      <c r="EW203" t="e">
        <f>AND(#REF!,"AAAAADb+35g=")</f>
        <v>#REF!</v>
      </c>
      <c r="EX203" t="e">
        <f>AND(#REF!,"AAAAADb+35k=")</f>
        <v>#REF!</v>
      </c>
      <c r="EY203" t="e">
        <f>AND(#REF!,"AAAAADb+35o=")</f>
        <v>#REF!</v>
      </c>
      <c r="EZ203" t="e">
        <f>AND(#REF!,"AAAAADb+35s=")</f>
        <v>#REF!</v>
      </c>
      <c r="FA203" t="e">
        <f>AND(#REF!,"AAAAADb+35w=")</f>
        <v>#REF!</v>
      </c>
      <c r="FB203" t="e">
        <f>AND(#REF!,"AAAAADb+350=")</f>
        <v>#REF!</v>
      </c>
      <c r="FC203" t="e">
        <f>AND(#REF!,"AAAAADb+354=")</f>
        <v>#REF!</v>
      </c>
      <c r="FD203" t="e">
        <f>AND(#REF!,"AAAAADb+358=")</f>
        <v>#REF!</v>
      </c>
      <c r="FE203" t="e">
        <f>AND(#REF!,"AAAAADb+36A=")</f>
        <v>#REF!</v>
      </c>
      <c r="FF203" t="e">
        <f>AND(#REF!,"AAAAADb+36E=")</f>
        <v>#REF!</v>
      </c>
      <c r="FG203" t="e">
        <f>AND(#REF!,"AAAAADb+36I=")</f>
        <v>#REF!</v>
      </c>
      <c r="FH203" t="e">
        <f>AND(#REF!,"AAAAADb+36M=")</f>
        <v>#REF!</v>
      </c>
      <c r="FI203" t="e">
        <f>AND(#REF!,"AAAAADb+36Q=")</f>
        <v>#REF!</v>
      </c>
      <c r="FJ203" t="e">
        <f>AND(#REF!,"AAAAADb+36U=")</f>
        <v>#REF!</v>
      </c>
      <c r="FK203" t="e">
        <f>AND(#REF!,"AAAAADb+36Y=")</f>
        <v>#REF!</v>
      </c>
      <c r="FL203" t="e">
        <f>IF(#REF!,"AAAAADb+36c=",0)</f>
        <v>#REF!</v>
      </c>
      <c r="FM203" t="e">
        <f>AND(#REF!,"AAAAADb+36g=")</f>
        <v>#REF!</v>
      </c>
      <c r="FN203" t="e">
        <f>AND(#REF!,"AAAAADb+36k=")</f>
        <v>#REF!</v>
      </c>
      <c r="FO203" t="e">
        <f>AND(#REF!,"AAAAADb+36o=")</f>
        <v>#REF!</v>
      </c>
      <c r="FP203" t="e">
        <f>AND(#REF!,"AAAAADb+36s=")</f>
        <v>#REF!</v>
      </c>
      <c r="FQ203" t="e">
        <f>AND(#REF!,"AAAAADb+36w=")</f>
        <v>#REF!</v>
      </c>
      <c r="FR203" t="e">
        <f>AND(#REF!,"AAAAADb+360=")</f>
        <v>#REF!</v>
      </c>
      <c r="FS203" t="e">
        <f>AND(#REF!,"AAAAADb+364=")</f>
        <v>#REF!</v>
      </c>
      <c r="FT203" t="e">
        <f>AND(#REF!,"AAAAADb+368=")</f>
        <v>#REF!</v>
      </c>
      <c r="FU203" t="e">
        <f>AND(#REF!,"AAAAADb+37A=")</f>
        <v>#REF!</v>
      </c>
      <c r="FV203" t="e">
        <f>AND(#REF!,"AAAAADb+37E=")</f>
        <v>#REF!</v>
      </c>
      <c r="FW203" t="e">
        <f>AND(#REF!,"AAAAADb+37I=")</f>
        <v>#REF!</v>
      </c>
      <c r="FX203" t="e">
        <f>AND(#REF!,"AAAAADb+37M=")</f>
        <v>#REF!</v>
      </c>
      <c r="FY203" t="e">
        <f>AND(#REF!,"AAAAADb+37Q=")</f>
        <v>#REF!</v>
      </c>
      <c r="FZ203" t="e">
        <f>AND(#REF!,"AAAAADb+37U=")</f>
        <v>#REF!</v>
      </c>
      <c r="GA203" t="e">
        <f>AND(#REF!,"AAAAADb+37Y=")</f>
        <v>#REF!</v>
      </c>
      <c r="GB203" t="e">
        <f>AND(#REF!,"AAAAADb+37c=")</f>
        <v>#REF!</v>
      </c>
      <c r="GC203" t="e">
        <f>AND(#REF!,"AAAAADb+37g=")</f>
        <v>#REF!</v>
      </c>
      <c r="GD203" t="e">
        <f>AND(#REF!,"AAAAADb+37k=")</f>
        <v>#REF!</v>
      </c>
      <c r="GE203" t="e">
        <f>AND(#REF!,"AAAAADb+37o=")</f>
        <v>#REF!</v>
      </c>
      <c r="GF203" t="e">
        <f>AND(#REF!,"AAAAADb+37s=")</f>
        <v>#REF!</v>
      </c>
      <c r="GG203" t="e">
        <f>AND(#REF!,"AAAAADb+37w=")</f>
        <v>#REF!</v>
      </c>
      <c r="GH203" t="e">
        <f>AND(#REF!,"AAAAADb+370=")</f>
        <v>#REF!</v>
      </c>
      <c r="GI203" t="e">
        <f>AND(#REF!,"AAAAADb+374=")</f>
        <v>#REF!</v>
      </c>
      <c r="GJ203" t="e">
        <f>AND(#REF!,"AAAAADb+378=")</f>
        <v>#REF!</v>
      </c>
      <c r="GK203" t="e">
        <f>IF(#REF!,"AAAAADb+38A=",0)</f>
        <v>#REF!</v>
      </c>
      <c r="GL203" t="e">
        <f>AND(#REF!,"AAAAADb+38E=")</f>
        <v>#REF!</v>
      </c>
      <c r="GM203" t="e">
        <f>AND(#REF!,"AAAAADb+38I=")</f>
        <v>#REF!</v>
      </c>
      <c r="GN203" t="e">
        <f>AND(#REF!,"AAAAADb+38M=")</f>
        <v>#REF!</v>
      </c>
      <c r="GO203" t="e">
        <f>AND(#REF!,"AAAAADb+38Q=")</f>
        <v>#REF!</v>
      </c>
      <c r="GP203" t="e">
        <f>AND(#REF!,"AAAAADb+38U=")</f>
        <v>#REF!</v>
      </c>
      <c r="GQ203" t="e">
        <f>AND(#REF!,"AAAAADb+38Y=")</f>
        <v>#REF!</v>
      </c>
      <c r="GR203" t="e">
        <f>AND(#REF!,"AAAAADb+38c=")</f>
        <v>#REF!</v>
      </c>
      <c r="GS203" t="e">
        <f>AND(#REF!,"AAAAADb+38g=")</f>
        <v>#REF!</v>
      </c>
      <c r="GT203" t="e">
        <f>AND(#REF!,"AAAAADb+38k=")</f>
        <v>#REF!</v>
      </c>
      <c r="GU203" t="e">
        <f>AND(#REF!,"AAAAADb+38o=")</f>
        <v>#REF!</v>
      </c>
      <c r="GV203" t="e">
        <f>AND(#REF!,"AAAAADb+38s=")</f>
        <v>#REF!</v>
      </c>
      <c r="GW203" t="e">
        <f>AND(#REF!,"AAAAADb+38w=")</f>
        <v>#REF!</v>
      </c>
      <c r="GX203" t="e">
        <f>AND(#REF!,"AAAAADb+380=")</f>
        <v>#REF!</v>
      </c>
      <c r="GY203" t="e">
        <f>AND(#REF!,"AAAAADb+384=")</f>
        <v>#REF!</v>
      </c>
      <c r="GZ203" t="e">
        <f>AND(#REF!,"AAAAADb+388=")</f>
        <v>#REF!</v>
      </c>
      <c r="HA203" t="e">
        <f>AND(#REF!,"AAAAADb+39A=")</f>
        <v>#REF!</v>
      </c>
      <c r="HB203" t="e">
        <f>AND(#REF!,"AAAAADb+39E=")</f>
        <v>#REF!</v>
      </c>
      <c r="HC203" t="e">
        <f>AND(#REF!,"AAAAADb+39I=")</f>
        <v>#REF!</v>
      </c>
      <c r="HD203" t="e">
        <f>AND(#REF!,"AAAAADb+39M=")</f>
        <v>#REF!</v>
      </c>
      <c r="HE203" t="e">
        <f>AND(#REF!,"AAAAADb+39Q=")</f>
        <v>#REF!</v>
      </c>
      <c r="HF203" t="e">
        <f>AND(#REF!,"AAAAADb+39U=")</f>
        <v>#REF!</v>
      </c>
      <c r="HG203" t="e">
        <f>AND(#REF!,"AAAAADb+39Y=")</f>
        <v>#REF!</v>
      </c>
      <c r="HH203" t="e">
        <f>AND(#REF!,"AAAAADb+39c=")</f>
        <v>#REF!</v>
      </c>
      <c r="HI203" t="e">
        <f>AND(#REF!,"AAAAADb+39g=")</f>
        <v>#REF!</v>
      </c>
      <c r="HJ203" t="e">
        <f>IF(#REF!,"AAAAADb+39k=",0)</f>
        <v>#REF!</v>
      </c>
      <c r="HK203" t="e">
        <f>AND(#REF!,"AAAAADb+39o=")</f>
        <v>#REF!</v>
      </c>
      <c r="HL203" t="e">
        <f>AND(#REF!,"AAAAADb+39s=")</f>
        <v>#REF!</v>
      </c>
      <c r="HM203" t="e">
        <f>AND(#REF!,"AAAAADb+39w=")</f>
        <v>#REF!</v>
      </c>
      <c r="HN203" t="e">
        <f>AND(#REF!,"AAAAADb+390=")</f>
        <v>#REF!</v>
      </c>
      <c r="HO203" t="e">
        <f>AND(#REF!,"AAAAADb+394=")</f>
        <v>#REF!</v>
      </c>
      <c r="HP203" t="e">
        <f>AND(#REF!,"AAAAADb+398=")</f>
        <v>#REF!</v>
      </c>
      <c r="HQ203" t="e">
        <f>AND(#REF!,"AAAAADb+3+A=")</f>
        <v>#REF!</v>
      </c>
      <c r="HR203" t="e">
        <f>AND(#REF!,"AAAAADb+3+E=")</f>
        <v>#REF!</v>
      </c>
      <c r="HS203" t="e">
        <f>AND(#REF!,"AAAAADb+3+I=")</f>
        <v>#REF!</v>
      </c>
      <c r="HT203" t="e">
        <f>AND(#REF!,"AAAAADb+3+M=")</f>
        <v>#REF!</v>
      </c>
      <c r="HU203" t="e">
        <f>AND(#REF!,"AAAAADb+3+Q=")</f>
        <v>#REF!</v>
      </c>
      <c r="HV203" t="e">
        <f>AND(#REF!,"AAAAADb+3+U=")</f>
        <v>#REF!</v>
      </c>
      <c r="HW203" t="e">
        <f>AND(#REF!,"AAAAADb+3+Y=")</f>
        <v>#REF!</v>
      </c>
      <c r="HX203" t="e">
        <f>AND(#REF!,"AAAAADb+3+c=")</f>
        <v>#REF!</v>
      </c>
      <c r="HY203" t="e">
        <f>AND(#REF!,"AAAAADb+3+g=")</f>
        <v>#REF!</v>
      </c>
      <c r="HZ203" t="e">
        <f>AND(#REF!,"AAAAADb+3+k=")</f>
        <v>#REF!</v>
      </c>
      <c r="IA203" t="e">
        <f>AND(#REF!,"AAAAADb+3+o=")</f>
        <v>#REF!</v>
      </c>
      <c r="IB203" t="e">
        <f>AND(#REF!,"AAAAADb+3+s=")</f>
        <v>#REF!</v>
      </c>
      <c r="IC203" t="e">
        <f>AND(#REF!,"AAAAADb+3+w=")</f>
        <v>#REF!</v>
      </c>
      <c r="ID203" t="e">
        <f>AND(#REF!,"AAAAADb+3+0=")</f>
        <v>#REF!</v>
      </c>
      <c r="IE203" t="e">
        <f>AND(#REF!,"AAAAADb+3+4=")</f>
        <v>#REF!</v>
      </c>
      <c r="IF203" t="e">
        <f>AND(#REF!,"AAAAADb+3+8=")</f>
        <v>#REF!</v>
      </c>
      <c r="IG203" t="e">
        <f>AND(#REF!,"AAAAADb+3/A=")</f>
        <v>#REF!</v>
      </c>
      <c r="IH203" t="e">
        <f>AND(#REF!,"AAAAADb+3/E=")</f>
        <v>#REF!</v>
      </c>
      <c r="II203" t="e">
        <f>IF(#REF!,"AAAAADb+3/I=",0)</f>
        <v>#REF!</v>
      </c>
      <c r="IJ203" t="e">
        <f>AND(#REF!,"AAAAADb+3/M=")</f>
        <v>#REF!</v>
      </c>
      <c r="IK203" t="e">
        <f>AND(#REF!,"AAAAADb+3/Q=")</f>
        <v>#REF!</v>
      </c>
      <c r="IL203" t="e">
        <f>AND(#REF!,"AAAAADb+3/U=")</f>
        <v>#REF!</v>
      </c>
      <c r="IM203" t="e">
        <f>AND(#REF!,"AAAAADb+3/Y=")</f>
        <v>#REF!</v>
      </c>
      <c r="IN203" t="e">
        <f>AND(#REF!,"AAAAADb+3/c=")</f>
        <v>#REF!</v>
      </c>
      <c r="IO203" t="e">
        <f>AND(#REF!,"AAAAADb+3/g=")</f>
        <v>#REF!</v>
      </c>
      <c r="IP203" t="e">
        <f>AND(#REF!,"AAAAADb+3/k=")</f>
        <v>#REF!</v>
      </c>
      <c r="IQ203" t="e">
        <f>AND(#REF!,"AAAAADb+3/o=")</f>
        <v>#REF!</v>
      </c>
      <c r="IR203" t="e">
        <f>AND(#REF!,"AAAAADb+3/s=")</f>
        <v>#REF!</v>
      </c>
      <c r="IS203" t="e">
        <f>AND(#REF!,"AAAAADb+3/w=")</f>
        <v>#REF!</v>
      </c>
      <c r="IT203" t="e">
        <f>AND(#REF!,"AAAAADb+3/0=")</f>
        <v>#REF!</v>
      </c>
      <c r="IU203" t="e">
        <f>AND(#REF!,"AAAAADb+3/4=")</f>
        <v>#REF!</v>
      </c>
      <c r="IV203" t="e">
        <f>AND(#REF!,"AAAAADb+3/8=")</f>
        <v>#REF!</v>
      </c>
    </row>
    <row r="204" spans="1:256" x14ac:dyDescent="0.25">
      <c r="A204" t="e">
        <f>AND(#REF!,"AAAAAH7/9wA=")</f>
        <v>#REF!</v>
      </c>
      <c r="B204" t="e">
        <f>AND(#REF!,"AAAAAH7/9wE=")</f>
        <v>#REF!</v>
      </c>
      <c r="C204" t="e">
        <f>AND(#REF!,"AAAAAH7/9wI=")</f>
        <v>#REF!</v>
      </c>
      <c r="D204" t="e">
        <f>AND(#REF!,"AAAAAH7/9wM=")</f>
        <v>#REF!</v>
      </c>
      <c r="E204" t="e">
        <f>AND(#REF!,"AAAAAH7/9wQ=")</f>
        <v>#REF!</v>
      </c>
      <c r="F204" t="e">
        <f>AND(#REF!,"AAAAAH7/9wU=")</f>
        <v>#REF!</v>
      </c>
      <c r="G204" t="e">
        <f>AND(#REF!,"AAAAAH7/9wY=")</f>
        <v>#REF!</v>
      </c>
      <c r="H204" t="e">
        <f>AND(#REF!,"AAAAAH7/9wc=")</f>
        <v>#REF!</v>
      </c>
      <c r="I204" t="e">
        <f>AND(#REF!,"AAAAAH7/9wg=")</f>
        <v>#REF!</v>
      </c>
      <c r="J204" t="e">
        <f>AND(#REF!,"AAAAAH7/9wk=")</f>
        <v>#REF!</v>
      </c>
      <c r="K204" t="e">
        <f>AND(#REF!,"AAAAAH7/9wo=")</f>
        <v>#REF!</v>
      </c>
      <c r="L204" t="e">
        <f>IF(#REF!,"AAAAAH7/9ws=",0)</f>
        <v>#REF!</v>
      </c>
      <c r="M204" t="e">
        <f>AND(#REF!,"AAAAAH7/9ww=")</f>
        <v>#REF!</v>
      </c>
      <c r="N204" t="e">
        <f>AND(#REF!,"AAAAAH7/9w0=")</f>
        <v>#REF!</v>
      </c>
      <c r="O204" t="e">
        <f>AND(#REF!,"AAAAAH7/9w4=")</f>
        <v>#REF!</v>
      </c>
      <c r="P204" t="e">
        <f>AND(#REF!,"AAAAAH7/9w8=")</f>
        <v>#REF!</v>
      </c>
      <c r="Q204" t="e">
        <f>AND(#REF!,"AAAAAH7/9xA=")</f>
        <v>#REF!</v>
      </c>
      <c r="R204" t="e">
        <f>AND(#REF!,"AAAAAH7/9xE=")</f>
        <v>#REF!</v>
      </c>
      <c r="S204" t="e">
        <f>AND(#REF!,"AAAAAH7/9xI=")</f>
        <v>#REF!</v>
      </c>
      <c r="T204" t="e">
        <f>AND(#REF!,"AAAAAH7/9xM=")</f>
        <v>#REF!</v>
      </c>
      <c r="U204" t="e">
        <f>AND(#REF!,"AAAAAH7/9xQ=")</f>
        <v>#REF!</v>
      </c>
      <c r="V204" t="e">
        <f>AND(#REF!,"AAAAAH7/9xU=")</f>
        <v>#REF!</v>
      </c>
      <c r="W204" t="e">
        <f>AND(#REF!,"AAAAAH7/9xY=")</f>
        <v>#REF!</v>
      </c>
      <c r="X204" t="e">
        <f>AND(#REF!,"AAAAAH7/9xc=")</f>
        <v>#REF!</v>
      </c>
      <c r="Y204" t="e">
        <f>AND(#REF!,"AAAAAH7/9xg=")</f>
        <v>#REF!</v>
      </c>
      <c r="Z204" t="e">
        <f>AND(#REF!,"AAAAAH7/9xk=")</f>
        <v>#REF!</v>
      </c>
      <c r="AA204" t="e">
        <f>AND(#REF!,"AAAAAH7/9xo=")</f>
        <v>#REF!</v>
      </c>
      <c r="AB204" t="e">
        <f>AND(#REF!,"AAAAAH7/9xs=")</f>
        <v>#REF!</v>
      </c>
      <c r="AC204" t="e">
        <f>AND(#REF!,"AAAAAH7/9xw=")</f>
        <v>#REF!</v>
      </c>
      <c r="AD204" t="e">
        <f>AND(#REF!,"AAAAAH7/9x0=")</f>
        <v>#REF!</v>
      </c>
      <c r="AE204" t="e">
        <f>AND(#REF!,"AAAAAH7/9x4=")</f>
        <v>#REF!</v>
      </c>
      <c r="AF204" t="e">
        <f>AND(#REF!,"AAAAAH7/9x8=")</f>
        <v>#REF!</v>
      </c>
      <c r="AG204" t="e">
        <f>AND(#REF!,"AAAAAH7/9yA=")</f>
        <v>#REF!</v>
      </c>
      <c r="AH204" t="e">
        <f>AND(#REF!,"AAAAAH7/9yE=")</f>
        <v>#REF!</v>
      </c>
      <c r="AI204" t="e">
        <f>AND(#REF!,"AAAAAH7/9yI=")</f>
        <v>#REF!</v>
      </c>
      <c r="AJ204" t="e">
        <f>AND(#REF!,"AAAAAH7/9yM=")</f>
        <v>#REF!</v>
      </c>
      <c r="AK204" t="e">
        <f>IF(#REF!,"AAAAAH7/9yQ=",0)</f>
        <v>#REF!</v>
      </c>
      <c r="AL204" t="e">
        <f>AND(#REF!,"AAAAAH7/9yU=")</f>
        <v>#REF!</v>
      </c>
      <c r="AM204" t="e">
        <f>AND(#REF!,"AAAAAH7/9yY=")</f>
        <v>#REF!</v>
      </c>
      <c r="AN204" t="e">
        <f>AND(#REF!,"AAAAAH7/9yc=")</f>
        <v>#REF!</v>
      </c>
      <c r="AO204" t="e">
        <f>AND(#REF!,"AAAAAH7/9yg=")</f>
        <v>#REF!</v>
      </c>
      <c r="AP204" t="e">
        <f>AND(#REF!,"AAAAAH7/9yk=")</f>
        <v>#REF!</v>
      </c>
      <c r="AQ204" t="e">
        <f>AND(#REF!,"AAAAAH7/9yo=")</f>
        <v>#REF!</v>
      </c>
      <c r="AR204" t="e">
        <f>AND(#REF!,"AAAAAH7/9ys=")</f>
        <v>#REF!</v>
      </c>
      <c r="AS204" t="e">
        <f>AND(#REF!,"AAAAAH7/9yw=")</f>
        <v>#REF!</v>
      </c>
      <c r="AT204" t="e">
        <f>AND(#REF!,"AAAAAH7/9y0=")</f>
        <v>#REF!</v>
      </c>
      <c r="AU204" t="e">
        <f>AND(#REF!,"AAAAAH7/9y4=")</f>
        <v>#REF!</v>
      </c>
      <c r="AV204" t="e">
        <f>AND(#REF!,"AAAAAH7/9y8=")</f>
        <v>#REF!</v>
      </c>
      <c r="AW204" t="e">
        <f>AND(#REF!,"AAAAAH7/9zA=")</f>
        <v>#REF!</v>
      </c>
      <c r="AX204" t="e">
        <f>AND(#REF!,"AAAAAH7/9zE=")</f>
        <v>#REF!</v>
      </c>
      <c r="AY204" t="e">
        <f>AND(#REF!,"AAAAAH7/9zI=")</f>
        <v>#REF!</v>
      </c>
      <c r="AZ204" t="e">
        <f>AND(#REF!,"AAAAAH7/9zM=")</f>
        <v>#REF!</v>
      </c>
      <c r="BA204" t="e">
        <f>AND(#REF!,"AAAAAH7/9zQ=")</f>
        <v>#REF!</v>
      </c>
      <c r="BB204" t="e">
        <f>AND(#REF!,"AAAAAH7/9zU=")</f>
        <v>#REF!</v>
      </c>
      <c r="BC204" t="e">
        <f>AND(#REF!,"AAAAAH7/9zY=")</f>
        <v>#REF!</v>
      </c>
      <c r="BD204" t="e">
        <f>AND(#REF!,"AAAAAH7/9zc=")</f>
        <v>#REF!</v>
      </c>
      <c r="BE204" t="e">
        <f>AND(#REF!,"AAAAAH7/9zg=")</f>
        <v>#REF!</v>
      </c>
      <c r="BF204" t="e">
        <f>AND(#REF!,"AAAAAH7/9zk=")</f>
        <v>#REF!</v>
      </c>
      <c r="BG204" t="e">
        <f>AND(#REF!,"AAAAAH7/9zo=")</f>
        <v>#REF!</v>
      </c>
      <c r="BH204" t="e">
        <f>AND(#REF!,"AAAAAH7/9zs=")</f>
        <v>#REF!</v>
      </c>
      <c r="BI204" t="e">
        <f>AND(#REF!,"AAAAAH7/9zw=")</f>
        <v>#REF!</v>
      </c>
      <c r="BJ204" t="e">
        <f>IF(#REF!,"AAAAAH7/9z0=",0)</f>
        <v>#REF!</v>
      </c>
      <c r="BK204" t="e">
        <f>AND(#REF!,"AAAAAH7/9z4=")</f>
        <v>#REF!</v>
      </c>
      <c r="BL204" t="e">
        <f>AND(#REF!,"AAAAAH7/9z8=")</f>
        <v>#REF!</v>
      </c>
      <c r="BM204" t="e">
        <f>AND(#REF!,"AAAAAH7/90A=")</f>
        <v>#REF!</v>
      </c>
      <c r="BN204" t="e">
        <f>AND(#REF!,"AAAAAH7/90E=")</f>
        <v>#REF!</v>
      </c>
      <c r="BO204" t="e">
        <f>AND(#REF!,"AAAAAH7/90I=")</f>
        <v>#REF!</v>
      </c>
      <c r="BP204" t="e">
        <f>AND(#REF!,"AAAAAH7/90M=")</f>
        <v>#REF!</v>
      </c>
      <c r="BQ204" t="e">
        <f>AND(#REF!,"AAAAAH7/90Q=")</f>
        <v>#REF!</v>
      </c>
      <c r="BR204" t="e">
        <f>AND(#REF!,"AAAAAH7/90U=")</f>
        <v>#REF!</v>
      </c>
      <c r="BS204" t="e">
        <f>AND(#REF!,"AAAAAH7/90Y=")</f>
        <v>#REF!</v>
      </c>
      <c r="BT204" t="e">
        <f>AND(#REF!,"AAAAAH7/90c=")</f>
        <v>#REF!</v>
      </c>
      <c r="BU204" t="e">
        <f>AND(#REF!,"AAAAAH7/90g=")</f>
        <v>#REF!</v>
      </c>
      <c r="BV204" t="e">
        <f>AND(#REF!,"AAAAAH7/90k=")</f>
        <v>#REF!</v>
      </c>
      <c r="BW204" t="e">
        <f>AND(#REF!,"AAAAAH7/90o=")</f>
        <v>#REF!</v>
      </c>
      <c r="BX204" t="e">
        <f>AND(#REF!,"AAAAAH7/90s=")</f>
        <v>#REF!</v>
      </c>
      <c r="BY204" t="e">
        <f>AND(#REF!,"AAAAAH7/90w=")</f>
        <v>#REF!</v>
      </c>
      <c r="BZ204" t="e">
        <f>AND(#REF!,"AAAAAH7/900=")</f>
        <v>#REF!</v>
      </c>
      <c r="CA204" t="e">
        <f>AND(#REF!,"AAAAAH7/904=")</f>
        <v>#REF!</v>
      </c>
      <c r="CB204" t="e">
        <f>AND(#REF!,"AAAAAH7/908=")</f>
        <v>#REF!</v>
      </c>
      <c r="CC204" t="e">
        <f>AND(#REF!,"AAAAAH7/91A=")</f>
        <v>#REF!</v>
      </c>
      <c r="CD204" t="e">
        <f>AND(#REF!,"AAAAAH7/91E=")</f>
        <v>#REF!</v>
      </c>
      <c r="CE204" t="e">
        <f>AND(#REF!,"AAAAAH7/91I=")</f>
        <v>#REF!</v>
      </c>
      <c r="CF204" t="e">
        <f>AND(#REF!,"AAAAAH7/91M=")</f>
        <v>#REF!</v>
      </c>
      <c r="CG204" t="e">
        <f>AND(#REF!,"AAAAAH7/91Q=")</f>
        <v>#REF!</v>
      </c>
      <c r="CH204" t="e">
        <f>AND(#REF!,"AAAAAH7/91U=")</f>
        <v>#REF!</v>
      </c>
      <c r="CI204" t="e">
        <f>IF(#REF!,"AAAAAH7/91Y=",0)</f>
        <v>#REF!</v>
      </c>
      <c r="CJ204" t="e">
        <f>AND(#REF!,"AAAAAH7/91c=")</f>
        <v>#REF!</v>
      </c>
      <c r="CK204" t="e">
        <f>AND(#REF!,"AAAAAH7/91g=")</f>
        <v>#REF!</v>
      </c>
      <c r="CL204" t="e">
        <f>AND(#REF!,"AAAAAH7/91k=")</f>
        <v>#REF!</v>
      </c>
      <c r="CM204" t="e">
        <f>AND(#REF!,"AAAAAH7/91o=")</f>
        <v>#REF!</v>
      </c>
      <c r="CN204" t="e">
        <f>AND(#REF!,"AAAAAH7/91s=")</f>
        <v>#REF!</v>
      </c>
      <c r="CO204" t="e">
        <f>AND(#REF!,"AAAAAH7/91w=")</f>
        <v>#REF!</v>
      </c>
      <c r="CP204" t="e">
        <f>AND(#REF!,"AAAAAH7/910=")</f>
        <v>#REF!</v>
      </c>
      <c r="CQ204" t="e">
        <f>AND(#REF!,"AAAAAH7/914=")</f>
        <v>#REF!</v>
      </c>
      <c r="CR204" t="e">
        <f>AND(#REF!,"AAAAAH7/918=")</f>
        <v>#REF!</v>
      </c>
      <c r="CS204" t="e">
        <f>AND(#REF!,"AAAAAH7/92A=")</f>
        <v>#REF!</v>
      </c>
      <c r="CT204" t="e">
        <f>AND(#REF!,"AAAAAH7/92E=")</f>
        <v>#REF!</v>
      </c>
      <c r="CU204" t="e">
        <f>AND(#REF!,"AAAAAH7/92I=")</f>
        <v>#REF!</v>
      </c>
      <c r="CV204" t="e">
        <f>AND(#REF!,"AAAAAH7/92M=")</f>
        <v>#REF!</v>
      </c>
      <c r="CW204" t="e">
        <f>AND(#REF!,"AAAAAH7/92Q=")</f>
        <v>#REF!</v>
      </c>
      <c r="CX204" t="e">
        <f>AND(#REF!,"AAAAAH7/92U=")</f>
        <v>#REF!</v>
      </c>
      <c r="CY204" t="e">
        <f>AND(#REF!,"AAAAAH7/92Y=")</f>
        <v>#REF!</v>
      </c>
      <c r="CZ204" t="e">
        <f>AND(#REF!,"AAAAAH7/92c=")</f>
        <v>#REF!</v>
      </c>
      <c r="DA204" t="e">
        <f>AND(#REF!,"AAAAAH7/92g=")</f>
        <v>#REF!</v>
      </c>
      <c r="DB204" t="e">
        <f>AND(#REF!,"AAAAAH7/92k=")</f>
        <v>#REF!</v>
      </c>
      <c r="DC204" t="e">
        <f>AND(#REF!,"AAAAAH7/92o=")</f>
        <v>#REF!</v>
      </c>
      <c r="DD204" t="e">
        <f>AND(#REF!,"AAAAAH7/92s=")</f>
        <v>#REF!</v>
      </c>
      <c r="DE204" t="e">
        <f>AND(#REF!,"AAAAAH7/92w=")</f>
        <v>#REF!</v>
      </c>
      <c r="DF204" t="e">
        <f>AND(#REF!,"AAAAAH7/920=")</f>
        <v>#REF!</v>
      </c>
      <c r="DG204" t="e">
        <f>AND(#REF!,"AAAAAH7/924=")</f>
        <v>#REF!</v>
      </c>
      <c r="DH204" t="e">
        <f>IF(#REF!,"AAAAAH7/928=",0)</f>
        <v>#REF!</v>
      </c>
      <c r="DI204" t="e">
        <f>AND(#REF!,"AAAAAH7/93A=")</f>
        <v>#REF!</v>
      </c>
      <c r="DJ204" t="e">
        <f>AND(#REF!,"AAAAAH7/93E=")</f>
        <v>#REF!</v>
      </c>
      <c r="DK204" t="e">
        <f>AND(#REF!,"AAAAAH7/93I=")</f>
        <v>#REF!</v>
      </c>
      <c r="DL204" t="e">
        <f>AND(#REF!,"AAAAAH7/93M=")</f>
        <v>#REF!</v>
      </c>
      <c r="DM204" t="e">
        <f>AND(#REF!,"AAAAAH7/93Q=")</f>
        <v>#REF!</v>
      </c>
      <c r="DN204" t="e">
        <f>AND(#REF!,"AAAAAH7/93U=")</f>
        <v>#REF!</v>
      </c>
      <c r="DO204" t="e">
        <f>AND(#REF!,"AAAAAH7/93Y=")</f>
        <v>#REF!</v>
      </c>
      <c r="DP204" t="e">
        <f>AND(#REF!,"AAAAAH7/93c=")</f>
        <v>#REF!</v>
      </c>
      <c r="DQ204" t="e">
        <f>AND(#REF!,"AAAAAH7/93g=")</f>
        <v>#REF!</v>
      </c>
      <c r="DR204" t="e">
        <f>AND(#REF!,"AAAAAH7/93k=")</f>
        <v>#REF!</v>
      </c>
      <c r="DS204" t="e">
        <f>AND(#REF!,"AAAAAH7/93o=")</f>
        <v>#REF!</v>
      </c>
      <c r="DT204" t="e">
        <f>AND(#REF!,"AAAAAH7/93s=")</f>
        <v>#REF!</v>
      </c>
      <c r="DU204" t="e">
        <f>AND(#REF!,"AAAAAH7/93w=")</f>
        <v>#REF!</v>
      </c>
      <c r="DV204" t="e">
        <f>AND(#REF!,"AAAAAH7/930=")</f>
        <v>#REF!</v>
      </c>
      <c r="DW204" t="e">
        <f>AND(#REF!,"AAAAAH7/934=")</f>
        <v>#REF!</v>
      </c>
      <c r="DX204" t="e">
        <f>AND(#REF!,"AAAAAH7/938=")</f>
        <v>#REF!</v>
      </c>
      <c r="DY204" t="e">
        <f>AND(#REF!,"AAAAAH7/94A=")</f>
        <v>#REF!</v>
      </c>
      <c r="DZ204" t="e">
        <f>AND(#REF!,"AAAAAH7/94E=")</f>
        <v>#REF!</v>
      </c>
      <c r="EA204" t="e">
        <f>AND(#REF!,"AAAAAH7/94I=")</f>
        <v>#REF!</v>
      </c>
      <c r="EB204" t="e">
        <f>AND(#REF!,"AAAAAH7/94M=")</f>
        <v>#REF!</v>
      </c>
      <c r="EC204" t="e">
        <f>AND(#REF!,"AAAAAH7/94Q=")</f>
        <v>#REF!</v>
      </c>
      <c r="ED204" t="e">
        <f>AND(#REF!,"AAAAAH7/94U=")</f>
        <v>#REF!</v>
      </c>
      <c r="EE204" t="e">
        <f>AND(#REF!,"AAAAAH7/94Y=")</f>
        <v>#REF!</v>
      </c>
      <c r="EF204" t="e">
        <f>AND(#REF!,"AAAAAH7/94c=")</f>
        <v>#REF!</v>
      </c>
      <c r="EG204" t="e">
        <f>IF(#REF!,"AAAAAH7/94g=",0)</f>
        <v>#REF!</v>
      </c>
      <c r="EH204" t="e">
        <f>AND(#REF!,"AAAAAH7/94k=")</f>
        <v>#REF!</v>
      </c>
      <c r="EI204" t="e">
        <f>AND(#REF!,"AAAAAH7/94o=")</f>
        <v>#REF!</v>
      </c>
      <c r="EJ204" t="e">
        <f>AND(#REF!,"AAAAAH7/94s=")</f>
        <v>#REF!</v>
      </c>
      <c r="EK204" t="e">
        <f>AND(#REF!,"AAAAAH7/94w=")</f>
        <v>#REF!</v>
      </c>
      <c r="EL204" t="e">
        <f>AND(#REF!,"AAAAAH7/940=")</f>
        <v>#REF!</v>
      </c>
      <c r="EM204" t="e">
        <f>AND(#REF!,"AAAAAH7/944=")</f>
        <v>#REF!</v>
      </c>
      <c r="EN204" t="e">
        <f>AND(#REF!,"AAAAAH7/948=")</f>
        <v>#REF!</v>
      </c>
      <c r="EO204" t="e">
        <f>AND(#REF!,"AAAAAH7/95A=")</f>
        <v>#REF!</v>
      </c>
      <c r="EP204" t="e">
        <f>AND(#REF!,"AAAAAH7/95E=")</f>
        <v>#REF!</v>
      </c>
      <c r="EQ204" t="e">
        <f>AND(#REF!,"AAAAAH7/95I=")</f>
        <v>#REF!</v>
      </c>
      <c r="ER204" t="e">
        <f>AND(#REF!,"AAAAAH7/95M=")</f>
        <v>#REF!</v>
      </c>
      <c r="ES204" t="e">
        <f>AND(#REF!,"AAAAAH7/95Q=")</f>
        <v>#REF!</v>
      </c>
      <c r="ET204" t="e">
        <f>AND(#REF!,"AAAAAH7/95U=")</f>
        <v>#REF!</v>
      </c>
      <c r="EU204" t="e">
        <f>AND(#REF!,"AAAAAH7/95Y=")</f>
        <v>#REF!</v>
      </c>
      <c r="EV204" t="e">
        <f>AND(#REF!,"AAAAAH7/95c=")</f>
        <v>#REF!</v>
      </c>
      <c r="EW204" t="e">
        <f>AND(#REF!,"AAAAAH7/95g=")</f>
        <v>#REF!</v>
      </c>
      <c r="EX204" t="e">
        <f>AND(#REF!,"AAAAAH7/95k=")</f>
        <v>#REF!</v>
      </c>
      <c r="EY204" t="e">
        <f>AND(#REF!,"AAAAAH7/95o=")</f>
        <v>#REF!</v>
      </c>
      <c r="EZ204" t="e">
        <f>AND(#REF!,"AAAAAH7/95s=")</f>
        <v>#REF!</v>
      </c>
      <c r="FA204" t="e">
        <f>AND(#REF!,"AAAAAH7/95w=")</f>
        <v>#REF!</v>
      </c>
      <c r="FB204" t="e">
        <f>AND(#REF!,"AAAAAH7/950=")</f>
        <v>#REF!</v>
      </c>
      <c r="FC204" t="e">
        <f>AND(#REF!,"AAAAAH7/954=")</f>
        <v>#REF!</v>
      </c>
      <c r="FD204" t="e">
        <f>AND(#REF!,"AAAAAH7/958=")</f>
        <v>#REF!</v>
      </c>
      <c r="FE204" t="e">
        <f>AND(#REF!,"AAAAAH7/96A=")</f>
        <v>#REF!</v>
      </c>
      <c r="FF204" t="e">
        <f>IF(#REF!,"AAAAAH7/96E=",0)</f>
        <v>#REF!</v>
      </c>
      <c r="FG204" t="e">
        <f>AND(#REF!,"AAAAAH7/96I=")</f>
        <v>#REF!</v>
      </c>
      <c r="FH204" t="e">
        <f>AND(#REF!,"AAAAAH7/96M=")</f>
        <v>#REF!</v>
      </c>
      <c r="FI204" t="e">
        <f>AND(#REF!,"AAAAAH7/96Q=")</f>
        <v>#REF!</v>
      </c>
      <c r="FJ204" t="e">
        <f>AND(#REF!,"AAAAAH7/96U=")</f>
        <v>#REF!</v>
      </c>
      <c r="FK204" t="e">
        <f>AND(#REF!,"AAAAAH7/96Y=")</f>
        <v>#REF!</v>
      </c>
      <c r="FL204" t="e">
        <f>AND(#REF!,"AAAAAH7/96c=")</f>
        <v>#REF!</v>
      </c>
      <c r="FM204" t="e">
        <f>AND(#REF!,"AAAAAH7/96g=")</f>
        <v>#REF!</v>
      </c>
      <c r="FN204" t="e">
        <f>AND(#REF!,"AAAAAH7/96k=")</f>
        <v>#REF!</v>
      </c>
      <c r="FO204" t="e">
        <f>AND(#REF!,"AAAAAH7/96o=")</f>
        <v>#REF!</v>
      </c>
      <c r="FP204" t="e">
        <f>AND(#REF!,"AAAAAH7/96s=")</f>
        <v>#REF!</v>
      </c>
      <c r="FQ204" t="e">
        <f>AND(#REF!,"AAAAAH7/96w=")</f>
        <v>#REF!</v>
      </c>
      <c r="FR204" t="e">
        <f>AND(#REF!,"AAAAAH7/960=")</f>
        <v>#REF!</v>
      </c>
      <c r="FS204" t="e">
        <f>AND(#REF!,"AAAAAH7/964=")</f>
        <v>#REF!</v>
      </c>
      <c r="FT204" t="e">
        <f>AND(#REF!,"AAAAAH7/968=")</f>
        <v>#REF!</v>
      </c>
      <c r="FU204" t="e">
        <f>AND(#REF!,"AAAAAH7/97A=")</f>
        <v>#REF!</v>
      </c>
      <c r="FV204" t="e">
        <f>AND(#REF!,"AAAAAH7/97E=")</f>
        <v>#REF!</v>
      </c>
      <c r="FW204" t="e">
        <f>AND(#REF!,"AAAAAH7/97I=")</f>
        <v>#REF!</v>
      </c>
      <c r="FX204" t="e">
        <f>AND(#REF!,"AAAAAH7/97M=")</f>
        <v>#REF!</v>
      </c>
      <c r="FY204" t="e">
        <f>AND(#REF!,"AAAAAH7/97Q=")</f>
        <v>#REF!</v>
      </c>
      <c r="FZ204" t="e">
        <f>AND(#REF!,"AAAAAH7/97U=")</f>
        <v>#REF!</v>
      </c>
      <c r="GA204" t="e">
        <f>AND(#REF!,"AAAAAH7/97Y=")</f>
        <v>#REF!</v>
      </c>
      <c r="GB204" t="e">
        <f>AND(#REF!,"AAAAAH7/97c=")</f>
        <v>#REF!</v>
      </c>
      <c r="GC204" t="e">
        <f>AND(#REF!,"AAAAAH7/97g=")</f>
        <v>#REF!</v>
      </c>
      <c r="GD204" t="e">
        <f>AND(#REF!,"AAAAAH7/97k=")</f>
        <v>#REF!</v>
      </c>
      <c r="GE204" t="e">
        <f>IF(#REF!,"AAAAAH7/97o=",0)</f>
        <v>#REF!</v>
      </c>
      <c r="GF204" t="e">
        <f>AND(#REF!,"AAAAAH7/97s=")</f>
        <v>#REF!</v>
      </c>
      <c r="GG204" t="e">
        <f>AND(#REF!,"AAAAAH7/97w=")</f>
        <v>#REF!</v>
      </c>
      <c r="GH204" t="e">
        <f>AND(#REF!,"AAAAAH7/970=")</f>
        <v>#REF!</v>
      </c>
      <c r="GI204" t="e">
        <f>AND(#REF!,"AAAAAH7/974=")</f>
        <v>#REF!</v>
      </c>
      <c r="GJ204" t="e">
        <f>AND(#REF!,"AAAAAH7/978=")</f>
        <v>#REF!</v>
      </c>
      <c r="GK204" t="e">
        <f>AND(#REF!,"AAAAAH7/98A=")</f>
        <v>#REF!</v>
      </c>
      <c r="GL204" t="e">
        <f>AND(#REF!,"AAAAAH7/98E=")</f>
        <v>#REF!</v>
      </c>
      <c r="GM204" t="e">
        <f>AND(#REF!,"AAAAAH7/98I=")</f>
        <v>#REF!</v>
      </c>
      <c r="GN204" t="e">
        <f>AND(#REF!,"AAAAAH7/98M=")</f>
        <v>#REF!</v>
      </c>
      <c r="GO204" t="e">
        <f>AND(#REF!,"AAAAAH7/98Q=")</f>
        <v>#REF!</v>
      </c>
      <c r="GP204" t="e">
        <f>AND(#REF!,"AAAAAH7/98U=")</f>
        <v>#REF!</v>
      </c>
      <c r="GQ204" t="e">
        <f>AND(#REF!,"AAAAAH7/98Y=")</f>
        <v>#REF!</v>
      </c>
      <c r="GR204" t="e">
        <f>AND(#REF!,"AAAAAH7/98c=")</f>
        <v>#REF!</v>
      </c>
      <c r="GS204" t="e">
        <f>AND(#REF!,"AAAAAH7/98g=")</f>
        <v>#REF!</v>
      </c>
      <c r="GT204" t="e">
        <f>AND(#REF!,"AAAAAH7/98k=")</f>
        <v>#REF!</v>
      </c>
      <c r="GU204" t="e">
        <f>AND(#REF!,"AAAAAH7/98o=")</f>
        <v>#REF!</v>
      </c>
      <c r="GV204" t="e">
        <f>AND(#REF!,"AAAAAH7/98s=")</f>
        <v>#REF!</v>
      </c>
      <c r="GW204" t="e">
        <f>AND(#REF!,"AAAAAH7/98w=")</f>
        <v>#REF!</v>
      </c>
      <c r="GX204" t="e">
        <f>AND(#REF!,"AAAAAH7/980=")</f>
        <v>#REF!</v>
      </c>
      <c r="GY204" t="e">
        <f>AND(#REF!,"AAAAAH7/984=")</f>
        <v>#REF!</v>
      </c>
      <c r="GZ204" t="e">
        <f>AND(#REF!,"AAAAAH7/988=")</f>
        <v>#REF!</v>
      </c>
      <c r="HA204" t="e">
        <f>AND(#REF!,"AAAAAH7/99A=")</f>
        <v>#REF!</v>
      </c>
      <c r="HB204" t="e">
        <f>AND(#REF!,"AAAAAH7/99E=")</f>
        <v>#REF!</v>
      </c>
      <c r="HC204" t="e">
        <f>AND(#REF!,"AAAAAH7/99I=")</f>
        <v>#REF!</v>
      </c>
      <c r="HD204" t="e">
        <f>IF(#REF!,"AAAAAH7/99M=",0)</f>
        <v>#REF!</v>
      </c>
      <c r="HE204" t="e">
        <f>AND(#REF!,"AAAAAH7/99Q=")</f>
        <v>#REF!</v>
      </c>
      <c r="HF204" t="e">
        <f>AND(#REF!,"AAAAAH7/99U=")</f>
        <v>#REF!</v>
      </c>
      <c r="HG204" t="e">
        <f>AND(#REF!,"AAAAAH7/99Y=")</f>
        <v>#REF!</v>
      </c>
      <c r="HH204" t="e">
        <f>AND(#REF!,"AAAAAH7/99c=")</f>
        <v>#REF!</v>
      </c>
      <c r="HI204" t="e">
        <f>AND(#REF!,"AAAAAH7/99g=")</f>
        <v>#REF!</v>
      </c>
      <c r="HJ204" t="e">
        <f>AND(#REF!,"AAAAAH7/99k=")</f>
        <v>#REF!</v>
      </c>
      <c r="HK204" t="e">
        <f>AND(#REF!,"AAAAAH7/99o=")</f>
        <v>#REF!</v>
      </c>
      <c r="HL204" t="e">
        <f>AND(#REF!,"AAAAAH7/99s=")</f>
        <v>#REF!</v>
      </c>
      <c r="HM204" t="e">
        <f>AND(#REF!,"AAAAAH7/99w=")</f>
        <v>#REF!</v>
      </c>
      <c r="HN204" t="e">
        <f>AND(#REF!,"AAAAAH7/990=")</f>
        <v>#REF!</v>
      </c>
      <c r="HO204" t="e">
        <f>AND(#REF!,"AAAAAH7/994=")</f>
        <v>#REF!</v>
      </c>
      <c r="HP204" t="e">
        <f>AND(#REF!,"AAAAAH7/998=")</f>
        <v>#REF!</v>
      </c>
      <c r="HQ204" t="e">
        <f>AND(#REF!,"AAAAAH7/9+A=")</f>
        <v>#REF!</v>
      </c>
      <c r="HR204" t="e">
        <f>AND(#REF!,"AAAAAH7/9+E=")</f>
        <v>#REF!</v>
      </c>
      <c r="HS204" t="e">
        <f>AND(#REF!,"AAAAAH7/9+I=")</f>
        <v>#REF!</v>
      </c>
      <c r="HT204" t="e">
        <f>AND(#REF!,"AAAAAH7/9+M=")</f>
        <v>#REF!</v>
      </c>
      <c r="HU204" t="e">
        <f>AND(#REF!,"AAAAAH7/9+Q=")</f>
        <v>#REF!</v>
      </c>
      <c r="HV204" t="e">
        <f>AND(#REF!,"AAAAAH7/9+U=")</f>
        <v>#REF!</v>
      </c>
      <c r="HW204" t="e">
        <f>AND(#REF!,"AAAAAH7/9+Y=")</f>
        <v>#REF!</v>
      </c>
      <c r="HX204" t="e">
        <f>AND(#REF!,"AAAAAH7/9+c=")</f>
        <v>#REF!</v>
      </c>
      <c r="HY204" t="e">
        <f>AND(#REF!,"AAAAAH7/9+g=")</f>
        <v>#REF!</v>
      </c>
      <c r="HZ204" t="e">
        <f>AND(#REF!,"AAAAAH7/9+k=")</f>
        <v>#REF!</v>
      </c>
      <c r="IA204" t="e">
        <f>AND(#REF!,"AAAAAH7/9+o=")</f>
        <v>#REF!</v>
      </c>
      <c r="IB204" t="e">
        <f>AND(#REF!,"AAAAAH7/9+s=")</f>
        <v>#REF!</v>
      </c>
      <c r="IC204" t="e">
        <f>IF(#REF!,"AAAAAH7/9+w=",0)</f>
        <v>#REF!</v>
      </c>
      <c r="ID204" t="e">
        <f>AND(#REF!,"AAAAAH7/9+0=")</f>
        <v>#REF!</v>
      </c>
      <c r="IE204" t="e">
        <f>AND(#REF!,"AAAAAH7/9+4=")</f>
        <v>#REF!</v>
      </c>
      <c r="IF204" t="e">
        <f>AND(#REF!,"AAAAAH7/9+8=")</f>
        <v>#REF!</v>
      </c>
      <c r="IG204" t="e">
        <f>AND(#REF!,"AAAAAH7/9/A=")</f>
        <v>#REF!</v>
      </c>
      <c r="IH204" t="e">
        <f>AND(#REF!,"AAAAAH7/9/E=")</f>
        <v>#REF!</v>
      </c>
      <c r="II204" t="e">
        <f>AND(#REF!,"AAAAAH7/9/I=")</f>
        <v>#REF!</v>
      </c>
      <c r="IJ204" t="e">
        <f>AND(#REF!,"AAAAAH7/9/M=")</f>
        <v>#REF!</v>
      </c>
      <c r="IK204" t="e">
        <f>AND(#REF!,"AAAAAH7/9/Q=")</f>
        <v>#REF!</v>
      </c>
      <c r="IL204" t="e">
        <f>AND(#REF!,"AAAAAH7/9/U=")</f>
        <v>#REF!</v>
      </c>
      <c r="IM204" t="e">
        <f>AND(#REF!,"AAAAAH7/9/Y=")</f>
        <v>#REF!</v>
      </c>
      <c r="IN204" t="e">
        <f>AND(#REF!,"AAAAAH7/9/c=")</f>
        <v>#REF!</v>
      </c>
      <c r="IO204" t="e">
        <f>AND(#REF!,"AAAAAH7/9/g=")</f>
        <v>#REF!</v>
      </c>
      <c r="IP204" t="e">
        <f>AND(#REF!,"AAAAAH7/9/k=")</f>
        <v>#REF!</v>
      </c>
      <c r="IQ204" t="e">
        <f>AND(#REF!,"AAAAAH7/9/o=")</f>
        <v>#REF!</v>
      </c>
      <c r="IR204" t="e">
        <f>AND(#REF!,"AAAAAH7/9/s=")</f>
        <v>#REF!</v>
      </c>
      <c r="IS204" t="e">
        <f>AND(#REF!,"AAAAAH7/9/w=")</f>
        <v>#REF!</v>
      </c>
      <c r="IT204" t="e">
        <f>AND(#REF!,"AAAAAH7/9/0=")</f>
        <v>#REF!</v>
      </c>
      <c r="IU204" t="e">
        <f>AND(#REF!,"AAAAAH7/9/4=")</f>
        <v>#REF!</v>
      </c>
      <c r="IV204" t="e">
        <f>AND(#REF!,"AAAAAH7/9/8=")</f>
        <v>#REF!</v>
      </c>
    </row>
    <row r="205" spans="1:256" x14ac:dyDescent="0.25">
      <c r="A205" t="e">
        <f>AND(#REF!,"AAAAABHf+wA=")</f>
        <v>#REF!</v>
      </c>
      <c r="B205" t="e">
        <f>AND(#REF!,"AAAAABHf+wE=")</f>
        <v>#REF!</v>
      </c>
      <c r="C205" t="e">
        <f>AND(#REF!,"AAAAABHf+wI=")</f>
        <v>#REF!</v>
      </c>
      <c r="D205" t="e">
        <f>AND(#REF!,"AAAAABHf+wM=")</f>
        <v>#REF!</v>
      </c>
      <c r="E205" t="e">
        <f>AND(#REF!,"AAAAABHf+wQ=")</f>
        <v>#REF!</v>
      </c>
      <c r="F205" t="e">
        <f>IF(#REF!,"AAAAABHf+wU=",0)</f>
        <v>#REF!</v>
      </c>
      <c r="G205" t="e">
        <f>AND(#REF!,"AAAAABHf+wY=")</f>
        <v>#REF!</v>
      </c>
      <c r="H205" t="e">
        <f>AND(#REF!,"AAAAABHf+wc=")</f>
        <v>#REF!</v>
      </c>
      <c r="I205" t="e">
        <f>AND(#REF!,"AAAAABHf+wg=")</f>
        <v>#REF!</v>
      </c>
      <c r="J205" t="e">
        <f>AND(#REF!,"AAAAABHf+wk=")</f>
        <v>#REF!</v>
      </c>
      <c r="K205" t="e">
        <f>AND(#REF!,"AAAAABHf+wo=")</f>
        <v>#REF!</v>
      </c>
      <c r="L205" t="e">
        <f>AND(#REF!,"AAAAABHf+ws=")</f>
        <v>#REF!</v>
      </c>
      <c r="M205" t="e">
        <f>AND(#REF!,"AAAAABHf+ww=")</f>
        <v>#REF!</v>
      </c>
      <c r="N205" t="e">
        <f>AND(#REF!,"AAAAABHf+w0=")</f>
        <v>#REF!</v>
      </c>
      <c r="O205" t="e">
        <f>AND(#REF!,"AAAAABHf+w4=")</f>
        <v>#REF!</v>
      </c>
      <c r="P205" t="e">
        <f>AND(#REF!,"AAAAABHf+w8=")</f>
        <v>#REF!</v>
      </c>
      <c r="Q205" t="e">
        <f>AND(#REF!,"AAAAABHf+xA=")</f>
        <v>#REF!</v>
      </c>
      <c r="R205" t="e">
        <f>AND(#REF!,"AAAAABHf+xE=")</f>
        <v>#REF!</v>
      </c>
      <c r="S205" t="e">
        <f>AND(#REF!,"AAAAABHf+xI=")</f>
        <v>#REF!</v>
      </c>
      <c r="T205" t="e">
        <f>AND(#REF!,"AAAAABHf+xM=")</f>
        <v>#REF!</v>
      </c>
      <c r="U205" t="e">
        <f>AND(#REF!,"AAAAABHf+xQ=")</f>
        <v>#REF!</v>
      </c>
      <c r="V205" t="e">
        <f>AND(#REF!,"AAAAABHf+xU=")</f>
        <v>#REF!</v>
      </c>
      <c r="W205" t="e">
        <f>AND(#REF!,"AAAAABHf+xY=")</f>
        <v>#REF!</v>
      </c>
      <c r="X205" t="e">
        <f>AND(#REF!,"AAAAABHf+xc=")</f>
        <v>#REF!</v>
      </c>
      <c r="Y205" t="e">
        <f>AND(#REF!,"AAAAABHf+xg=")</f>
        <v>#REF!</v>
      </c>
      <c r="Z205" t="e">
        <f>AND(#REF!,"AAAAABHf+xk=")</f>
        <v>#REF!</v>
      </c>
      <c r="AA205" t="e">
        <f>AND(#REF!,"AAAAABHf+xo=")</f>
        <v>#REF!</v>
      </c>
      <c r="AB205" t="e">
        <f>AND(#REF!,"AAAAABHf+xs=")</f>
        <v>#REF!</v>
      </c>
      <c r="AC205" t="e">
        <f>AND(#REF!,"AAAAABHf+xw=")</f>
        <v>#REF!</v>
      </c>
      <c r="AD205" t="e">
        <f>AND(#REF!,"AAAAABHf+x0=")</f>
        <v>#REF!</v>
      </c>
      <c r="AE205" t="e">
        <f>IF(#REF!,"AAAAABHf+x4=",0)</f>
        <v>#REF!</v>
      </c>
      <c r="AF205" t="e">
        <f>AND(#REF!,"AAAAABHf+x8=")</f>
        <v>#REF!</v>
      </c>
      <c r="AG205" t="e">
        <f>AND(#REF!,"AAAAABHf+yA=")</f>
        <v>#REF!</v>
      </c>
      <c r="AH205" t="e">
        <f>AND(#REF!,"AAAAABHf+yE=")</f>
        <v>#REF!</v>
      </c>
      <c r="AI205" t="e">
        <f>AND(#REF!,"AAAAABHf+yI=")</f>
        <v>#REF!</v>
      </c>
      <c r="AJ205" t="e">
        <f>AND(#REF!,"AAAAABHf+yM=")</f>
        <v>#REF!</v>
      </c>
      <c r="AK205" t="e">
        <f>AND(#REF!,"AAAAABHf+yQ=")</f>
        <v>#REF!</v>
      </c>
      <c r="AL205" t="e">
        <f>AND(#REF!,"AAAAABHf+yU=")</f>
        <v>#REF!</v>
      </c>
      <c r="AM205" t="e">
        <f>AND(#REF!,"AAAAABHf+yY=")</f>
        <v>#REF!</v>
      </c>
      <c r="AN205" t="e">
        <f>AND(#REF!,"AAAAABHf+yc=")</f>
        <v>#REF!</v>
      </c>
      <c r="AO205" t="e">
        <f>AND(#REF!,"AAAAABHf+yg=")</f>
        <v>#REF!</v>
      </c>
      <c r="AP205" t="e">
        <f>AND(#REF!,"AAAAABHf+yk=")</f>
        <v>#REF!</v>
      </c>
      <c r="AQ205" t="e">
        <f>AND(#REF!,"AAAAABHf+yo=")</f>
        <v>#REF!</v>
      </c>
      <c r="AR205" t="e">
        <f>AND(#REF!,"AAAAABHf+ys=")</f>
        <v>#REF!</v>
      </c>
      <c r="AS205" t="e">
        <f>AND(#REF!,"AAAAABHf+yw=")</f>
        <v>#REF!</v>
      </c>
      <c r="AT205" t="e">
        <f>AND(#REF!,"AAAAABHf+y0=")</f>
        <v>#REF!</v>
      </c>
      <c r="AU205" t="e">
        <f>AND(#REF!,"AAAAABHf+y4=")</f>
        <v>#REF!</v>
      </c>
      <c r="AV205" t="e">
        <f>AND(#REF!,"AAAAABHf+y8=")</f>
        <v>#REF!</v>
      </c>
      <c r="AW205" t="e">
        <f>AND(#REF!,"AAAAABHf+zA=")</f>
        <v>#REF!</v>
      </c>
      <c r="AX205" t="e">
        <f>AND(#REF!,"AAAAABHf+zE=")</f>
        <v>#REF!</v>
      </c>
      <c r="AY205" t="e">
        <f>AND(#REF!,"AAAAABHf+zI=")</f>
        <v>#REF!</v>
      </c>
      <c r="AZ205" t="e">
        <f>AND(#REF!,"AAAAABHf+zM=")</f>
        <v>#REF!</v>
      </c>
      <c r="BA205" t="e">
        <f>AND(#REF!,"AAAAABHf+zQ=")</f>
        <v>#REF!</v>
      </c>
      <c r="BB205" t="e">
        <f>AND(#REF!,"AAAAABHf+zU=")</f>
        <v>#REF!</v>
      </c>
      <c r="BC205" t="e">
        <f>AND(#REF!,"AAAAABHf+zY=")</f>
        <v>#REF!</v>
      </c>
      <c r="BD205" t="e">
        <f>IF(#REF!,"AAAAABHf+zc=",0)</f>
        <v>#REF!</v>
      </c>
      <c r="BE205" t="e">
        <f>AND(#REF!,"AAAAABHf+zg=")</f>
        <v>#REF!</v>
      </c>
      <c r="BF205" t="e">
        <f>AND(#REF!,"AAAAABHf+zk=")</f>
        <v>#REF!</v>
      </c>
      <c r="BG205" t="e">
        <f>AND(#REF!,"AAAAABHf+zo=")</f>
        <v>#REF!</v>
      </c>
      <c r="BH205" t="e">
        <f>AND(#REF!,"AAAAABHf+zs=")</f>
        <v>#REF!</v>
      </c>
      <c r="BI205" t="e">
        <f>AND(#REF!,"AAAAABHf+zw=")</f>
        <v>#REF!</v>
      </c>
      <c r="BJ205" t="e">
        <f>AND(#REF!,"AAAAABHf+z0=")</f>
        <v>#REF!</v>
      </c>
      <c r="BK205" t="e">
        <f>AND(#REF!,"AAAAABHf+z4=")</f>
        <v>#REF!</v>
      </c>
      <c r="BL205" t="e">
        <f>AND(#REF!,"AAAAABHf+z8=")</f>
        <v>#REF!</v>
      </c>
      <c r="BM205" t="e">
        <f>AND(#REF!,"AAAAABHf+0A=")</f>
        <v>#REF!</v>
      </c>
      <c r="BN205" t="e">
        <f>AND(#REF!,"AAAAABHf+0E=")</f>
        <v>#REF!</v>
      </c>
      <c r="BO205" t="e">
        <f>AND(#REF!,"AAAAABHf+0I=")</f>
        <v>#REF!</v>
      </c>
      <c r="BP205" t="e">
        <f>AND(#REF!,"AAAAABHf+0M=")</f>
        <v>#REF!</v>
      </c>
      <c r="BQ205" t="e">
        <f>AND(#REF!,"AAAAABHf+0Q=")</f>
        <v>#REF!</v>
      </c>
      <c r="BR205" t="e">
        <f>AND(#REF!,"AAAAABHf+0U=")</f>
        <v>#REF!</v>
      </c>
      <c r="BS205" t="e">
        <f>AND(#REF!,"AAAAABHf+0Y=")</f>
        <v>#REF!</v>
      </c>
      <c r="BT205" t="e">
        <f>AND(#REF!,"AAAAABHf+0c=")</f>
        <v>#REF!</v>
      </c>
      <c r="BU205" t="e">
        <f>AND(#REF!,"AAAAABHf+0g=")</f>
        <v>#REF!</v>
      </c>
      <c r="BV205" t="e">
        <f>AND(#REF!,"AAAAABHf+0k=")</f>
        <v>#REF!</v>
      </c>
      <c r="BW205" t="e">
        <f>AND(#REF!,"AAAAABHf+0o=")</f>
        <v>#REF!</v>
      </c>
      <c r="BX205" t="e">
        <f>AND(#REF!,"AAAAABHf+0s=")</f>
        <v>#REF!</v>
      </c>
      <c r="BY205" t="e">
        <f>AND(#REF!,"AAAAABHf+0w=")</f>
        <v>#REF!</v>
      </c>
      <c r="BZ205" t="e">
        <f>AND(#REF!,"AAAAABHf+00=")</f>
        <v>#REF!</v>
      </c>
      <c r="CA205" t="e">
        <f>AND(#REF!,"AAAAABHf+04=")</f>
        <v>#REF!</v>
      </c>
      <c r="CB205" t="e">
        <f>AND(#REF!,"AAAAABHf+08=")</f>
        <v>#REF!</v>
      </c>
      <c r="CC205" t="e">
        <f>IF(#REF!,"AAAAABHf+1A=",0)</f>
        <v>#REF!</v>
      </c>
      <c r="CD205" t="e">
        <f>AND(#REF!,"AAAAABHf+1E=")</f>
        <v>#REF!</v>
      </c>
      <c r="CE205" t="e">
        <f>AND(#REF!,"AAAAABHf+1I=")</f>
        <v>#REF!</v>
      </c>
      <c r="CF205" t="e">
        <f>AND(#REF!,"AAAAABHf+1M=")</f>
        <v>#REF!</v>
      </c>
      <c r="CG205" t="e">
        <f>AND(#REF!,"AAAAABHf+1Q=")</f>
        <v>#REF!</v>
      </c>
      <c r="CH205" t="e">
        <f>AND(#REF!,"AAAAABHf+1U=")</f>
        <v>#REF!</v>
      </c>
      <c r="CI205" t="e">
        <f>AND(#REF!,"AAAAABHf+1Y=")</f>
        <v>#REF!</v>
      </c>
      <c r="CJ205" t="e">
        <f>AND(#REF!,"AAAAABHf+1c=")</f>
        <v>#REF!</v>
      </c>
      <c r="CK205" t="e">
        <f>AND(#REF!,"AAAAABHf+1g=")</f>
        <v>#REF!</v>
      </c>
      <c r="CL205" t="e">
        <f>AND(#REF!,"AAAAABHf+1k=")</f>
        <v>#REF!</v>
      </c>
      <c r="CM205" t="e">
        <f>AND(#REF!,"AAAAABHf+1o=")</f>
        <v>#REF!</v>
      </c>
      <c r="CN205" t="e">
        <f>AND(#REF!,"AAAAABHf+1s=")</f>
        <v>#REF!</v>
      </c>
      <c r="CO205" t="e">
        <f>AND(#REF!,"AAAAABHf+1w=")</f>
        <v>#REF!</v>
      </c>
      <c r="CP205" t="e">
        <f>AND(#REF!,"AAAAABHf+10=")</f>
        <v>#REF!</v>
      </c>
      <c r="CQ205" t="e">
        <f>AND(#REF!,"AAAAABHf+14=")</f>
        <v>#REF!</v>
      </c>
      <c r="CR205" t="e">
        <f>AND(#REF!,"AAAAABHf+18=")</f>
        <v>#REF!</v>
      </c>
      <c r="CS205" t="e">
        <f>AND(#REF!,"AAAAABHf+2A=")</f>
        <v>#REF!</v>
      </c>
      <c r="CT205" t="e">
        <f>AND(#REF!,"AAAAABHf+2E=")</f>
        <v>#REF!</v>
      </c>
      <c r="CU205" t="e">
        <f>AND(#REF!,"AAAAABHf+2I=")</f>
        <v>#REF!</v>
      </c>
      <c r="CV205" t="e">
        <f>AND(#REF!,"AAAAABHf+2M=")</f>
        <v>#REF!</v>
      </c>
      <c r="CW205" t="e">
        <f>AND(#REF!,"AAAAABHf+2Q=")</f>
        <v>#REF!</v>
      </c>
      <c r="CX205" t="e">
        <f>AND(#REF!,"AAAAABHf+2U=")</f>
        <v>#REF!</v>
      </c>
      <c r="CY205" t="e">
        <f>AND(#REF!,"AAAAABHf+2Y=")</f>
        <v>#REF!</v>
      </c>
      <c r="CZ205" t="e">
        <f>AND(#REF!,"AAAAABHf+2c=")</f>
        <v>#REF!</v>
      </c>
      <c r="DA205" t="e">
        <f>AND(#REF!,"AAAAABHf+2g=")</f>
        <v>#REF!</v>
      </c>
      <c r="DB205" t="e">
        <f>IF(#REF!,"AAAAABHf+2k=",0)</f>
        <v>#REF!</v>
      </c>
      <c r="DC205" t="e">
        <f>AND(#REF!,"AAAAABHf+2o=")</f>
        <v>#REF!</v>
      </c>
      <c r="DD205" t="e">
        <f>AND(#REF!,"AAAAABHf+2s=")</f>
        <v>#REF!</v>
      </c>
      <c r="DE205" t="e">
        <f>AND(#REF!,"AAAAABHf+2w=")</f>
        <v>#REF!</v>
      </c>
      <c r="DF205" t="e">
        <f>AND(#REF!,"AAAAABHf+20=")</f>
        <v>#REF!</v>
      </c>
      <c r="DG205" t="e">
        <f>AND(#REF!,"AAAAABHf+24=")</f>
        <v>#REF!</v>
      </c>
      <c r="DH205" t="e">
        <f>AND(#REF!,"AAAAABHf+28=")</f>
        <v>#REF!</v>
      </c>
      <c r="DI205" t="e">
        <f>AND(#REF!,"AAAAABHf+3A=")</f>
        <v>#REF!</v>
      </c>
      <c r="DJ205" t="e">
        <f>AND(#REF!,"AAAAABHf+3E=")</f>
        <v>#REF!</v>
      </c>
      <c r="DK205" t="e">
        <f>AND(#REF!,"AAAAABHf+3I=")</f>
        <v>#REF!</v>
      </c>
      <c r="DL205" t="e">
        <f>AND(#REF!,"AAAAABHf+3M=")</f>
        <v>#REF!</v>
      </c>
      <c r="DM205" t="e">
        <f>AND(#REF!,"AAAAABHf+3Q=")</f>
        <v>#REF!</v>
      </c>
      <c r="DN205" t="e">
        <f>AND(#REF!,"AAAAABHf+3U=")</f>
        <v>#REF!</v>
      </c>
      <c r="DO205" t="e">
        <f>AND(#REF!,"AAAAABHf+3Y=")</f>
        <v>#REF!</v>
      </c>
      <c r="DP205" t="e">
        <f>AND(#REF!,"AAAAABHf+3c=")</f>
        <v>#REF!</v>
      </c>
      <c r="DQ205" t="e">
        <f>AND(#REF!,"AAAAABHf+3g=")</f>
        <v>#REF!</v>
      </c>
      <c r="DR205" t="e">
        <f>AND(#REF!,"AAAAABHf+3k=")</f>
        <v>#REF!</v>
      </c>
      <c r="DS205" t="e">
        <f>AND(#REF!,"AAAAABHf+3o=")</f>
        <v>#REF!</v>
      </c>
      <c r="DT205" t="e">
        <f>AND(#REF!,"AAAAABHf+3s=")</f>
        <v>#REF!</v>
      </c>
      <c r="DU205" t="e">
        <f>AND(#REF!,"AAAAABHf+3w=")</f>
        <v>#REF!</v>
      </c>
      <c r="DV205" t="e">
        <f>AND(#REF!,"AAAAABHf+30=")</f>
        <v>#REF!</v>
      </c>
      <c r="DW205" t="e">
        <f>AND(#REF!,"AAAAABHf+34=")</f>
        <v>#REF!</v>
      </c>
      <c r="DX205" t="e">
        <f>AND(#REF!,"AAAAABHf+38=")</f>
        <v>#REF!</v>
      </c>
      <c r="DY205" t="e">
        <f>AND(#REF!,"AAAAABHf+4A=")</f>
        <v>#REF!</v>
      </c>
      <c r="DZ205" t="e">
        <f>AND(#REF!,"AAAAABHf+4E=")</f>
        <v>#REF!</v>
      </c>
      <c r="EA205" t="e">
        <f>IF(#REF!,"AAAAABHf+4I=",0)</f>
        <v>#REF!</v>
      </c>
      <c r="EB205" t="e">
        <f>AND(#REF!,"AAAAABHf+4M=")</f>
        <v>#REF!</v>
      </c>
      <c r="EC205" t="e">
        <f>AND(#REF!,"AAAAABHf+4Q=")</f>
        <v>#REF!</v>
      </c>
      <c r="ED205" t="e">
        <f>AND(#REF!,"AAAAABHf+4U=")</f>
        <v>#REF!</v>
      </c>
      <c r="EE205" t="e">
        <f>AND(#REF!,"AAAAABHf+4Y=")</f>
        <v>#REF!</v>
      </c>
      <c r="EF205" t="e">
        <f>AND(#REF!,"AAAAABHf+4c=")</f>
        <v>#REF!</v>
      </c>
      <c r="EG205" t="e">
        <f>AND(#REF!,"AAAAABHf+4g=")</f>
        <v>#REF!</v>
      </c>
      <c r="EH205" t="e">
        <f>AND(#REF!,"AAAAABHf+4k=")</f>
        <v>#REF!</v>
      </c>
      <c r="EI205" t="e">
        <f>AND(#REF!,"AAAAABHf+4o=")</f>
        <v>#REF!</v>
      </c>
      <c r="EJ205" t="e">
        <f>AND(#REF!,"AAAAABHf+4s=")</f>
        <v>#REF!</v>
      </c>
      <c r="EK205" t="e">
        <f>AND(#REF!,"AAAAABHf+4w=")</f>
        <v>#REF!</v>
      </c>
      <c r="EL205" t="e">
        <f>AND(#REF!,"AAAAABHf+40=")</f>
        <v>#REF!</v>
      </c>
      <c r="EM205" t="e">
        <f>AND(#REF!,"AAAAABHf+44=")</f>
        <v>#REF!</v>
      </c>
      <c r="EN205" t="e">
        <f>AND(#REF!,"AAAAABHf+48=")</f>
        <v>#REF!</v>
      </c>
      <c r="EO205" t="e">
        <f>AND(#REF!,"AAAAABHf+5A=")</f>
        <v>#REF!</v>
      </c>
      <c r="EP205" t="e">
        <f>AND(#REF!,"AAAAABHf+5E=")</f>
        <v>#REF!</v>
      </c>
      <c r="EQ205" t="e">
        <f>AND(#REF!,"AAAAABHf+5I=")</f>
        <v>#REF!</v>
      </c>
      <c r="ER205" t="e">
        <f>AND(#REF!,"AAAAABHf+5M=")</f>
        <v>#REF!</v>
      </c>
      <c r="ES205" t="e">
        <f>AND(#REF!,"AAAAABHf+5Q=")</f>
        <v>#REF!</v>
      </c>
      <c r="ET205" t="e">
        <f>AND(#REF!,"AAAAABHf+5U=")</f>
        <v>#REF!</v>
      </c>
      <c r="EU205" t="e">
        <f>AND(#REF!,"AAAAABHf+5Y=")</f>
        <v>#REF!</v>
      </c>
      <c r="EV205" t="e">
        <f>AND(#REF!,"AAAAABHf+5c=")</f>
        <v>#REF!</v>
      </c>
      <c r="EW205" t="e">
        <f>AND(#REF!,"AAAAABHf+5g=")</f>
        <v>#REF!</v>
      </c>
      <c r="EX205" t="e">
        <f>AND(#REF!,"AAAAABHf+5k=")</f>
        <v>#REF!</v>
      </c>
      <c r="EY205" t="e">
        <f>AND(#REF!,"AAAAABHf+5o=")</f>
        <v>#REF!</v>
      </c>
      <c r="EZ205" t="e">
        <f>IF(#REF!,"AAAAABHf+5s=",0)</f>
        <v>#REF!</v>
      </c>
      <c r="FA205" t="e">
        <f>AND(#REF!,"AAAAABHf+5w=")</f>
        <v>#REF!</v>
      </c>
      <c r="FB205" t="e">
        <f>AND(#REF!,"AAAAABHf+50=")</f>
        <v>#REF!</v>
      </c>
      <c r="FC205" t="e">
        <f>AND(#REF!,"AAAAABHf+54=")</f>
        <v>#REF!</v>
      </c>
      <c r="FD205" t="e">
        <f>AND(#REF!,"AAAAABHf+58=")</f>
        <v>#REF!</v>
      </c>
      <c r="FE205" t="e">
        <f>AND(#REF!,"AAAAABHf+6A=")</f>
        <v>#REF!</v>
      </c>
      <c r="FF205" t="e">
        <f>AND(#REF!,"AAAAABHf+6E=")</f>
        <v>#REF!</v>
      </c>
      <c r="FG205" t="e">
        <f>AND(#REF!,"AAAAABHf+6I=")</f>
        <v>#REF!</v>
      </c>
      <c r="FH205" t="e">
        <f>AND(#REF!,"AAAAABHf+6M=")</f>
        <v>#REF!</v>
      </c>
      <c r="FI205" t="e">
        <f>AND(#REF!,"AAAAABHf+6Q=")</f>
        <v>#REF!</v>
      </c>
      <c r="FJ205" t="e">
        <f>AND(#REF!,"AAAAABHf+6U=")</f>
        <v>#REF!</v>
      </c>
      <c r="FK205" t="e">
        <f>AND(#REF!,"AAAAABHf+6Y=")</f>
        <v>#REF!</v>
      </c>
      <c r="FL205" t="e">
        <f>AND(#REF!,"AAAAABHf+6c=")</f>
        <v>#REF!</v>
      </c>
      <c r="FM205" t="e">
        <f>AND(#REF!,"AAAAABHf+6g=")</f>
        <v>#REF!</v>
      </c>
      <c r="FN205" t="e">
        <f>AND(#REF!,"AAAAABHf+6k=")</f>
        <v>#REF!</v>
      </c>
      <c r="FO205" t="e">
        <f>AND(#REF!,"AAAAABHf+6o=")</f>
        <v>#REF!</v>
      </c>
      <c r="FP205" t="e">
        <f>AND(#REF!,"AAAAABHf+6s=")</f>
        <v>#REF!</v>
      </c>
      <c r="FQ205" t="e">
        <f>AND(#REF!,"AAAAABHf+6w=")</f>
        <v>#REF!</v>
      </c>
      <c r="FR205" t="e">
        <f>AND(#REF!,"AAAAABHf+60=")</f>
        <v>#REF!</v>
      </c>
      <c r="FS205" t="e">
        <f>AND(#REF!,"AAAAABHf+64=")</f>
        <v>#REF!</v>
      </c>
      <c r="FT205" t="e">
        <f>AND(#REF!,"AAAAABHf+68=")</f>
        <v>#REF!</v>
      </c>
      <c r="FU205" t="e">
        <f>AND(#REF!,"AAAAABHf+7A=")</f>
        <v>#REF!</v>
      </c>
      <c r="FV205" t="e">
        <f>AND(#REF!,"AAAAABHf+7E=")</f>
        <v>#REF!</v>
      </c>
      <c r="FW205" t="e">
        <f>AND(#REF!,"AAAAABHf+7I=")</f>
        <v>#REF!</v>
      </c>
      <c r="FX205" t="e">
        <f>AND(#REF!,"AAAAABHf+7M=")</f>
        <v>#REF!</v>
      </c>
      <c r="FY205" t="e">
        <f>IF(#REF!,"AAAAABHf+7Q=",0)</f>
        <v>#REF!</v>
      </c>
      <c r="FZ205" t="e">
        <f>AND(#REF!,"AAAAABHf+7U=")</f>
        <v>#REF!</v>
      </c>
      <c r="GA205" t="e">
        <f>AND(#REF!,"AAAAABHf+7Y=")</f>
        <v>#REF!</v>
      </c>
      <c r="GB205" t="e">
        <f>AND(#REF!,"AAAAABHf+7c=")</f>
        <v>#REF!</v>
      </c>
      <c r="GC205" t="e">
        <f>AND(#REF!,"AAAAABHf+7g=")</f>
        <v>#REF!</v>
      </c>
      <c r="GD205" t="e">
        <f>AND(#REF!,"AAAAABHf+7k=")</f>
        <v>#REF!</v>
      </c>
      <c r="GE205" t="e">
        <f>AND(#REF!,"AAAAABHf+7o=")</f>
        <v>#REF!</v>
      </c>
      <c r="GF205" t="e">
        <f>AND(#REF!,"AAAAABHf+7s=")</f>
        <v>#REF!</v>
      </c>
      <c r="GG205" t="e">
        <f>AND(#REF!,"AAAAABHf+7w=")</f>
        <v>#REF!</v>
      </c>
      <c r="GH205" t="e">
        <f>AND(#REF!,"AAAAABHf+70=")</f>
        <v>#REF!</v>
      </c>
      <c r="GI205" t="e">
        <f>AND(#REF!,"AAAAABHf+74=")</f>
        <v>#REF!</v>
      </c>
      <c r="GJ205" t="e">
        <f>AND(#REF!,"AAAAABHf+78=")</f>
        <v>#REF!</v>
      </c>
      <c r="GK205" t="e">
        <f>AND(#REF!,"AAAAABHf+8A=")</f>
        <v>#REF!</v>
      </c>
      <c r="GL205" t="e">
        <f>AND(#REF!,"AAAAABHf+8E=")</f>
        <v>#REF!</v>
      </c>
      <c r="GM205" t="e">
        <f>AND(#REF!,"AAAAABHf+8I=")</f>
        <v>#REF!</v>
      </c>
      <c r="GN205" t="e">
        <f>AND(#REF!,"AAAAABHf+8M=")</f>
        <v>#REF!</v>
      </c>
      <c r="GO205" t="e">
        <f>AND(#REF!,"AAAAABHf+8Q=")</f>
        <v>#REF!</v>
      </c>
      <c r="GP205" t="e">
        <f>AND(#REF!,"AAAAABHf+8U=")</f>
        <v>#REF!</v>
      </c>
      <c r="GQ205" t="e">
        <f>AND(#REF!,"AAAAABHf+8Y=")</f>
        <v>#REF!</v>
      </c>
      <c r="GR205" t="e">
        <f>AND(#REF!,"AAAAABHf+8c=")</f>
        <v>#REF!</v>
      </c>
      <c r="GS205" t="e">
        <f>AND(#REF!,"AAAAABHf+8g=")</f>
        <v>#REF!</v>
      </c>
      <c r="GT205" t="e">
        <f>AND(#REF!,"AAAAABHf+8k=")</f>
        <v>#REF!</v>
      </c>
      <c r="GU205" t="e">
        <f>AND(#REF!,"AAAAABHf+8o=")</f>
        <v>#REF!</v>
      </c>
      <c r="GV205" t="e">
        <f>AND(#REF!,"AAAAABHf+8s=")</f>
        <v>#REF!</v>
      </c>
      <c r="GW205" t="e">
        <f>AND(#REF!,"AAAAABHf+8w=")</f>
        <v>#REF!</v>
      </c>
      <c r="GX205" t="e">
        <f>IF(#REF!,"AAAAABHf+80=",0)</f>
        <v>#REF!</v>
      </c>
      <c r="GY205" t="e">
        <f>AND(#REF!,"AAAAABHf+84=")</f>
        <v>#REF!</v>
      </c>
      <c r="GZ205" t="e">
        <f>AND(#REF!,"AAAAABHf+88=")</f>
        <v>#REF!</v>
      </c>
      <c r="HA205" t="e">
        <f>AND(#REF!,"AAAAABHf+9A=")</f>
        <v>#REF!</v>
      </c>
      <c r="HB205" t="e">
        <f>AND(#REF!,"AAAAABHf+9E=")</f>
        <v>#REF!</v>
      </c>
      <c r="HC205" t="e">
        <f>AND(#REF!,"AAAAABHf+9I=")</f>
        <v>#REF!</v>
      </c>
      <c r="HD205" t="e">
        <f>AND(#REF!,"AAAAABHf+9M=")</f>
        <v>#REF!</v>
      </c>
      <c r="HE205" t="e">
        <f>AND(#REF!,"AAAAABHf+9Q=")</f>
        <v>#REF!</v>
      </c>
      <c r="HF205" t="e">
        <f>AND(#REF!,"AAAAABHf+9U=")</f>
        <v>#REF!</v>
      </c>
      <c r="HG205" t="e">
        <f>AND(#REF!,"AAAAABHf+9Y=")</f>
        <v>#REF!</v>
      </c>
      <c r="HH205" t="e">
        <f>AND(#REF!,"AAAAABHf+9c=")</f>
        <v>#REF!</v>
      </c>
      <c r="HI205" t="e">
        <f>AND(#REF!,"AAAAABHf+9g=")</f>
        <v>#REF!</v>
      </c>
      <c r="HJ205" t="e">
        <f>AND(#REF!,"AAAAABHf+9k=")</f>
        <v>#REF!</v>
      </c>
      <c r="HK205" t="e">
        <f>AND(#REF!,"AAAAABHf+9o=")</f>
        <v>#REF!</v>
      </c>
      <c r="HL205" t="e">
        <f>AND(#REF!,"AAAAABHf+9s=")</f>
        <v>#REF!</v>
      </c>
      <c r="HM205" t="e">
        <f>AND(#REF!,"AAAAABHf+9w=")</f>
        <v>#REF!</v>
      </c>
      <c r="HN205" t="e">
        <f>AND(#REF!,"AAAAABHf+90=")</f>
        <v>#REF!</v>
      </c>
      <c r="HO205" t="e">
        <f>AND(#REF!,"AAAAABHf+94=")</f>
        <v>#REF!</v>
      </c>
      <c r="HP205" t="e">
        <f>AND(#REF!,"AAAAABHf+98=")</f>
        <v>#REF!</v>
      </c>
      <c r="HQ205" t="e">
        <f>AND(#REF!,"AAAAABHf++A=")</f>
        <v>#REF!</v>
      </c>
      <c r="HR205" t="e">
        <f>AND(#REF!,"AAAAABHf++E=")</f>
        <v>#REF!</v>
      </c>
      <c r="HS205" t="e">
        <f>AND(#REF!,"AAAAABHf++I=")</f>
        <v>#REF!</v>
      </c>
      <c r="HT205" t="e">
        <f>AND(#REF!,"AAAAABHf++M=")</f>
        <v>#REF!</v>
      </c>
      <c r="HU205" t="e">
        <f>AND(#REF!,"AAAAABHf++Q=")</f>
        <v>#REF!</v>
      </c>
      <c r="HV205" t="e">
        <f>AND(#REF!,"AAAAABHf++U=")</f>
        <v>#REF!</v>
      </c>
      <c r="HW205" t="e">
        <f>IF(#REF!,"AAAAABHf++Y=",0)</f>
        <v>#REF!</v>
      </c>
      <c r="HX205" t="e">
        <f>AND(#REF!,"AAAAABHf++c=")</f>
        <v>#REF!</v>
      </c>
      <c r="HY205" t="e">
        <f>AND(#REF!,"AAAAABHf++g=")</f>
        <v>#REF!</v>
      </c>
      <c r="HZ205" t="e">
        <f>AND(#REF!,"AAAAABHf++k=")</f>
        <v>#REF!</v>
      </c>
      <c r="IA205" t="e">
        <f>AND(#REF!,"AAAAABHf++o=")</f>
        <v>#REF!</v>
      </c>
      <c r="IB205" t="e">
        <f>AND(#REF!,"AAAAABHf++s=")</f>
        <v>#REF!</v>
      </c>
      <c r="IC205" t="e">
        <f>AND(#REF!,"AAAAABHf++w=")</f>
        <v>#REF!</v>
      </c>
      <c r="ID205" t="e">
        <f>AND(#REF!,"AAAAABHf++0=")</f>
        <v>#REF!</v>
      </c>
      <c r="IE205" t="e">
        <f>AND(#REF!,"AAAAABHf++4=")</f>
        <v>#REF!</v>
      </c>
      <c r="IF205" t="e">
        <f>AND(#REF!,"AAAAABHf++8=")</f>
        <v>#REF!</v>
      </c>
      <c r="IG205" t="e">
        <f>AND(#REF!,"AAAAABHf+/A=")</f>
        <v>#REF!</v>
      </c>
      <c r="IH205" t="e">
        <f>AND(#REF!,"AAAAABHf+/E=")</f>
        <v>#REF!</v>
      </c>
      <c r="II205" t="e">
        <f>AND(#REF!,"AAAAABHf+/I=")</f>
        <v>#REF!</v>
      </c>
      <c r="IJ205" t="e">
        <f>AND(#REF!,"AAAAABHf+/M=")</f>
        <v>#REF!</v>
      </c>
      <c r="IK205" t="e">
        <f>AND(#REF!,"AAAAABHf+/Q=")</f>
        <v>#REF!</v>
      </c>
      <c r="IL205" t="e">
        <f>AND(#REF!,"AAAAABHf+/U=")</f>
        <v>#REF!</v>
      </c>
      <c r="IM205" t="e">
        <f>AND(#REF!,"AAAAABHf+/Y=")</f>
        <v>#REF!</v>
      </c>
      <c r="IN205" t="e">
        <f>AND(#REF!,"AAAAABHf+/c=")</f>
        <v>#REF!</v>
      </c>
      <c r="IO205" t="e">
        <f>AND(#REF!,"AAAAABHf+/g=")</f>
        <v>#REF!</v>
      </c>
      <c r="IP205" t="e">
        <f>AND(#REF!,"AAAAABHf+/k=")</f>
        <v>#REF!</v>
      </c>
      <c r="IQ205" t="e">
        <f>AND(#REF!,"AAAAABHf+/o=")</f>
        <v>#REF!</v>
      </c>
      <c r="IR205" t="e">
        <f>AND(#REF!,"AAAAABHf+/s=")</f>
        <v>#REF!</v>
      </c>
      <c r="IS205" t="e">
        <f>AND(#REF!,"AAAAABHf+/w=")</f>
        <v>#REF!</v>
      </c>
      <c r="IT205" t="e">
        <f>AND(#REF!,"AAAAABHf+/0=")</f>
        <v>#REF!</v>
      </c>
      <c r="IU205" t="e">
        <f>AND(#REF!,"AAAAABHf+/4=")</f>
        <v>#REF!</v>
      </c>
      <c r="IV205" t="e">
        <f>IF(#REF!,"AAAAABHf+/8=",0)</f>
        <v>#REF!</v>
      </c>
    </row>
    <row r="206" spans="1:256" x14ac:dyDescent="0.25">
      <c r="A206" t="e">
        <f>AND(#REF!,"AAAAAF3f1gA=")</f>
        <v>#REF!</v>
      </c>
      <c r="B206" t="e">
        <f>AND(#REF!,"AAAAAF3f1gE=")</f>
        <v>#REF!</v>
      </c>
      <c r="C206" t="e">
        <f>AND(#REF!,"AAAAAF3f1gI=")</f>
        <v>#REF!</v>
      </c>
      <c r="D206" t="e">
        <f>AND(#REF!,"AAAAAF3f1gM=")</f>
        <v>#REF!</v>
      </c>
      <c r="E206" t="e">
        <f>AND(#REF!,"AAAAAF3f1gQ=")</f>
        <v>#REF!</v>
      </c>
      <c r="F206" t="e">
        <f>AND(#REF!,"AAAAAF3f1gU=")</f>
        <v>#REF!</v>
      </c>
      <c r="G206" t="e">
        <f>AND(#REF!,"AAAAAF3f1gY=")</f>
        <v>#REF!</v>
      </c>
      <c r="H206" t="e">
        <f>AND(#REF!,"AAAAAF3f1gc=")</f>
        <v>#REF!</v>
      </c>
      <c r="I206" t="e">
        <f>AND(#REF!,"AAAAAF3f1gg=")</f>
        <v>#REF!</v>
      </c>
      <c r="J206" t="e">
        <f>AND(#REF!,"AAAAAF3f1gk=")</f>
        <v>#REF!</v>
      </c>
      <c r="K206" t="e">
        <f>AND(#REF!,"AAAAAF3f1go=")</f>
        <v>#REF!</v>
      </c>
      <c r="L206" t="e">
        <f>AND(#REF!,"AAAAAF3f1gs=")</f>
        <v>#REF!</v>
      </c>
      <c r="M206" t="e">
        <f>AND(#REF!,"AAAAAF3f1gw=")</f>
        <v>#REF!</v>
      </c>
      <c r="N206" t="e">
        <f>AND(#REF!,"AAAAAF3f1g0=")</f>
        <v>#REF!</v>
      </c>
      <c r="O206" t="e">
        <f>AND(#REF!,"AAAAAF3f1g4=")</f>
        <v>#REF!</v>
      </c>
      <c r="P206" t="e">
        <f>AND(#REF!,"AAAAAF3f1g8=")</f>
        <v>#REF!</v>
      </c>
      <c r="Q206" t="e">
        <f>AND(#REF!,"AAAAAF3f1hA=")</f>
        <v>#REF!</v>
      </c>
      <c r="R206" t="e">
        <f>AND(#REF!,"AAAAAF3f1hE=")</f>
        <v>#REF!</v>
      </c>
      <c r="S206" t="e">
        <f>AND(#REF!,"AAAAAF3f1hI=")</f>
        <v>#REF!</v>
      </c>
      <c r="T206" t="e">
        <f>AND(#REF!,"AAAAAF3f1hM=")</f>
        <v>#REF!</v>
      </c>
      <c r="U206" t="e">
        <f>AND(#REF!,"AAAAAF3f1hQ=")</f>
        <v>#REF!</v>
      </c>
      <c r="V206" t="e">
        <f>AND(#REF!,"AAAAAF3f1hU=")</f>
        <v>#REF!</v>
      </c>
      <c r="W206" t="e">
        <f>AND(#REF!,"AAAAAF3f1hY=")</f>
        <v>#REF!</v>
      </c>
      <c r="X206" t="e">
        <f>AND(#REF!,"AAAAAF3f1hc=")</f>
        <v>#REF!</v>
      </c>
      <c r="Y206" t="e">
        <f>IF(#REF!,"AAAAAF3f1hg=",0)</f>
        <v>#REF!</v>
      </c>
      <c r="Z206" t="e">
        <f>AND(#REF!,"AAAAAF3f1hk=")</f>
        <v>#REF!</v>
      </c>
      <c r="AA206" t="e">
        <f>AND(#REF!,"AAAAAF3f1ho=")</f>
        <v>#REF!</v>
      </c>
      <c r="AB206" t="e">
        <f>AND(#REF!,"AAAAAF3f1hs=")</f>
        <v>#REF!</v>
      </c>
      <c r="AC206" t="e">
        <f>AND(#REF!,"AAAAAF3f1hw=")</f>
        <v>#REF!</v>
      </c>
      <c r="AD206" t="e">
        <f>AND(#REF!,"AAAAAF3f1h0=")</f>
        <v>#REF!</v>
      </c>
      <c r="AE206" t="e">
        <f>AND(#REF!,"AAAAAF3f1h4=")</f>
        <v>#REF!</v>
      </c>
      <c r="AF206" t="e">
        <f>AND(#REF!,"AAAAAF3f1h8=")</f>
        <v>#REF!</v>
      </c>
      <c r="AG206" t="e">
        <f>AND(#REF!,"AAAAAF3f1iA=")</f>
        <v>#REF!</v>
      </c>
      <c r="AH206" t="e">
        <f>AND(#REF!,"AAAAAF3f1iE=")</f>
        <v>#REF!</v>
      </c>
      <c r="AI206" t="e">
        <f>AND(#REF!,"AAAAAF3f1iI=")</f>
        <v>#REF!</v>
      </c>
      <c r="AJ206" t="e">
        <f>AND(#REF!,"AAAAAF3f1iM=")</f>
        <v>#REF!</v>
      </c>
      <c r="AK206" t="e">
        <f>AND(#REF!,"AAAAAF3f1iQ=")</f>
        <v>#REF!</v>
      </c>
      <c r="AL206" t="e">
        <f>AND(#REF!,"AAAAAF3f1iU=")</f>
        <v>#REF!</v>
      </c>
      <c r="AM206" t="e">
        <f>AND(#REF!,"AAAAAF3f1iY=")</f>
        <v>#REF!</v>
      </c>
      <c r="AN206" t="e">
        <f>AND(#REF!,"AAAAAF3f1ic=")</f>
        <v>#REF!</v>
      </c>
      <c r="AO206" t="e">
        <f>AND(#REF!,"AAAAAF3f1ig=")</f>
        <v>#REF!</v>
      </c>
      <c r="AP206" t="e">
        <f>AND(#REF!,"AAAAAF3f1ik=")</f>
        <v>#REF!</v>
      </c>
      <c r="AQ206" t="e">
        <f>AND(#REF!,"AAAAAF3f1io=")</f>
        <v>#REF!</v>
      </c>
      <c r="AR206" t="e">
        <f>AND(#REF!,"AAAAAF3f1is=")</f>
        <v>#REF!</v>
      </c>
      <c r="AS206" t="e">
        <f>AND(#REF!,"AAAAAF3f1iw=")</f>
        <v>#REF!</v>
      </c>
      <c r="AT206" t="e">
        <f>AND(#REF!,"AAAAAF3f1i0=")</f>
        <v>#REF!</v>
      </c>
      <c r="AU206" t="e">
        <f>AND(#REF!,"AAAAAF3f1i4=")</f>
        <v>#REF!</v>
      </c>
      <c r="AV206" t="e">
        <f>AND(#REF!,"AAAAAF3f1i8=")</f>
        <v>#REF!</v>
      </c>
      <c r="AW206" t="e">
        <f>AND(#REF!,"AAAAAF3f1jA=")</f>
        <v>#REF!</v>
      </c>
      <c r="AX206" t="e">
        <f>IF(#REF!,"AAAAAF3f1jE=",0)</f>
        <v>#REF!</v>
      </c>
      <c r="AY206" t="e">
        <f>AND(#REF!,"AAAAAF3f1jI=")</f>
        <v>#REF!</v>
      </c>
      <c r="AZ206" t="e">
        <f>AND(#REF!,"AAAAAF3f1jM=")</f>
        <v>#REF!</v>
      </c>
      <c r="BA206" t="e">
        <f>AND(#REF!,"AAAAAF3f1jQ=")</f>
        <v>#REF!</v>
      </c>
      <c r="BB206" t="e">
        <f>AND(#REF!,"AAAAAF3f1jU=")</f>
        <v>#REF!</v>
      </c>
      <c r="BC206" t="e">
        <f>AND(#REF!,"AAAAAF3f1jY=")</f>
        <v>#REF!</v>
      </c>
      <c r="BD206" t="e">
        <f>AND(#REF!,"AAAAAF3f1jc=")</f>
        <v>#REF!</v>
      </c>
      <c r="BE206" t="e">
        <f>AND(#REF!,"AAAAAF3f1jg=")</f>
        <v>#REF!</v>
      </c>
      <c r="BF206" t="e">
        <f>AND(#REF!,"AAAAAF3f1jk=")</f>
        <v>#REF!</v>
      </c>
      <c r="BG206" t="e">
        <f>AND(#REF!,"AAAAAF3f1jo=")</f>
        <v>#REF!</v>
      </c>
      <c r="BH206" t="e">
        <f>AND(#REF!,"AAAAAF3f1js=")</f>
        <v>#REF!</v>
      </c>
      <c r="BI206" t="e">
        <f>AND(#REF!,"AAAAAF3f1jw=")</f>
        <v>#REF!</v>
      </c>
      <c r="BJ206" t="e">
        <f>AND(#REF!,"AAAAAF3f1j0=")</f>
        <v>#REF!</v>
      </c>
      <c r="BK206" t="e">
        <f>AND(#REF!,"AAAAAF3f1j4=")</f>
        <v>#REF!</v>
      </c>
      <c r="BL206" t="e">
        <f>AND(#REF!,"AAAAAF3f1j8=")</f>
        <v>#REF!</v>
      </c>
      <c r="BM206" t="e">
        <f>AND(#REF!,"AAAAAF3f1kA=")</f>
        <v>#REF!</v>
      </c>
      <c r="BN206" t="e">
        <f>AND(#REF!,"AAAAAF3f1kE=")</f>
        <v>#REF!</v>
      </c>
      <c r="BO206" t="e">
        <f>AND(#REF!,"AAAAAF3f1kI=")</f>
        <v>#REF!</v>
      </c>
      <c r="BP206" t="e">
        <f>AND(#REF!,"AAAAAF3f1kM=")</f>
        <v>#REF!</v>
      </c>
      <c r="BQ206" t="e">
        <f>AND(#REF!,"AAAAAF3f1kQ=")</f>
        <v>#REF!</v>
      </c>
      <c r="BR206" t="e">
        <f>AND(#REF!,"AAAAAF3f1kU=")</f>
        <v>#REF!</v>
      </c>
      <c r="BS206" t="e">
        <f>AND(#REF!,"AAAAAF3f1kY=")</f>
        <v>#REF!</v>
      </c>
      <c r="BT206" t="e">
        <f>AND(#REF!,"AAAAAF3f1kc=")</f>
        <v>#REF!</v>
      </c>
      <c r="BU206" t="e">
        <f>AND(#REF!,"AAAAAF3f1kg=")</f>
        <v>#REF!</v>
      </c>
      <c r="BV206" t="e">
        <f>AND(#REF!,"AAAAAF3f1kk=")</f>
        <v>#REF!</v>
      </c>
      <c r="BW206" t="e">
        <f>IF(#REF!,"AAAAAF3f1ko=",0)</f>
        <v>#REF!</v>
      </c>
      <c r="BX206" t="e">
        <f>AND(#REF!,"AAAAAF3f1ks=")</f>
        <v>#REF!</v>
      </c>
      <c r="BY206" t="e">
        <f>AND(#REF!,"AAAAAF3f1kw=")</f>
        <v>#REF!</v>
      </c>
      <c r="BZ206" t="e">
        <f>AND(#REF!,"AAAAAF3f1k0=")</f>
        <v>#REF!</v>
      </c>
      <c r="CA206" t="e">
        <f>AND(#REF!,"AAAAAF3f1k4=")</f>
        <v>#REF!</v>
      </c>
      <c r="CB206" t="e">
        <f>AND(#REF!,"AAAAAF3f1k8=")</f>
        <v>#REF!</v>
      </c>
      <c r="CC206" t="e">
        <f>AND(#REF!,"AAAAAF3f1lA=")</f>
        <v>#REF!</v>
      </c>
      <c r="CD206" t="e">
        <f>AND(#REF!,"AAAAAF3f1lE=")</f>
        <v>#REF!</v>
      </c>
      <c r="CE206" t="e">
        <f>AND(#REF!,"AAAAAF3f1lI=")</f>
        <v>#REF!</v>
      </c>
      <c r="CF206" t="e">
        <f>AND(#REF!,"AAAAAF3f1lM=")</f>
        <v>#REF!</v>
      </c>
      <c r="CG206" t="e">
        <f>AND(#REF!,"AAAAAF3f1lQ=")</f>
        <v>#REF!</v>
      </c>
      <c r="CH206" t="e">
        <f>AND(#REF!,"AAAAAF3f1lU=")</f>
        <v>#REF!</v>
      </c>
      <c r="CI206" t="e">
        <f>AND(#REF!,"AAAAAF3f1lY=")</f>
        <v>#REF!</v>
      </c>
      <c r="CJ206" t="e">
        <f>AND(#REF!,"AAAAAF3f1lc=")</f>
        <v>#REF!</v>
      </c>
      <c r="CK206" t="e">
        <f>AND(#REF!,"AAAAAF3f1lg=")</f>
        <v>#REF!</v>
      </c>
      <c r="CL206" t="e">
        <f>AND(#REF!,"AAAAAF3f1lk=")</f>
        <v>#REF!</v>
      </c>
      <c r="CM206" t="e">
        <f>AND(#REF!,"AAAAAF3f1lo=")</f>
        <v>#REF!</v>
      </c>
      <c r="CN206" t="e">
        <f>AND(#REF!,"AAAAAF3f1ls=")</f>
        <v>#REF!</v>
      </c>
      <c r="CO206" t="e">
        <f>AND(#REF!,"AAAAAF3f1lw=")</f>
        <v>#REF!</v>
      </c>
      <c r="CP206" t="e">
        <f>AND(#REF!,"AAAAAF3f1l0=")</f>
        <v>#REF!</v>
      </c>
      <c r="CQ206" t="e">
        <f>AND(#REF!,"AAAAAF3f1l4=")</f>
        <v>#REF!</v>
      </c>
      <c r="CR206" t="e">
        <f>AND(#REF!,"AAAAAF3f1l8=")</f>
        <v>#REF!</v>
      </c>
      <c r="CS206" t="e">
        <f>AND(#REF!,"AAAAAF3f1mA=")</f>
        <v>#REF!</v>
      </c>
      <c r="CT206" t="e">
        <f>AND(#REF!,"AAAAAF3f1mE=")</f>
        <v>#REF!</v>
      </c>
      <c r="CU206" t="e">
        <f>AND(#REF!,"AAAAAF3f1mI=")</f>
        <v>#REF!</v>
      </c>
      <c r="CV206" t="e">
        <f>IF(#REF!,"AAAAAF3f1mM=",0)</f>
        <v>#REF!</v>
      </c>
      <c r="CW206" t="e">
        <f>AND(#REF!,"AAAAAF3f1mQ=")</f>
        <v>#REF!</v>
      </c>
      <c r="CX206" t="e">
        <f>AND(#REF!,"AAAAAF3f1mU=")</f>
        <v>#REF!</v>
      </c>
      <c r="CY206" t="e">
        <f>AND(#REF!,"AAAAAF3f1mY=")</f>
        <v>#REF!</v>
      </c>
      <c r="CZ206" t="e">
        <f>AND(#REF!,"AAAAAF3f1mc=")</f>
        <v>#REF!</v>
      </c>
      <c r="DA206" t="e">
        <f>AND(#REF!,"AAAAAF3f1mg=")</f>
        <v>#REF!</v>
      </c>
      <c r="DB206" t="e">
        <f>AND(#REF!,"AAAAAF3f1mk=")</f>
        <v>#REF!</v>
      </c>
      <c r="DC206" t="e">
        <f>AND(#REF!,"AAAAAF3f1mo=")</f>
        <v>#REF!</v>
      </c>
      <c r="DD206" t="e">
        <f>AND(#REF!,"AAAAAF3f1ms=")</f>
        <v>#REF!</v>
      </c>
      <c r="DE206" t="e">
        <f>AND(#REF!,"AAAAAF3f1mw=")</f>
        <v>#REF!</v>
      </c>
      <c r="DF206" t="e">
        <f>AND(#REF!,"AAAAAF3f1m0=")</f>
        <v>#REF!</v>
      </c>
      <c r="DG206" t="e">
        <f>AND(#REF!,"AAAAAF3f1m4=")</f>
        <v>#REF!</v>
      </c>
      <c r="DH206" t="e">
        <f>AND(#REF!,"AAAAAF3f1m8=")</f>
        <v>#REF!</v>
      </c>
      <c r="DI206" t="e">
        <f>AND(#REF!,"AAAAAF3f1nA=")</f>
        <v>#REF!</v>
      </c>
      <c r="DJ206" t="e">
        <f>AND(#REF!,"AAAAAF3f1nE=")</f>
        <v>#REF!</v>
      </c>
      <c r="DK206" t="e">
        <f>AND(#REF!,"AAAAAF3f1nI=")</f>
        <v>#REF!</v>
      </c>
      <c r="DL206" t="e">
        <f>AND(#REF!,"AAAAAF3f1nM=")</f>
        <v>#REF!</v>
      </c>
      <c r="DM206" t="e">
        <f>AND(#REF!,"AAAAAF3f1nQ=")</f>
        <v>#REF!</v>
      </c>
      <c r="DN206" t="e">
        <f>AND(#REF!,"AAAAAF3f1nU=")</f>
        <v>#REF!</v>
      </c>
      <c r="DO206" t="e">
        <f>AND(#REF!,"AAAAAF3f1nY=")</f>
        <v>#REF!</v>
      </c>
      <c r="DP206" t="e">
        <f>AND(#REF!,"AAAAAF3f1nc=")</f>
        <v>#REF!</v>
      </c>
      <c r="DQ206" t="e">
        <f>AND(#REF!,"AAAAAF3f1ng=")</f>
        <v>#REF!</v>
      </c>
      <c r="DR206" t="e">
        <f>AND(#REF!,"AAAAAF3f1nk=")</f>
        <v>#REF!</v>
      </c>
      <c r="DS206" t="e">
        <f>AND(#REF!,"AAAAAF3f1no=")</f>
        <v>#REF!</v>
      </c>
      <c r="DT206" t="e">
        <f>AND(#REF!,"AAAAAF3f1ns=")</f>
        <v>#REF!</v>
      </c>
      <c r="DU206" t="e">
        <f>IF(#REF!,"AAAAAF3f1nw=",0)</f>
        <v>#REF!</v>
      </c>
      <c r="DV206" t="e">
        <f>AND(#REF!,"AAAAAF3f1n0=")</f>
        <v>#REF!</v>
      </c>
      <c r="DW206" t="e">
        <f>AND(#REF!,"AAAAAF3f1n4=")</f>
        <v>#REF!</v>
      </c>
      <c r="DX206" t="e">
        <f>AND(#REF!,"AAAAAF3f1n8=")</f>
        <v>#REF!</v>
      </c>
      <c r="DY206" t="e">
        <f>AND(#REF!,"AAAAAF3f1oA=")</f>
        <v>#REF!</v>
      </c>
      <c r="DZ206" t="e">
        <f>AND(#REF!,"AAAAAF3f1oE=")</f>
        <v>#REF!</v>
      </c>
      <c r="EA206" t="e">
        <f>AND(#REF!,"AAAAAF3f1oI=")</f>
        <v>#REF!</v>
      </c>
      <c r="EB206" t="e">
        <f>AND(#REF!,"AAAAAF3f1oM=")</f>
        <v>#REF!</v>
      </c>
      <c r="EC206" t="e">
        <f>AND(#REF!,"AAAAAF3f1oQ=")</f>
        <v>#REF!</v>
      </c>
      <c r="ED206" t="e">
        <f>AND(#REF!,"AAAAAF3f1oU=")</f>
        <v>#REF!</v>
      </c>
      <c r="EE206" t="e">
        <f>AND(#REF!,"AAAAAF3f1oY=")</f>
        <v>#REF!</v>
      </c>
      <c r="EF206" t="e">
        <f>AND(#REF!,"AAAAAF3f1oc=")</f>
        <v>#REF!</v>
      </c>
      <c r="EG206" t="e">
        <f>AND(#REF!,"AAAAAF3f1og=")</f>
        <v>#REF!</v>
      </c>
      <c r="EH206" t="e">
        <f>AND(#REF!,"AAAAAF3f1ok=")</f>
        <v>#REF!</v>
      </c>
      <c r="EI206" t="e">
        <f>AND(#REF!,"AAAAAF3f1oo=")</f>
        <v>#REF!</v>
      </c>
      <c r="EJ206" t="e">
        <f>AND(#REF!,"AAAAAF3f1os=")</f>
        <v>#REF!</v>
      </c>
      <c r="EK206" t="e">
        <f>AND(#REF!,"AAAAAF3f1ow=")</f>
        <v>#REF!</v>
      </c>
      <c r="EL206" t="e">
        <f>AND(#REF!,"AAAAAF3f1o0=")</f>
        <v>#REF!</v>
      </c>
      <c r="EM206" t="e">
        <f>AND(#REF!,"AAAAAF3f1o4=")</f>
        <v>#REF!</v>
      </c>
      <c r="EN206" t="e">
        <f>AND(#REF!,"AAAAAF3f1o8=")</f>
        <v>#REF!</v>
      </c>
      <c r="EO206" t="e">
        <f>AND(#REF!,"AAAAAF3f1pA=")</f>
        <v>#REF!</v>
      </c>
      <c r="EP206" t="e">
        <f>AND(#REF!,"AAAAAF3f1pE=")</f>
        <v>#REF!</v>
      </c>
      <c r="EQ206" t="e">
        <f>AND(#REF!,"AAAAAF3f1pI=")</f>
        <v>#REF!</v>
      </c>
      <c r="ER206" t="e">
        <f>AND(#REF!,"AAAAAF3f1pM=")</f>
        <v>#REF!</v>
      </c>
      <c r="ES206" t="e">
        <f>AND(#REF!,"AAAAAF3f1pQ=")</f>
        <v>#REF!</v>
      </c>
      <c r="ET206" t="e">
        <f>IF(#REF!,"AAAAAF3f1pU=",0)</f>
        <v>#REF!</v>
      </c>
      <c r="EU206" t="e">
        <f>AND(#REF!,"AAAAAF3f1pY=")</f>
        <v>#REF!</v>
      </c>
      <c r="EV206" t="e">
        <f>AND(#REF!,"AAAAAF3f1pc=")</f>
        <v>#REF!</v>
      </c>
      <c r="EW206" t="e">
        <f>AND(#REF!,"AAAAAF3f1pg=")</f>
        <v>#REF!</v>
      </c>
      <c r="EX206" t="e">
        <f>AND(#REF!,"AAAAAF3f1pk=")</f>
        <v>#REF!</v>
      </c>
      <c r="EY206" t="e">
        <f>AND(#REF!,"AAAAAF3f1po=")</f>
        <v>#REF!</v>
      </c>
      <c r="EZ206" t="e">
        <f>AND(#REF!,"AAAAAF3f1ps=")</f>
        <v>#REF!</v>
      </c>
      <c r="FA206" t="e">
        <f>AND(#REF!,"AAAAAF3f1pw=")</f>
        <v>#REF!</v>
      </c>
      <c r="FB206" t="e">
        <f>AND(#REF!,"AAAAAF3f1p0=")</f>
        <v>#REF!</v>
      </c>
      <c r="FC206" t="e">
        <f>AND(#REF!,"AAAAAF3f1p4=")</f>
        <v>#REF!</v>
      </c>
      <c r="FD206" t="e">
        <f>AND(#REF!,"AAAAAF3f1p8=")</f>
        <v>#REF!</v>
      </c>
      <c r="FE206" t="e">
        <f>AND(#REF!,"AAAAAF3f1qA=")</f>
        <v>#REF!</v>
      </c>
      <c r="FF206" t="e">
        <f>AND(#REF!,"AAAAAF3f1qE=")</f>
        <v>#REF!</v>
      </c>
      <c r="FG206" t="e">
        <f>AND(#REF!,"AAAAAF3f1qI=")</f>
        <v>#REF!</v>
      </c>
      <c r="FH206" t="e">
        <f>AND(#REF!,"AAAAAF3f1qM=")</f>
        <v>#REF!</v>
      </c>
      <c r="FI206" t="e">
        <f>AND(#REF!,"AAAAAF3f1qQ=")</f>
        <v>#REF!</v>
      </c>
      <c r="FJ206" t="e">
        <f>AND(#REF!,"AAAAAF3f1qU=")</f>
        <v>#REF!</v>
      </c>
      <c r="FK206" t="e">
        <f>AND(#REF!,"AAAAAF3f1qY=")</f>
        <v>#REF!</v>
      </c>
      <c r="FL206" t="e">
        <f>AND(#REF!,"AAAAAF3f1qc=")</f>
        <v>#REF!</v>
      </c>
      <c r="FM206" t="e">
        <f>AND(#REF!,"AAAAAF3f1qg=")</f>
        <v>#REF!</v>
      </c>
      <c r="FN206" t="e">
        <f>AND(#REF!,"AAAAAF3f1qk=")</f>
        <v>#REF!</v>
      </c>
      <c r="FO206" t="e">
        <f>AND(#REF!,"AAAAAF3f1qo=")</f>
        <v>#REF!</v>
      </c>
      <c r="FP206" t="e">
        <f>AND(#REF!,"AAAAAF3f1qs=")</f>
        <v>#REF!</v>
      </c>
      <c r="FQ206" t="e">
        <f>AND(#REF!,"AAAAAF3f1qw=")</f>
        <v>#REF!</v>
      </c>
      <c r="FR206" t="e">
        <f>AND(#REF!,"AAAAAF3f1q0=")</f>
        <v>#REF!</v>
      </c>
      <c r="FS206" t="e">
        <f>IF(#REF!,"AAAAAF3f1q4=",0)</f>
        <v>#REF!</v>
      </c>
      <c r="FT206" t="e">
        <f>AND(#REF!,"AAAAAF3f1q8=")</f>
        <v>#REF!</v>
      </c>
      <c r="FU206" t="e">
        <f>AND(#REF!,"AAAAAF3f1rA=")</f>
        <v>#REF!</v>
      </c>
      <c r="FV206" t="e">
        <f>AND(#REF!,"AAAAAF3f1rE=")</f>
        <v>#REF!</v>
      </c>
      <c r="FW206" t="e">
        <f>AND(#REF!,"AAAAAF3f1rI=")</f>
        <v>#REF!</v>
      </c>
      <c r="FX206" t="e">
        <f>AND(#REF!,"AAAAAF3f1rM=")</f>
        <v>#REF!</v>
      </c>
      <c r="FY206" t="e">
        <f>AND(#REF!,"AAAAAF3f1rQ=")</f>
        <v>#REF!</v>
      </c>
      <c r="FZ206" t="e">
        <f>AND(#REF!,"AAAAAF3f1rU=")</f>
        <v>#REF!</v>
      </c>
      <c r="GA206" t="e">
        <f>AND(#REF!,"AAAAAF3f1rY=")</f>
        <v>#REF!</v>
      </c>
      <c r="GB206" t="e">
        <f>AND(#REF!,"AAAAAF3f1rc=")</f>
        <v>#REF!</v>
      </c>
      <c r="GC206" t="e">
        <f>AND(#REF!,"AAAAAF3f1rg=")</f>
        <v>#REF!</v>
      </c>
      <c r="GD206" t="e">
        <f>AND(#REF!,"AAAAAF3f1rk=")</f>
        <v>#REF!</v>
      </c>
      <c r="GE206" t="e">
        <f>AND(#REF!,"AAAAAF3f1ro=")</f>
        <v>#REF!</v>
      </c>
      <c r="GF206" t="e">
        <f>AND(#REF!,"AAAAAF3f1rs=")</f>
        <v>#REF!</v>
      </c>
      <c r="GG206" t="e">
        <f>AND(#REF!,"AAAAAF3f1rw=")</f>
        <v>#REF!</v>
      </c>
      <c r="GH206" t="e">
        <f>AND(#REF!,"AAAAAF3f1r0=")</f>
        <v>#REF!</v>
      </c>
      <c r="GI206" t="e">
        <f>AND(#REF!,"AAAAAF3f1r4=")</f>
        <v>#REF!</v>
      </c>
      <c r="GJ206" t="e">
        <f>AND(#REF!,"AAAAAF3f1r8=")</f>
        <v>#REF!</v>
      </c>
      <c r="GK206" t="e">
        <f>AND(#REF!,"AAAAAF3f1sA=")</f>
        <v>#REF!</v>
      </c>
      <c r="GL206" t="e">
        <f>AND(#REF!,"AAAAAF3f1sE=")</f>
        <v>#REF!</v>
      </c>
      <c r="GM206" t="e">
        <f>AND(#REF!,"AAAAAF3f1sI=")</f>
        <v>#REF!</v>
      </c>
      <c r="GN206" t="e">
        <f>AND(#REF!,"AAAAAF3f1sM=")</f>
        <v>#REF!</v>
      </c>
      <c r="GO206" t="e">
        <f>AND(#REF!,"AAAAAF3f1sQ=")</f>
        <v>#REF!</v>
      </c>
      <c r="GP206" t="e">
        <f>AND(#REF!,"AAAAAF3f1sU=")</f>
        <v>#REF!</v>
      </c>
      <c r="GQ206" t="e">
        <f>AND(#REF!,"AAAAAF3f1sY=")</f>
        <v>#REF!</v>
      </c>
      <c r="GR206" t="e">
        <f>IF(#REF!,"AAAAAF3f1sc=",0)</f>
        <v>#REF!</v>
      </c>
      <c r="GS206" t="e">
        <f>AND(#REF!,"AAAAAF3f1sg=")</f>
        <v>#REF!</v>
      </c>
      <c r="GT206" t="e">
        <f>AND(#REF!,"AAAAAF3f1sk=")</f>
        <v>#REF!</v>
      </c>
      <c r="GU206" t="e">
        <f>AND(#REF!,"AAAAAF3f1so=")</f>
        <v>#REF!</v>
      </c>
      <c r="GV206" t="e">
        <f>AND(#REF!,"AAAAAF3f1ss=")</f>
        <v>#REF!</v>
      </c>
      <c r="GW206" t="e">
        <f>AND(#REF!,"AAAAAF3f1sw=")</f>
        <v>#REF!</v>
      </c>
      <c r="GX206" t="e">
        <f>AND(#REF!,"AAAAAF3f1s0=")</f>
        <v>#REF!</v>
      </c>
      <c r="GY206" t="e">
        <f>AND(#REF!,"AAAAAF3f1s4=")</f>
        <v>#REF!</v>
      </c>
      <c r="GZ206" t="e">
        <f>AND(#REF!,"AAAAAF3f1s8=")</f>
        <v>#REF!</v>
      </c>
      <c r="HA206" t="e">
        <f>AND(#REF!,"AAAAAF3f1tA=")</f>
        <v>#REF!</v>
      </c>
      <c r="HB206" t="e">
        <f>AND(#REF!,"AAAAAF3f1tE=")</f>
        <v>#REF!</v>
      </c>
      <c r="HC206" t="e">
        <f>AND(#REF!,"AAAAAF3f1tI=")</f>
        <v>#REF!</v>
      </c>
      <c r="HD206" t="e">
        <f>AND(#REF!,"AAAAAF3f1tM=")</f>
        <v>#REF!</v>
      </c>
      <c r="HE206" t="e">
        <f>AND(#REF!,"AAAAAF3f1tQ=")</f>
        <v>#REF!</v>
      </c>
      <c r="HF206" t="e">
        <f>AND(#REF!,"AAAAAF3f1tU=")</f>
        <v>#REF!</v>
      </c>
      <c r="HG206" t="e">
        <f>AND(#REF!,"AAAAAF3f1tY=")</f>
        <v>#REF!</v>
      </c>
      <c r="HH206" t="e">
        <f>AND(#REF!,"AAAAAF3f1tc=")</f>
        <v>#REF!</v>
      </c>
      <c r="HI206" t="e">
        <f>AND(#REF!,"AAAAAF3f1tg=")</f>
        <v>#REF!</v>
      </c>
      <c r="HJ206" t="e">
        <f>AND(#REF!,"AAAAAF3f1tk=")</f>
        <v>#REF!</v>
      </c>
      <c r="HK206" t="e">
        <f>AND(#REF!,"AAAAAF3f1to=")</f>
        <v>#REF!</v>
      </c>
      <c r="HL206" t="e">
        <f>AND(#REF!,"AAAAAF3f1ts=")</f>
        <v>#REF!</v>
      </c>
      <c r="HM206" t="e">
        <f>AND(#REF!,"AAAAAF3f1tw=")</f>
        <v>#REF!</v>
      </c>
      <c r="HN206" t="e">
        <f>AND(#REF!,"AAAAAF3f1t0=")</f>
        <v>#REF!</v>
      </c>
      <c r="HO206" t="e">
        <f>AND(#REF!,"AAAAAF3f1t4=")</f>
        <v>#REF!</v>
      </c>
      <c r="HP206" t="e">
        <f>AND(#REF!,"AAAAAF3f1t8=")</f>
        <v>#REF!</v>
      </c>
      <c r="HQ206" t="e">
        <f>IF(#REF!,"AAAAAF3f1uA=",0)</f>
        <v>#REF!</v>
      </c>
      <c r="HR206" t="e">
        <f>AND(#REF!,"AAAAAF3f1uE=")</f>
        <v>#REF!</v>
      </c>
      <c r="HS206" t="e">
        <f>AND(#REF!,"AAAAAF3f1uI=")</f>
        <v>#REF!</v>
      </c>
      <c r="HT206" t="e">
        <f>AND(#REF!,"AAAAAF3f1uM=")</f>
        <v>#REF!</v>
      </c>
      <c r="HU206" t="e">
        <f>AND(#REF!,"AAAAAF3f1uQ=")</f>
        <v>#REF!</v>
      </c>
      <c r="HV206" t="e">
        <f>AND(#REF!,"AAAAAF3f1uU=")</f>
        <v>#REF!</v>
      </c>
      <c r="HW206" t="e">
        <f>AND(#REF!,"AAAAAF3f1uY=")</f>
        <v>#REF!</v>
      </c>
      <c r="HX206" t="e">
        <f>AND(#REF!,"AAAAAF3f1uc=")</f>
        <v>#REF!</v>
      </c>
      <c r="HY206" t="e">
        <f>AND(#REF!,"AAAAAF3f1ug=")</f>
        <v>#REF!</v>
      </c>
      <c r="HZ206" t="e">
        <f>AND(#REF!,"AAAAAF3f1uk=")</f>
        <v>#REF!</v>
      </c>
      <c r="IA206" t="e">
        <f>AND(#REF!,"AAAAAF3f1uo=")</f>
        <v>#REF!</v>
      </c>
      <c r="IB206" t="e">
        <f>AND(#REF!,"AAAAAF3f1us=")</f>
        <v>#REF!</v>
      </c>
      <c r="IC206" t="e">
        <f>AND(#REF!,"AAAAAF3f1uw=")</f>
        <v>#REF!</v>
      </c>
      <c r="ID206" t="e">
        <f>AND(#REF!,"AAAAAF3f1u0=")</f>
        <v>#REF!</v>
      </c>
      <c r="IE206" t="e">
        <f>AND(#REF!,"AAAAAF3f1u4=")</f>
        <v>#REF!</v>
      </c>
      <c r="IF206" t="e">
        <f>AND(#REF!,"AAAAAF3f1u8=")</f>
        <v>#REF!</v>
      </c>
      <c r="IG206" t="e">
        <f>AND(#REF!,"AAAAAF3f1vA=")</f>
        <v>#REF!</v>
      </c>
      <c r="IH206" t="e">
        <f>AND(#REF!,"AAAAAF3f1vE=")</f>
        <v>#REF!</v>
      </c>
      <c r="II206" t="e">
        <f>AND(#REF!,"AAAAAF3f1vI=")</f>
        <v>#REF!</v>
      </c>
      <c r="IJ206" t="e">
        <f>AND(#REF!,"AAAAAF3f1vM=")</f>
        <v>#REF!</v>
      </c>
      <c r="IK206" t="e">
        <f>AND(#REF!,"AAAAAF3f1vQ=")</f>
        <v>#REF!</v>
      </c>
      <c r="IL206" t="e">
        <f>AND(#REF!,"AAAAAF3f1vU=")</f>
        <v>#REF!</v>
      </c>
      <c r="IM206" t="e">
        <f>AND(#REF!,"AAAAAF3f1vY=")</f>
        <v>#REF!</v>
      </c>
      <c r="IN206" t="e">
        <f>AND(#REF!,"AAAAAF3f1vc=")</f>
        <v>#REF!</v>
      </c>
      <c r="IO206" t="e">
        <f>AND(#REF!,"AAAAAF3f1vg=")</f>
        <v>#REF!</v>
      </c>
      <c r="IP206" t="e">
        <f>IF(#REF!,"AAAAAF3f1vk=",0)</f>
        <v>#REF!</v>
      </c>
      <c r="IQ206" t="e">
        <f>AND(#REF!,"AAAAAF3f1vo=")</f>
        <v>#REF!</v>
      </c>
      <c r="IR206" t="e">
        <f>AND(#REF!,"AAAAAF3f1vs=")</f>
        <v>#REF!</v>
      </c>
      <c r="IS206" t="e">
        <f>AND(#REF!,"AAAAAF3f1vw=")</f>
        <v>#REF!</v>
      </c>
      <c r="IT206" t="e">
        <f>AND(#REF!,"AAAAAF3f1v0=")</f>
        <v>#REF!</v>
      </c>
      <c r="IU206" t="e">
        <f>AND(#REF!,"AAAAAF3f1v4=")</f>
        <v>#REF!</v>
      </c>
      <c r="IV206" t="e">
        <f>AND(#REF!,"AAAAAF3f1v8=")</f>
        <v>#REF!</v>
      </c>
    </row>
    <row r="207" spans="1:256" x14ac:dyDescent="0.25">
      <c r="A207" t="e">
        <f>AND(#REF!,"AAAAAHTS8wA=")</f>
        <v>#REF!</v>
      </c>
      <c r="B207" t="e">
        <f>AND(#REF!,"AAAAAHTS8wE=")</f>
        <v>#REF!</v>
      </c>
      <c r="C207" t="e">
        <f>AND(#REF!,"AAAAAHTS8wI=")</f>
        <v>#REF!</v>
      </c>
      <c r="D207" t="e">
        <f>AND(#REF!,"AAAAAHTS8wM=")</f>
        <v>#REF!</v>
      </c>
      <c r="E207" t="e">
        <f>AND(#REF!,"AAAAAHTS8wQ=")</f>
        <v>#REF!</v>
      </c>
      <c r="F207" t="e">
        <f>AND(#REF!,"AAAAAHTS8wU=")</f>
        <v>#REF!</v>
      </c>
      <c r="G207" t="e">
        <f>AND(#REF!,"AAAAAHTS8wY=")</f>
        <v>#REF!</v>
      </c>
      <c r="H207" t="e">
        <f>AND(#REF!,"AAAAAHTS8wc=")</f>
        <v>#REF!</v>
      </c>
      <c r="I207" t="e">
        <f>AND(#REF!,"AAAAAHTS8wg=")</f>
        <v>#REF!</v>
      </c>
      <c r="J207" t="e">
        <f>AND(#REF!,"AAAAAHTS8wk=")</f>
        <v>#REF!</v>
      </c>
      <c r="K207" t="e">
        <f>AND(#REF!,"AAAAAHTS8wo=")</f>
        <v>#REF!</v>
      </c>
      <c r="L207" t="e">
        <f>AND(#REF!,"AAAAAHTS8ws=")</f>
        <v>#REF!</v>
      </c>
      <c r="M207" t="e">
        <f>AND(#REF!,"AAAAAHTS8ww=")</f>
        <v>#REF!</v>
      </c>
      <c r="N207" t="e">
        <f>AND(#REF!,"AAAAAHTS8w0=")</f>
        <v>#REF!</v>
      </c>
      <c r="O207" t="e">
        <f>AND(#REF!,"AAAAAHTS8w4=")</f>
        <v>#REF!</v>
      </c>
      <c r="P207" t="e">
        <f>AND(#REF!,"AAAAAHTS8w8=")</f>
        <v>#REF!</v>
      </c>
      <c r="Q207" t="e">
        <f>AND(#REF!,"AAAAAHTS8xA=")</f>
        <v>#REF!</v>
      </c>
      <c r="R207" t="e">
        <f>AND(#REF!,"AAAAAHTS8xE=")</f>
        <v>#REF!</v>
      </c>
      <c r="S207" t="e">
        <f>IF(#REF!,"AAAAAHTS8xI=",0)</f>
        <v>#REF!</v>
      </c>
      <c r="T207" t="e">
        <f>AND(#REF!,"AAAAAHTS8xM=")</f>
        <v>#REF!</v>
      </c>
      <c r="U207" t="e">
        <f>AND(#REF!,"AAAAAHTS8xQ=")</f>
        <v>#REF!</v>
      </c>
      <c r="V207" t="e">
        <f>AND(#REF!,"AAAAAHTS8xU=")</f>
        <v>#REF!</v>
      </c>
      <c r="W207" t="e">
        <f>AND(#REF!,"AAAAAHTS8xY=")</f>
        <v>#REF!</v>
      </c>
      <c r="X207" t="e">
        <f>AND(#REF!,"AAAAAHTS8xc=")</f>
        <v>#REF!</v>
      </c>
      <c r="Y207" t="e">
        <f>AND(#REF!,"AAAAAHTS8xg=")</f>
        <v>#REF!</v>
      </c>
      <c r="Z207" t="e">
        <f>AND(#REF!,"AAAAAHTS8xk=")</f>
        <v>#REF!</v>
      </c>
      <c r="AA207" t="e">
        <f>AND(#REF!,"AAAAAHTS8xo=")</f>
        <v>#REF!</v>
      </c>
      <c r="AB207" t="e">
        <f>AND(#REF!,"AAAAAHTS8xs=")</f>
        <v>#REF!</v>
      </c>
      <c r="AC207" t="e">
        <f>AND(#REF!,"AAAAAHTS8xw=")</f>
        <v>#REF!</v>
      </c>
      <c r="AD207" t="e">
        <f>AND(#REF!,"AAAAAHTS8x0=")</f>
        <v>#REF!</v>
      </c>
      <c r="AE207" t="e">
        <f>AND(#REF!,"AAAAAHTS8x4=")</f>
        <v>#REF!</v>
      </c>
      <c r="AF207" t="e">
        <f>AND(#REF!,"AAAAAHTS8x8=")</f>
        <v>#REF!</v>
      </c>
      <c r="AG207" t="e">
        <f>AND(#REF!,"AAAAAHTS8yA=")</f>
        <v>#REF!</v>
      </c>
      <c r="AH207" t="e">
        <f>AND(#REF!,"AAAAAHTS8yE=")</f>
        <v>#REF!</v>
      </c>
      <c r="AI207" t="e">
        <f>AND(#REF!,"AAAAAHTS8yI=")</f>
        <v>#REF!</v>
      </c>
      <c r="AJ207" t="e">
        <f>AND(#REF!,"AAAAAHTS8yM=")</f>
        <v>#REF!</v>
      </c>
      <c r="AK207" t="e">
        <f>AND(#REF!,"AAAAAHTS8yQ=")</f>
        <v>#REF!</v>
      </c>
      <c r="AL207" t="e">
        <f>AND(#REF!,"AAAAAHTS8yU=")</f>
        <v>#REF!</v>
      </c>
      <c r="AM207" t="e">
        <f>AND(#REF!,"AAAAAHTS8yY=")</f>
        <v>#REF!</v>
      </c>
      <c r="AN207" t="e">
        <f>AND(#REF!,"AAAAAHTS8yc=")</f>
        <v>#REF!</v>
      </c>
      <c r="AO207" t="e">
        <f>AND(#REF!,"AAAAAHTS8yg=")</f>
        <v>#REF!</v>
      </c>
      <c r="AP207" t="e">
        <f>AND(#REF!,"AAAAAHTS8yk=")</f>
        <v>#REF!</v>
      </c>
      <c r="AQ207" t="e">
        <f>AND(#REF!,"AAAAAHTS8yo=")</f>
        <v>#REF!</v>
      </c>
      <c r="AR207" t="e">
        <f>IF(#REF!,"AAAAAHTS8ys=",0)</f>
        <v>#REF!</v>
      </c>
      <c r="AS207" t="e">
        <f>AND(#REF!,"AAAAAHTS8yw=")</f>
        <v>#REF!</v>
      </c>
      <c r="AT207" t="e">
        <f>AND(#REF!,"AAAAAHTS8y0=")</f>
        <v>#REF!</v>
      </c>
      <c r="AU207" t="e">
        <f>AND(#REF!,"AAAAAHTS8y4=")</f>
        <v>#REF!</v>
      </c>
      <c r="AV207" t="e">
        <f>AND(#REF!,"AAAAAHTS8y8=")</f>
        <v>#REF!</v>
      </c>
      <c r="AW207" t="e">
        <f>AND(#REF!,"AAAAAHTS8zA=")</f>
        <v>#REF!</v>
      </c>
      <c r="AX207" t="e">
        <f>AND(#REF!,"AAAAAHTS8zE=")</f>
        <v>#REF!</v>
      </c>
      <c r="AY207" t="e">
        <f>AND(#REF!,"AAAAAHTS8zI=")</f>
        <v>#REF!</v>
      </c>
      <c r="AZ207" t="e">
        <f>AND(#REF!,"AAAAAHTS8zM=")</f>
        <v>#REF!</v>
      </c>
      <c r="BA207" t="e">
        <f>AND(#REF!,"AAAAAHTS8zQ=")</f>
        <v>#REF!</v>
      </c>
      <c r="BB207" t="e">
        <f>AND(#REF!,"AAAAAHTS8zU=")</f>
        <v>#REF!</v>
      </c>
      <c r="BC207" t="e">
        <f>AND(#REF!,"AAAAAHTS8zY=")</f>
        <v>#REF!</v>
      </c>
      <c r="BD207" t="e">
        <f>AND(#REF!,"AAAAAHTS8zc=")</f>
        <v>#REF!</v>
      </c>
      <c r="BE207" t="e">
        <f>AND(#REF!,"AAAAAHTS8zg=")</f>
        <v>#REF!</v>
      </c>
      <c r="BF207" t="e">
        <f>AND(#REF!,"AAAAAHTS8zk=")</f>
        <v>#REF!</v>
      </c>
      <c r="BG207" t="e">
        <f>AND(#REF!,"AAAAAHTS8zo=")</f>
        <v>#REF!</v>
      </c>
      <c r="BH207" t="e">
        <f>AND(#REF!,"AAAAAHTS8zs=")</f>
        <v>#REF!</v>
      </c>
      <c r="BI207" t="e">
        <f>AND(#REF!,"AAAAAHTS8zw=")</f>
        <v>#REF!</v>
      </c>
      <c r="BJ207" t="e">
        <f>AND(#REF!,"AAAAAHTS8z0=")</f>
        <v>#REF!</v>
      </c>
      <c r="BK207" t="e">
        <f>AND(#REF!,"AAAAAHTS8z4=")</f>
        <v>#REF!</v>
      </c>
      <c r="BL207" t="e">
        <f>AND(#REF!,"AAAAAHTS8z8=")</f>
        <v>#REF!</v>
      </c>
      <c r="BM207" t="e">
        <f>AND(#REF!,"AAAAAHTS80A=")</f>
        <v>#REF!</v>
      </c>
      <c r="BN207" t="e">
        <f>AND(#REF!,"AAAAAHTS80E=")</f>
        <v>#REF!</v>
      </c>
      <c r="BO207" t="e">
        <f>AND(#REF!,"AAAAAHTS80I=")</f>
        <v>#REF!</v>
      </c>
      <c r="BP207" t="e">
        <f>AND(#REF!,"AAAAAHTS80M=")</f>
        <v>#REF!</v>
      </c>
      <c r="BQ207" t="e">
        <f>IF(#REF!,"AAAAAHTS80Q=",0)</f>
        <v>#REF!</v>
      </c>
      <c r="BR207" t="e">
        <f>AND(#REF!,"AAAAAHTS80U=")</f>
        <v>#REF!</v>
      </c>
      <c r="BS207" t="e">
        <f>AND(#REF!,"AAAAAHTS80Y=")</f>
        <v>#REF!</v>
      </c>
      <c r="BT207" t="e">
        <f>AND(#REF!,"AAAAAHTS80c=")</f>
        <v>#REF!</v>
      </c>
      <c r="BU207" t="e">
        <f>AND(#REF!,"AAAAAHTS80g=")</f>
        <v>#REF!</v>
      </c>
      <c r="BV207" t="e">
        <f>AND(#REF!,"AAAAAHTS80k=")</f>
        <v>#REF!</v>
      </c>
      <c r="BW207" t="e">
        <f>AND(#REF!,"AAAAAHTS80o=")</f>
        <v>#REF!</v>
      </c>
      <c r="BX207" t="e">
        <f>AND(#REF!,"AAAAAHTS80s=")</f>
        <v>#REF!</v>
      </c>
      <c r="BY207" t="e">
        <f>AND(#REF!,"AAAAAHTS80w=")</f>
        <v>#REF!</v>
      </c>
      <c r="BZ207" t="e">
        <f>AND(#REF!,"AAAAAHTS800=")</f>
        <v>#REF!</v>
      </c>
      <c r="CA207" t="e">
        <f>AND(#REF!,"AAAAAHTS804=")</f>
        <v>#REF!</v>
      </c>
      <c r="CB207" t="e">
        <f>AND(#REF!,"AAAAAHTS808=")</f>
        <v>#REF!</v>
      </c>
      <c r="CC207" t="e">
        <f>AND(#REF!,"AAAAAHTS81A=")</f>
        <v>#REF!</v>
      </c>
      <c r="CD207" t="e">
        <f>AND(#REF!,"AAAAAHTS81E=")</f>
        <v>#REF!</v>
      </c>
      <c r="CE207" t="e">
        <f>AND(#REF!,"AAAAAHTS81I=")</f>
        <v>#REF!</v>
      </c>
      <c r="CF207" t="e">
        <f>AND(#REF!,"AAAAAHTS81M=")</f>
        <v>#REF!</v>
      </c>
      <c r="CG207" t="e">
        <f>AND(#REF!,"AAAAAHTS81Q=")</f>
        <v>#REF!</v>
      </c>
      <c r="CH207" t="e">
        <f>AND(#REF!,"AAAAAHTS81U=")</f>
        <v>#REF!</v>
      </c>
      <c r="CI207" t="e">
        <f>AND(#REF!,"AAAAAHTS81Y=")</f>
        <v>#REF!</v>
      </c>
      <c r="CJ207" t="e">
        <f>AND(#REF!,"AAAAAHTS81c=")</f>
        <v>#REF!</v>
      </c>
      <c r="CK207" t="e">
        <f>AND(#REF!,"AAAAAHTS81g=")</f>
        <v>#REF!</v>
      </c>
      <c r="CL207" t="e">
        <f>AND(#REF!,"AAAAAHTS81k=")</f>
        <v>#REF!</v>
      </c>
      <c r="CM207" t="e">
        <f>AND(#REF!,"AAAAAHTS81o=")</f>
        <v>#REF!</v>
      </c>
      <c r="CN207" t="e">
        <f>AND(#REF!,"AAAAAHTS81s=")</f>
        <v>#REF!</v>
      </c>
      <c r="CO207" t="e">
        <f>AND(#REF!,"AAAAAHTS81w=")</f>
        <v>#REF!</v>
      </c>
      <c r="CP207" t="e">
        <f>IF(#REF!,"AAAAAHTS810=",0)</f>
        <v>#REF!</v>
      </c>
      <c r="CQ207" t="e">
        <f>AND(#REF!,"AAAAAHTS814=")</f>
        <v>#REF!</v>
      </c>
      <c r="CR207" t="e">
        <f>AND(#REF!,"AAAAAHTS818=")</f>
        <v>#REF!</v>
      </c>
      <c r="CS207" t="e">
        <f>AND(#REF!,"AAAAAHTS82A=")</f>
        <v>#REF!</v>
      </c>
      <c r="CT207" t="e">
        <f>AND(#REF!,"AAAAAHTS82E=")</f>
        <v>#REF!</v>
      </c>
      <c r="CU207" t="e">
        <f>AND(#REF!,"AAAAAHTS82I=")</f>
        <v>#REF!</v>
      </c>
      <c r="CV207" t="e">
        <f>AND(#REF!,"AAAAAHTS82M=")</f>
        <v>#REF!</v>
      </c>
      <c r="CW207" t="e">
        <f>AND(#REF!,"AAAAAHTS82Q=")</f>
        <v>#REF!</v>
      </c>
      <c r="CX207" t="e">
        <f>AND(#REF!,"AAAAAHTS82U=")</f>
        <v>#REF!</v>
      </c>
      <c r="CY207" t="e">
        <f>AND(#REF!,"AAAAAHTS82Y=")</f>
        <v>#REF!</v>
      </c>
      <c r="CZ207" t="e">
        <f>AND(#REF!,"AAAAAHTS82c=")</f>
        <v>#REF!</v>
      </c>
      <c r="DA207" t="e">
        <f>AND(#REF!,"AAAAAHTS82g=")</f>
        <v>#REF!</v>
      </c>
      <c r="DB207" t="e">
        <f>AND(#REF!,"AAAAAHTS82k=")</f>
        <v>#REF!</v>
      </c>
      <c r="DC207" t="e">
        <f>AND(#REF!,"AAAAAHTS82o=")</f>
        <v>#REF!</v>
      </c>
      <c r="DD207" t="e">
        <f>AND(#REF!,"AAAAAHTS82s=")</f>
        <v>#REF!</v>
      </c>
      <c r="DE207" t="e">
        <f>AND(#REF!,"AAAAAHTS82w=")</f>
        <v>#REF!</v>
      </c>
      <c r="DF207" t="e">
        <f>IF(#REF!,"AAAAAHTS820=",0)</f>
        <v>#REF!</v>
      </c>
      <c r="DG207" t="e">
        <f>IF(#REF!,"AAAAAHTS824=",0)</f>
        <v>#REF!</v>
      </c>
      <c r="DH207" t="e">
        <f>IF(#REF!,"AAAAAHTS828=",0)</f>
        <v>#REF!</v>
      </c>
      <c r="DI207" t="e">
        <f>IF(#REF!,"AAAAAHTS83A=",0)</f>
        <v>#REF!</v>
      </c>
      <c r="DJ207" t="e">
        <f>IF(#REF!,"AAAAAHTS83E=",0)</f>
        <v>#REF!</v>
      </c>
      <c r="DK207" t="e">
        <f>IF(#REF!,"AAAAAHTS83I=",0)</f>
        <v>#REF!</v>
      </c>
      <c r="DL207" t="e">
        <f>IF(#REF!,"AAAAAHTS83M=",0)</f>
        <v>#REF!</v>
      </c>
      <c r="DM207" t="e">
        <f>IF(#REF!,"AAAAAHTS83Q=",0)</f>
        <v>#REF!</v>
      </c>
      <c r="DN207" t="e">
        <f>IF(#REF!,"AAAAAHTS83U=",0)</f>
        <v>#REF!</v>
      </c>
      <c r="DO207" t="e">
        <f>IF(#REF!,"AAAAAHTS83Y=",0)</f>
        <v>#REF!</v>
      </c>
      <c r="DP207" t="e">
        <f>IF(#REF!,"AAAAAHTS83c=",0)</f>
        <v>#REF!</v>
      </c>
      <c r="DQ207" t="e">
        <f>IF(#REF!,"AAAAAHTS83g=",0)</f>
        <v>#REF!</v>
      </c>
      <c r="DR207" t="e">
        <f>IF(#REF!,"AAAAAHTS83k=",0)</f>
        <v>#REF!</v>
      </c>
      <c r="DS207" t="e">
        <f>IF(#REF!,"AAAAAHTS83o=",0)</f>
        <v>#REF!</v>
      </c>
      <c r="DT207" t="e">
        <f>IF(#REF!,"AAAAAHTS83s=",0)</f>
        <v>#REF!</v>
      </c>
      <c r="DU207" t="e">
        <f>IF(#REF!,"AAAAAHTS83w=",0)</f>
        <v>#REF!</v>
      </c>
      <c r="DV207" t="e">
        <f>IF(#REF!,"AAAAAHTS830=",0)</f>
        <v>#REF!</v>
      </c>
      <c r="DW207" t="e">
        <f>IF(#REF!,"AAAAAHTS834=",0)</f>
        <v>#REF!</v>
      </c>
      <c r="DX207" t="e">
        <f>IF(#REF!,"AAAAAHTS838=",0)</f>
        <v>#REF!</v>
      </c>
      <c r="DY207" t="e">
        <f>IF(#REF!,"AAAAAHTS84A=",0)</f>
        <v>#REF!</v>
      </c>
      <c r="DZ207" t="e">
        <f>IF(#REF!,"AAAAAHTS84E=",0)</f>
        <v>#REF!</v>
      </c>
      <c r="EA207" t="e">
        <f>IF(#REF!,"AAAAAHTS84I=",0)</f>
        <v>#REF!</v>
      </c>
      <c r="EB207" t="e">
        <f>IF(#REF!,"AAAAAHTS84M=",0)</f>
        <v>#REF!</v>
      </c>
      <c r="EC207" t="e">
        <f>IF(#REF!,"AAAAAHTS84Q=",0)</f>
        <v>#REF!</v>
      </c>
      <c r="ED207" s="1" t="s">
        <v>16</v>
      </c>
      <c r="EE207" s="6" t="s">
        <v>17</v>
      </c>
      <c r="EF207" t="e">
        <f>IF("N",[0]!_xlnm._FilterDatabase,"AAAAAHTS84c=")</f>
        <v>#VALUE!</v>
      </c>
      <c r="EG207" t="e">
        <f>IF("N",_xludf._xlfn.IFERROR,"AAAAAHTS84g=")</f>
        <v>#VALUE!</v>
      </c>
      <c r="EH207" t="e">
        <f>IF("N",ETFtab2013,"AAAAAHTS84k=")</f>
        <v>#VALUE!</v>
      </c>
      <c r="EI207" t="e">
        <f>IF("N",'PE1'!_xlnm.Print_Area,"AAAAAHTS84o=")</f>
        <v>#VALUE!</v>
      </c>
      <c r="EJ207" t="e">
        <f>IF("N",'PE1'!_xlnm.Print_Area,"AAAAAHTS84s=")</f>
        <v>#VALUE!</v>
      </c>
      <c r="EK207" t="e">
        <f>IF("N",'PE1'!_xlnm.Print_Area,"AAAAAHTS84w=")</f>
        <v>#VALUE!</v>
      </c>
      <c r="EL207" t="e">
        <f>IF("N",'PE1'!_xlnm.Print_Area,"AAAAAHTS840=")</f>
        <v>#VALUE!</v>
      </c>
      <c r="EM207" t="e">
        <f>IF("N",'PE1'!_xlnm.Print_Area,"AAAAAHTS844=")</f>
        <v>#VALUE!</v>
      </c>
      <c r="EN207" t="e">
        <f>IF("N",'PE1'!_xlnm.Print_Area,"AAAAAHTS848=")</f>
        <v>#VALUE!</v>
      </c>
      <c r="EO207" t="e">
        <f>IF("N",'PE1'!_xlnm.Print_Area,"AAAAAHTS85A=")</f>
        <v>#VALUE!</v>
      </c>
      <c r="EP207" t="e">
        <f>IF("N",'PE1'!_xlnm.Print_Area,"AAAAAHTS85E=")</f>
        <v>#VALUE!</v>
      </c>
      <c r="EQ207" t="e">
        <f>IF("N",'PE1'!_xlnm.Print_Area,"AAAAAHTS85I=")</f>
        <v>#VALUE!</v>
      </c>
      <c r="ER207" t="e">
        <f>IF("N",'PE1'!_xlnm.Print_Area,"AAAAAHTS85M=")</f>
        <v>#VALUE!</v>
      </c>
      <c r="ES207" t="e">
        <f>IF("N",'PE1'!_xlnm.Print_Area,"AAAAAHTS85Q=")</f>
        <v>#VALUE!</v>
      </c>
      <c r="ET207" t="e">
        <f>IF("N",'PE1'!_xlnm.Print_Area,"AAAAAHTS85U=")</f>
        <v>#VALUE!</v>
      </c>
      <c r="EU207" t="e">
        <f>IF("N",'PE1'!_xlnm.Print_Area,"AAAAAHTS85Y=")</f>
        <v>#VALUE!</v>
      </c>
      <c r="EV207" t="e">
        <f>IF("N",'PE1'!_xlnm.Print_Area,"AAAAAHTS85c=")</f>
        <v>#VALUE!</v>
      </c>
      <c r="EW207" t="e">
        <f>IF("N",'PE1'!_xlnm.Print_Area,"AAAAAHTS85g=")</f>
        <v>#VALUE!</v>
      </c>
      <c r="EX207" t="e">
        <f>IF("N",'PE1'!_xlnm.Print_Area,"AAAAAHTS85k=")</f>
        <v>#VALUE!</v>
      </c>
      <c r="EY207" t="e">
        <f>IF("N",'PE1'!_xlnm.Print_Area,"AAAAAHTS85o=")</f>
        <v>#VALUE!</v>
      </c>
      <c r="EZ207" t="e">
        <f>IF("N",'PE1'!_xlnm.Print_Area,"AAAAAHTS85s=")</f>
        <v>#VALUE!</v>
      </c>
      <c r="FA207" t="e">
        <f>IF("N",'PE1'!_xlnm.Print_Area,"AAAAAHTS85w=")</f>
        <v>#VALUE!</v>
      </c>
      <c r="FB207" t="e">
        <f>IF("N",'PE1'!_xlnm.Print_Area,"AAAAAHTS850=")</f>
        <v>#VALUE!</v>
      </c>
      <c r="FC207" t="e">
        <f>IF("N",'PE1'!_xlnm.Print_Area,"AAAAAHTS854=")</f>
        <v>#VALUE!</v>
      </c>
      <c r="FD207" t="e">
        <f>IF("N",'PE1'!_xlnm.Print_Area,"AAAAAHTS858=")</f>
        <v>#VALUE!</v>
      </c>
      <c r="FE207" t="e">
        <f>IF("N",'PE1'!_xlnm.Print_Area,"AAAAAHTS86A=")</f>
        <v>#VALUE!</v>
      </c>
      <c r="FF207" t="e">
        <f>IF("N",'PE1'!_xlnm.Print_Area,"AAAAAHTS86E=")</f>
        <v>#VALUE!</v>
      </c>
      <c r="FG207" t="e">
        <f>IF("N",'PE1'!_xlnm.Print_Area,"AAAAAHTS86I=")</f>
        <v>#VALUE!</v>
      </c>
      <c r="FH207" t="e">
        <f>IF("N",'PE1'!_xlnm.Print_Area,"AAAAAHTS86M=")</f>
        <v>#VALUE!</v>
      </c>
      <c r="FI207" t="e">
        <f>IF("N",'PE1'!_xlnm.Print_Area,"AAAAAHTS86Q=")</f>
        <v>#VALUE!</v>
      </c>
      <c r="FJ207" t="e">
        <f>IF("N",'PE1'!_xlnm.Print_Area,"AAAAAHTS86U=")</f>
        <v>#VALUE!</v>
      </c>
      <c r="FK207" t="e">
        <f>IF("N",'PE1'!_xlnm.Print_Area,"AAAAAHTS86Y=")</f>
        <v>#VALUE!</v>
      </c>
      <c r="FL207" t="e">
        <f>IF("N",TabRaspored1,"AAAAAHTS86c=")</f>
        <v>#VALUE!</v>
      </c>
      <c r="FM207" t="e">
        <f>IF("N",TabRaspored2,"AAAAAHTS86g=")</f>
        <v>#VALUE!</v>
      </c>
      <c r="FN207" t="e">
        <f>IF("N",TabRaspored3,"AAAAAHTS86k=")</f>
        <v>#VALUE!</v>
      </c>
      <c r="FO207" t="e">
        <f>IF("N",TabRaspored4,"AAAAAHTS86o=")</f>
        <v>#VALUE!</v>
      </c>
    </row>
    <row r="208" spans="1:256" x14ac:dyDescent="0.25">
      <c r="A208" t="e">
        <f>IF("N",[0]!_xlnm._FilterDatabase,"AAAAAHc99wA=")</f>
        <v>#VALUE!</v>
      </c>
      <c r="B208" t="e">
        <f>IF("N",'PE1'!_xlnm.Print_Area,"AAAAAHc99wE=")</f>
        <v>#VALUE!</v>
      </c>
      <c r="C208" t="e">
        <f>IF("N",'PE1'!_xlnm.Print_Area,"AAAAAHc99wI=")</f>
        <v>#VALUE!</v>
      </c>
      <c r="D208" t="e">
        <f>IF("N",'PE1'!_xlnm.Print_Area,"AAAAAHc99wM=")</f>
        <v>#VALUE!</v>
      </c>
      <c r="E208" t="e">
        <f>IF("N",'PE1'!_xlnm.Print_Area,"AAAAAHc99wQ=")</f>
        <v>#VALUE!</v>
      </c>
      <c r="F208" t="e">
        <f>IF("N",'PE1'!_xlnm.Print_Area,"AAAAAHc99wU=")</f>
        <v>#VALUE!</v>
      </c>
      <c r="G208" t="e">
        <f>IF("N",'PE1'!_xlnm.Print_Area,"AAAAAHc99wY=")</f>
        <v>#VALUE!</v>
      </c>
      <c r="H208" t="e">
        <f>IF("N",'PE1'!_xlnm.Print_Area,"AAAAAHc99wc=")</f>
        <v>#VALUE!</v>
      </c>
      <c r="I208" t="e">
        <f>IF("N",'PE1'!_xlnm.Print_Area,"AAAAAHc99wg=")</f>
        <v>#VALUE!</v>
      </c>
      <c r="J208" t="e">
        <f>IF("N",'PE1'!_xlnm.Print_Area,"AAAAAHc99wk=")</f>
        <v>#VALUE!</v>
      </c>
      <c r="K208" t="e">
        <f>IF("N",'PE1'!_xlnm.Print_Area,"AAAAAHc99wo=")</f>
        <v>#VALUE!</v>
      </c>
      <c r="L208" t="e">
        <f>IF("N",'PE1'!_xlnm.Print_Area,"AAAAAHc99ws=")</f>
        <v>#VALUE!</v>
      </c>
      <c r="M208" t="e">
        <f>IF("N",'PE1'!_xlnm.Print_Area,"AAAAAHc99ww=")</f>
        <v>#VALUE!</v>
      </c>
      <c r="N208" t="e">
        <f>IF("N",'PE1'!_xlnm.Print_Area,"AAAAAHc99w0=")</f>
        <v>#VALUE!</v>
      </c>
      <c r="O208" t="e">
        <f>IF("N",'PE1'!_xlnm.Print_Area,"AAAAAHc99w4=")</f>
        <v>#VALUE!</v>
      </c>
      <c r="P208" t="e">
        <f>IF("N",'PE1'!_xlnm.Print_Area,"AAAAAHc99w8=")</f>
        <v>#VALUE!</v>
      </c>
      <c r="Q208" t="e">
        <f>IF("N",'PE1'!_xlnm.Print_Area,"AAAAAHc99xA=")</f>
        <v>#VALUE!</v>
      </c>
      <c r="R208" t="e">
        <f>IF("N",'PE1'!_xlnm.Print_Area,"AAAAAHc99xE=")</f>
        <v>#VALUE!</v>
      </c>
      <c r="S208" t="e">
        <f>IF("N",'PE1'!_xlnm.Print_Area,"AAAAAHc99xI=")</f>
        <v>#VALUE!</v>
      </c>
      <c r="T208" t="e">
        <f>IF("N",'PE1'!_xlnm.Print_Area,"AAAAAHc99xM=")</f>
        <v>#VALUE!</v>
      </c>
      <c r="U208" t="e">
        <f>IF("N",'PE1'!_xlnm.Print_Area,"AAAAAHc99xQ=")</f>
        <v>#VALUE!</v>
      </c>
      <c r="V208" t="e">
        <f>IF("N",'PE1'!_xlnm.Print_Area,"AAAAAHc99xU=")</f>
        <v>#VALUE!</v>
      </c>
      <c r="W208" t="e">
        <f>IF("N",'PE1'!_xlnm.Print_Area,"AAAAAHc99xY=")</f>
        <v>#VALUE!</v>
      </c>
      <c r="X208" t="e">
        <f>IF("N",'PE1'!_xlnm.Print_Area,"AAAAAHc99xc=")</f>
        <v>#VALUE!</v>
      </c>
      <c r="Y208" t="e">
        <f>IF("N",'PE1'!_xlnm.Print_Area,"AAAAAHc99xg=")</f>
        <v>#VALUE!</v>
      </c>
      <c r="Z208" t="e">
        <f>IF("N",'PE1'!_xlnm.Print_Area,"AAAAAHc99xk=")</f>
        <v>#VALUE!</v>
      </c>
      <c r="AA208" t="e">
        <f>IF("N",'PE1'!_xlnm.Print_Area,"AAAAAHc99xo=")</f>
        <v>#VALUE!</v>
      </c>
      <c r="AB208" t="e">
        <f>IF("N",'PE1'!_xlnm.Print_Area,"AAAAAHc99xs=")</f>
        <v>#VALUE!</v>
      </c>
      <c r="AC208" t="e">
        <f>IF("N",'PE1'!_xlnm.Print_Area,"AAAAAHc99xw=")</f>
        <v>#VALUE!</v>
      </c>
      <c r="AD208" t="e">
        <f>IF("N",'PE1'!_xlnm.Print_Area,"AAAAAHc99x0=")</f>
        <v>#VALUE!</v>
      </c>
    </row>
    <row r="209" spans="1:30" x14ac:dyDescent="0.25">
      <c r="A209" t="e">
        <f>IF("N",[0]!_xlnm._FilterDatabase,"AAAAAHv97QA=")</f>
        <v>#VALUE!</v>
      </c>
      <c r="B209" t="e">
        <f>IF("N",'PE1'!_xlnm.Print_Area,"AAAAAHv97QE=")</f>
        <v>#VALUE!</v>
      </c>
      <c r="C209" t="e">
        <f>IF("N",'PE1'!_xlnm.Print_Area,"AAAAAHv97QI=")</f>
        <v>#VALUE!</v>
      </c>
      <c r="D209" t="e">
        <f>IF("N",'PE1'!_xlnm.Print_Area,"AAAAAHv97QM=")</f>
        <v>#VALUE!</v>
      </c>
      <c r="E209" t="e">
        <f>IF("N",'PE1'!_xlnm.Print_Area,"AAAAAHv97QQ=")</f>
        <v>#VALUE!</v>
      </c>
      <c r="F209" t="e">
        <f>IF("N",'PE1'!_xlnm.Print_Area,"AAAAAHv97QU=")</f>
        <v>#VALUE!</v>
      </c>
      <c r="G209" t="e">
        <f>IF("N",'PE1'!_xlnm.Print_Area,"AAAAAHv97QY=")</f>
        <v>#VALUE!</v>
      </c>
      <c r="H209" t="e">
        <f>IF("N",'PE1'!_xlnm.Print_Area,"AAAAAHv97Qc=")</f>
        <v>#VALUE!</v>
      </c>
      <c r="I209" t="e">
        <f>IF("N",'PE1'!_xlnm.Print_Area,"AAAAAHv97Qg=")</f>
        <v>#VALUE!</v>
      </c>
      <c r="J209" t="e">
        <f>IF("N",'PE1'!_xlnm.Print_Area,"AAAAAHv97Qk=")</f>
        <v>#VALUE!</v>
      </c>
      <c r="K209" t="e">
        <f>IF("N",'PE1'!_xlnm.Print_Area,"AAAAAHv97Qo=")</f>
        <v>#VALUE!</v>
      </c>
      <c r="L209" t="e">
        <f>IF("N",'PE1'!_xlnm.Print_Area,"AAAAAHv97Qs=")</f>
        <v>#VALUE!</v>
      </c>
      <c r="M209" t="e">
        <f>IF("N",'PE1'!_xlnm.Print_Area,"AAAAAHv97Qw=")</f>
        <v>#VALUE!</v>
      </c>
      <c r="N209" t="e">
        <f>IF("N",'PE1'!_xlnm.Print_Area,"AAAAAHv97Q0=")</f>
        <v>#VALUE!</v>
      </c>
      <c r="O209" t="e">
        <f>IF("N",'PE1'!_xlnm.Print_Area,"AAAAAHv97Q4=")</f>
        <v>#VALUE!</v>
      </c>
      <c r="P209" t="e">
        <f>IF("N",'PE1'!_xlnm.Print_Area,"AAAAAHv97Q8=")</f>
        <v>#VALUE!</v>
      </c>
      <c r="Q209" t="e">
        <f>IF("N",'PE1'!_xlnm.Print_Area,"AAAAAHv97RA=")</f>
        <v>#VALUE!</v>
      </c>
      <c r="R209" t="e">
        <f>IF("N",'PE1'!_xlnm.Print_Area,"AAAAAHv97RE=")</f>
        <v>#VALUE!</v>
      </c>
      <c r="S209" t="e">
        <f>IF("N",'PE1'!_xlnm.Print_Area,"AAAAAHv97RI=")</f>
        <v>#VALUE!</v>
      </c>
      <c r="T209" t="e">
        <f>IF("N",'PE1'!_xlnm.Print_Area,"AAAAAHv97RM=")</f>
        <v>#VALUE!</v>
      </c>
      <c r="U209" t="e">
        <f>IF("N",'PE1'!_xlnm.Print_Area,"AAAAAHv97RQ=")</f>
        <v>#VALUE!</v>
      </c>
      <c r="V209" t="e">
        <f>IF("N",'PE1'!_xlnm.Print_Area,"AAAAAHv97RU=")</f>
        <v>#VALUE!</v>
      </c>
      <c r="W209" t="e">
        <f>IF("N",'PE1'!_xlnm.Print_Area,"AAAAAHv97RY=")</f>
        <v>#VALUE!</v>
      </c>
      <c r="X209" t="e">
        <f>IF("N",'PE1'!_xlnm.Print_Area,"AAAAAHv97Rc=")</f>
        <v>#VALUE!</v>
      </c>
      <c r="Y209" t="e">
        <f>IF("N",'PE1'!_xlnm.Print_Area,"AAAAAHv97Rg=")</f>
        <v>#VALUE!</v>
      </c>
      <c r="Z209" t="e">
        <f>IF("N",'PE1'!_xlnm.Print_Area,"AAAAAHv97Rk=")</f>
        <v>#VALUE!</v>
      </c>
      <c r="AA209" t="e">
        <f>IF("N",'PE1'!_xlnm.Print_Area,"AAAAAHv97Ro=")</f>
        <v>#VALUE!</v>
      </c>
      <c r="AB209" t="e">
        <f>IF("N",'PE1'!_xlnm.Print_Area,"AAAAAHv97Rs=")</f>
        <v>#VALUE!</v>
      </c>
      <c r="AC209" t="e">
        <f>IF("N",'PE1'!_xlnm.Print_Area,"AAAAAHv97Rw=")</f>
        <v>#VALUE!</v>
      </c>
      <c r="AD209" t="e">
        <f>IF("N",'PE1'!_xlnm.Print_Area,"AAAAAHv97R0=")</f>
        <v>#VALUE!</v>
      </c>
    </row>
  </sheetData>
  <pageMargins left="0.7" right="0.7" top="0.75" bottom="0.75" header="0.3" footer="0.3"/>
  <customProperties>
    <customPr name="DVSECTION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5"/>
  <sheetViews>
    <sheetView view="pageBreakPreview" topLeftCell="A3" zoomScaleNormal="100" zoomScaleSheetLayoutView="100" workbookViewId="0">
      <selection activeCell="AC9" sqref="AC9"/>
    </sheetView>
  </sheetViews>
  <sheetFormatPr defaultRowHeight="12.75" x14ac:dyDescent="0.2"/>
  <cols>
    <col min="1" max="1" width="7.25" style="1" customWidth="1"/>
    <col min="2" max="2" width="21.625" style="1" customWidth="1"/>
    <col min="3" max="3" width="4.75" style="1" customWidth="1"/>
    <col min="4" max="4" width="5" style="1" customWidth="1"/>
    <col min="5" max="5" width="4.75" style="1" customWidth="1"/>
    <col min="6" max="6" width="3.875" style="1" customWidth="1"/>
    <col min="7" max="7" width="5.25" style="1" customWidth="1"/>
    <col min="8" max="8" width="5" style="7" customWidth="1"/>
    <col min="9" max="9" width="3.875" style="1" customWidth="1"/>
    <col min="10" max="10" width="4.375" style="1" customWidth="1"/>
    <col min="11" max="11" width="5.125" style="1" customWidth="1"/>
    <col min="12" max="12" width="5" style="7" customWidth="1"/>
    <col min="13" max="14" width="3.875" style="1" customWidth="1"/>
    <col min="15" max="16" width="5" style="1" customWidth="1"/>
    <col min="17" max="18" width="3.875" style="1" customWidth="1"/>
    <col min="19" max="19" width="4.625" style="1" customWidth="1"/>
    <col min="20" max="20" width="5" style="7" customWidth="1"/>
    <col min="21" max="22" width="3.875" style="1" customWidth="1"/>
    <col min="23" max="23" width="4.625" style="1" customWidth="1"/>
    <col min="24" max="24" width="4.75" style="1" customWidth="1"/>
    <col min="25" max="25" width="4" style="1" customWidth="1"/>
    <col min="26" max="26" width="4.375" style="1" customWidth="1"/>
    <col min="27" max="27" width="4.875" style="1" customWidth="1"/>
    <col min="28" max="28" width="4" style="1" customWidth="1"/>
    <col min="29" max="255" width="9" style="1"/>
    <col min="256" max="256" width="5" style="1" customWidth="1"/>
    <col min="257" max="257" width="20.5" style="1" customWidth="1"/>
    <col min="258" max="258" width="2.375" style="1" customWidth="1"/>
    <col min="259" max="259" width="3.75" style="1" customWidth="1"/>
    <col min="260" max="261" width="5" style="1" customWidth="1"/>
    <col min="262" max="263" width="3.75" style="1" customWidth="1"/>
    <col min="264" max="265" width="5" style="1" customWidth="1"/>
    <col min="266" max="267" width="3.75" style="1" customWidth="1"/>
    <col min="268" max="269" width="5" style="1" customWidth="1"/>
    <col min="270" max="271" width="3.75" style="1" customWidth="1"/>
    <col min="272" max="273" width="5" style="1" customWidth="1"/>
    <col min="274" max="275" width="3.75" style="1" customWidth="1"/>
    <col min="276" max="277" width="5" style="1" customWidth="1"/>
    <col min="278" max="279" width="3.75" style="1" customWidth="1"/>
    <col min="280" max="280" width="3.5" style="1" customWidth="1"/>
    <col min="281" max="511" width="9" style="1"/>
    <col min="512" max="512" width="5" style="1" customWidth="1"/>
    <col min="513" max="513" width="20.5" style="1" customWidth="1"/>
    <col min="514" max="514" width="2.375" style="1" customWidth="1"/>
    <col min="515" max="515" width="3.75" style="1" customWidth="1"/>
    <col min="516" max="517" width="5" style="1" customWidth="1"/>
    <col min="518" max="519" width="3.75" style="1" customWidth="1"/>
    <col min="520" max="521" width="5" style="1" customWidth="1"/>
    <col min="522" max="523" width="3.75" style="1" customWidth="1"/>
    <col min="524" max="525" width="5" style="1" customWidth="1"/>
    <col min="526" max="527" width="3.75" style="1" customWidth="1"/>
    <col min="528" max="529" width="5" style="1" customWidth="1"/>
    <col min="530" max="531" width="3.75" style="1" customWidth="1"/>
    <col min="532" max="533" width="5" style="1" customWidth="1"/>
    <col min="534" max="535" width="3.75" style="1" customWidth="1"/>
    <col min="536" max="536" width="3.5" style="1" customWidth="1"/>
    <col min="537" max="767" width="9" style="1"/>
    <col min="768" max="768" width="5" style="1" customWidth="1"/>
    <col min="769" max="769" width="20.5" style="1" customWidth="1"/>
    <col min="770" max="770" width="2.375" style="1" customWidth="1"/>
    <col min="771" max="771" width="3.75" style="1" customWidth="1"/>
    <col min="772" max="773" width="5" style="1" customWidth="1"/>
    <col min="774" max="775" width="3.75" style="1" customWidth="1"/>
    <col min="776" max="777" width="5" style="1" customWidth="1"/>
    <col min="778" max="779" width="3.75" style="1" customWidth="1"/>
    <col min="780" max="781" width="5" style="1" customWidth="1"/>
    <col min="782" max="783" width="3.75" style="1" customWidth="1"/>
    <col min="784" max="785" width="5" style="1" customWidth="1"/>
    <col min="786" max="787" width="3.75" style="1" customWidth="1"/>
    <col min="788" max="789" width="5" style="1" customWidth="1"/>
    <col min="790" max="791" width="3.75" style="1" customWidth="1"/>
    <col min="792" max="792" width="3.5" style="1" customWidth="1"/>
    <col min="793" max="1023" width="9" style="1"/>
    <col min="1024" max="1024" width="5" style="1" customWidth="1"/>
    <col min="1025" max="1025" width="20.5" style="1" customWidth="1"/>
    <col min="1026" max="1026" width="2.375" style="1" customWidth="1"/>
    <col min="1027" max="1027" width="3.75" style="1" customWidth="1"/>
    <col min="1028" max="1029" width="5" style="1" customWidth="1"/>
    <col min="1030" max="1031" width="3.75" style="1" customWidth="1"/>
    <col min="1032" max="1033" width="5" style="1" customWidth="1"/>
    <col min="1034" max="1035" width="3.75" style="1" customWidth="1"/>
    <col min="1036" max="1037" width="5" style="1" customWidth="1"/>
    <col min="1038" max="1039" width="3.75" style="1" customWidth="1"/>
    <col min="1040" max="1041" width="5" style="1" customWidth="1"/>
    <col min="1042" max="1043" width="3.75" style="1" customWidth="1"/>
    <col min="1044" max="1045" width="5" style="1" customWidth="1"/>
    <col min="1046" max="1047" width="3.75" style="1" customWidth="1"/>
    <col min="1048" max="1048" width="3.5" style="1" customWidth="1"/>
    <col min="1049" max="1279" width="9" style="1"/>
    <col min="1280" max="1280" width="5" style="1" customWidth="1"/>
    <col min="1281" max="1281" width="20.5" style="1" customWidth="1"/>
    <col min="1282" max="1282" width="2.375" style="1" customWidth="1"/>
    <col min="1283" max="1283" width="3.75" style="1" customWidth="1"/>
    <col min="1284" max="1285" width="5" style="1" customWidth="1"/>
    <col min="1286" max="1287" width="3.75" style="1" customWidth="1"/>
    <col min="1288" max="1289" width="5" style="1" customWidth="1"/>
    <col min="1290" max="1291" width="3.75" style="1" customWidth="1"/>
    <col min="1292" max="1293" width="5" style="1" customWidth="1"/>
    <col min="1294" max="1295" width="3.75" style="1" customWidth="1"/>
    <col min="1296" max="1297" width="5" style="1" customWidth="1"/>
    <col min="1298" max="1299" width="3.75" style="1" customWidth="1"/>
    <col min="1300" max="1301" width="5" style="1" customWidth="1"/>
    <col min="1302" max="1303" width="3.75" style="1" customWidth="1"/>
    <col min="1304" max="1304" width="3.5" style="1" customWidth="1"/>
    <col min="1305" max="1535" width="9" style="1"/>
    <col min="1536" max="1536" width="5" style="1" customWidth="1"/>
    <col min="1537" max="1537" width="20.5" style="1" customWidth="1"/>
    <col min="1538" max="1538" width="2.375" style="1" customWidth="1"/>
    <col min="1539" max="1539" width="3.75" style="1" customWidth="1"/>
    <col min="1540" max="1541" width="5" style="1" customWidth="1"/>
    <col min="1542" max="1543" width="3.75" style="1" customWidth="1"/>
    <col min="1544" max="1545" width="5" style="1" customWidth="1"/>
    <col min="1546" max="1547" width="3.75" style="1" customWidth="1"/>
    <col min="1548" max="1549" width="5" style="1" customWidth="1"/>
    <col min="1550" max="1551" width="3.75" style="1" customWidth="1"/>
    <col min="1552" max="1553" width="5" style="1" customWidth="1"/>
    <col min="1554" max="1555" width="3.75" style="1" customWidth="1"/>
    <col min="1556" max="1557" width="5" style="1" customWidth="1"/>
    <col min="1558" max="1559" width="3.75" style="1" customWidth="1"/>
    <col min="1560" max="1560" width="3.5" style="1" customWidth="1"/>
    <col min="1561" max="1791" width="9" style="1"/>
    <col min="1792" max="1792" width="5" style="1" customWidth="1"/>
    <col min="1793" max="1793" width="20.5" style="1" customWidth="1"/>
    <col min="1794" max="1794" width="2.375" style="1" customWidth="1"/>
    <col min="1795" max="1795" width="3.75" style="1" customWidth="1"/>
    <col min="1796" max="1797" width="5" style="1" customWidth="1"/>
    <col min="1798" max="1799" width="3.75" style="1" customWidth="1"/>
    <col min="1800" max="1801" width="5" style="1" customWidth="1"/>
    <col min="1802" max="1803" width="3.75" style="1" customWidth="1"/>
    <col min="1804" max="1805" width="5" style="1" customWidth="1"/>
    <col min="1806" max="1807" width="3.75" style="1" customWidth="1"/>
    <col min="1808" max="1809" width="5" style="1" customWidth="1"/>
    <col min="1810" max="1811" width="3.75" style="1" customWidth="1"/>
    <col min="1812" max="1813" width="5" style="1" customWidth="1"/>
    <col min="1814" max="1815" width="3.75" style="1" customWidth="1"/>
    <col min="1816" max="1816" width="3.5" style="1" customWidth="1"/>
    <col min="1817" max="2047" width="9" style="1"/>
    <col min="2048" max="2048" width="5" style="1" customWidth="1"/>
    <col min="2049" max="2049" width="20.5" style="1" customWidth="1"/>
    <col min="2050" max="2050" width="2.375" style="1" customWidth="1"/>
    <col min="2051" max="2051" width="3.75" style="1" customWidth="1"/>
    <col min="2052" max="2053" width="5" style="1" customWidth="1"/>
    <col min="2054" max="2055" width="3.75" style="1" customWidth="1"/>
    <col min="2056" max="2057" width="5" style="1" customWidth="1"/>
    <col min="2058" max="2059" width="3.75" style="1" customWidth="1"/>
    <col min="2060" max="2061" width="5" style="1" customWidth="1"/>
    <col min="2062" max="2063" width="3.75" style="1" customWidth="1"/>
    <col min="2064" max="2065" width="5" style="1" customWidth="1"/>
    <col min="2066" max="2067" width="3.75" style="1" customWidth="1"/>
    <col min="2068" max="2069" width="5" style="1" customWidth="1"/>
    <col min="2070" max="2071" width="3.75" style="1" customWidth="1"/>
    <col min="2072" max="2072" width="3.5" style="1" customWidth="1"/>
    <col min="2073" max="2303" width="9" style="1"/>
    <col min="2304" max="2304" width="5" style="1" customWidth="1"/>
    <col min="2305" max="2305" width="20.5" style="1" customWidth="1"/>
    <col min="2306" max="2306" width="2.375" style="1" customWidth="1"/>
    <col min="2307" max="2307" width="3.75" style="1" customWidth="1"/>
    <col min="2308" max="2309" width="5" style="1" customWidth="1"/>
    <col min="2310" max="2311" width="3.75" style="1" customWidth="1"/>
    <col min="2312" max="2313" width="5" style="1" customWidth="1"/>
    <col min="2314" max="2315" width="3.75" style="1" customWidth="1"/>
    <col min="2316" max="2317" width="5" style="1" customWidth="1"/>
    <col min="2318" max="2319" width="3.75" style="1" customWidth="1"/>
    <col min="2320" max="2321" width="5" style="1" customWidth="1"/>
    <col min="2322" max="2323" width="3.75" style="1" customWidth="1"/>
    <col min="2324" max="2325" width="5" style="1" customWidth="1"/>
    <col min="2326" max="2327" width="3.75" style="1" customWidth="1"/>
    <col min="2328" max="2328" width="3.5" style="1" customWidth="1"/>
    <col min="2329" max="2559" width="9" style="1"/>
    <col min="2560" max="2560" width="5" style="1" customWidth="1"/>
    <col min="2561" max="2561" width="20.5" style="1" customWidth="1"/>
    <col min="2562" max="2562" width="2.375" style="1" customWidth="1"/>
    <col min="2563" max="2563" width="3.75" style="1" customWidth="1"/>
    <col min="2564" max="2565" width="5" style="1" customWidth="1"/>
    <col min="2566" max="2567" width="3.75" style="1" customWidth="1"/>
    <col min="2568" max="2569" width="5" style="1" customWidth="1"/>
    <col min="2570" max="2571" width="3.75" style="1" customWidth="1"/>
    <col min="2572" max="2573" width="5" style="1" customWidth="1"/>
    <col min="2574" max="2575" width="3.75" style="1" customWidth="1"/>
    <col min="2576" max="2577" width="5" style="1" customWidth="1"/>
    <col min="2578" max="2579" width="3.75" style="1" customWidth="1"/>
    <col min="2580" max="2581" width="5" style="1" customWidth="1"/>
    <col min="2582" max="2583" width="3.75" style="1" customWidth="1"/>
    <col min="2584" max="2584" width="3.5" style="1" customWidth="1"/>
    <col min="2585" max="2815" width="9" style="1"/>
    <col min="2816" max="2816" width="5" style="1" customWidth="1"/>
    <col min="2817" max="2817" width="20.5" style="1" customWidth="1"/>
    <col min="2818" max="2818" width="2.375" style="1" customWidth="1"/>
    <col min="2819" max="2819" width="3.75" style="1" customWidth="1"/>
    <col min="2820" max="2821" width="5" style="1" customWidth="1"/>
    <col min="2822" max="2823" width="3.75" style="1" customWidth="1"/>
    <col min="2824" max="2825" width="5" style="1" customWidth="1"/>
    <col min="2826" max="2827" width="3.75" style="1" customWidth="1"/>
    <col min="2828" max="2829" width="5" style="1" customWidth="1"/>
    <col min="2830" max="2831" width="3.75" style="1" customWidth="1"/>
    <col min="2832" max="2833" width="5" style="1" customWidth="1"/>
    <col min="2834" max="2835" width="3.75" style="1" customWidth="1"/>
    <col min="2836" max="2837" width="5" style="1" customWidth="1"/>
    <col min="2838" max="2839" width="3.75" style="1" customWidth="1"/>
    <col min="2840" max="2840" width="3.5" style="1" customWidth="1"/>
    <col min="2841" max="3071" width="9" style="1"/>
    <col min="3072" max="3072" width="5" style="1" customWidth="1"/>
    <col min="3073" max="3073" width="20.5" style="1" customWidth="1"/>
    <col min="3074" max="3074" width="2.375" style="1" customWidth="1"/>
    <col min="3075" max="3075" width="3.75" style="1" customWidth="1"/>
    <col min="3076" max="3077" width="5" style="1" customWidth="1"/>
    <col min="3078" max="3079" width="3.75" style="1" customWidth="1"/>
    <col min="3080" max="3081" width="5" style="1" customWidth="1"/>
    <col min="3082" max="3083" width="3.75" style="1" customWidth="1"/>
    <col min="3084" max="3085" width="5" style="1" customWidth="1"/>
    <col min="3086" max="3087" width="3.75" style="1" customWidth="1"/>
    <col min="3088" max="3089" width="5" style="1" customWidth="1"/>
    <col min="3090" max="3091" width="3.75" style="1" customWidth="1"/>
    <col min="3092" max="3093" width="5" style="1" customWidth="1"/>
    <col min="3094" max="3095" width="3.75" style="1" customWidth="1"/>
    <col min="3096" max="3096" width="3.5" style="1" customWidth="1"/>
    <col min="3097" max="3327" width="9" style="1"/>
    <col min="3328" max="3328" width="5" style="1" customWidth="1"/>
    <col min="3329" max="3329" width="20.5" style="1" customWidth="1"/>
    <col min="3330" max="3330" width="2.375" style="1" customWidth="1"/>
    <col min="3331" max="3331" width="3.75" style="1" customWidth="1"/>
    <col min="3332" max="3333" width="5" style="1" customWidth="1"/>
    <col min="3334" max="3335" width="3.75" style="1" customWidth="1"/>
    <col min="3336" max="3337" width="5" style="1" customWidth="1"/>
    <col min="3338" max="3339" width="3.75" style="1" customWidth="1"/>
    <col min="3340" max="3341" width="5" style="1" customWidth="1"/>
    <col min="3342" max="3343" width="3.75" style="1" customWidth="1"/>
    <col min="3344" max="3345" width="5" style="1" customWidth="1"/>
    <col min="3346" max="3347" width="3.75" style="1" customWidth="1"/>
    <col min="3348" max="3349" width="5" style="1" customWidth="1"/>
    <col min="3350" max="3351" width="3.75" style="1" customWidth="1"/>
    <col min="3352" max="3352" width="3.5" style="1" customWidth="1"/>
    <col min="3353" max="3583" width="9" style="1"/>
    <col min="3584" max="3584" width="5" style="1" customWidth="1"/>
    <col min="3585" max="3585" width="20.5" style="1" customWidth="1"/>
    <col min="3586" max="3586" width="2.375" style="1" customWidth="1"/>
    <col min="3587" max="3587" width="3.75" style="1" customWidth="1"/>
    <col min="3588" max="3589" width="5" style="1" customWidth="1"/>
    <col min="3590" max="3591" width="3.75" style="1" customWidth="1"/>
    <col min="3592" max="3593" width="5" style="1" customWidth="1"/>
    <col min="3594" max="3595" width="3.75" style="1" customWidth="1"/>
    <col min="3596" max="3597" width="5" style="1" customWidth="1"/>
    <col min="3598" max="3599" width="3.75" style="1" customWidth="1"/>
    <col min="3600" max="3601" width="5" style="1" customWidth="1"/>
    <col min="3602" max="3603" width="3.75" style="1" customWidth="1"/>
    <col min="3604" max="3605" width="5" style="1" customWidth="1"/>
    <col min="3606" max="3607" width="3.75" style="1" customWidth="1"/>
    <col min="3608" max="3608" width="3.5" style="1" customWidth="1"/>
    <col min="3609" max="3839" width="9" style="1"/>
    <col min="3840" max="3840" width="5" style="1" customWidth="1"/>
    <col min="3841" max="3841" width="20.5" style="1" customWidth="1"/>
    <col min="3842" max="3842" width="2.375" style="1" customWidth="1"/>
    <col min="3843" max="3843" width="3.75" style="1" customWidth="1"/>
    <col min="3844" max="3845" width="5" style="1" customWidth="1"/>
    <col min="3846" max="3847" width="3.75" style="1" customWidth="1"/>
    <col min="3848" max="3849" width="5" style="1" customWidth="1"/>
    <col min="3850" max="3851" width="3.75" style="1" customWidth="1"/>
    <col min="3852" max="3853" width="5" style="1" customWidth="1"/>
    <col min="3854" max="3855" width="3.75" style="1" customWidth="1"/>
    <col min="3856" max="3857" width="5" style="1" customWidth="1"/>
    <col min="3858" max="3859" width="3.75" style="1" customWidth="1"/>
    <col min="3860" max="3861" width="5" style="1" customWidth="1"/>
    <col min="3862" max="3863" width="3.75" style="1" customWidth="1"/>
    <col min="3864" max="3864" width="3.5" style="1" customWidth="1"/>
    <col min="3865" max="4095" width="9" style="1"/>
    <col min="4096" max="4096" width="5" style="1" customWidth="1"/>
    <col min="4097" max="4097" width="20.5" style="1" customWidth="1"/>
    <col min="4098" max="4098" width="2.375" style="1" customWidth="1"/>
    <col min="4099" max="4099" width="3.75" style="1" customWidth="1"/>
    <col min="4100" max="4101" width="5" style="1" customWidth="1"/>
    <col min="4102" max="4103" width="3.75" style="1" customWidth="1"/>
    <col min="4104" max="4105" width="5" style="1" customWidth="1"/>
    <col min="4106" max="4107" width="3.75" style="1" customWidth="1"/>
    <col min="4108" max="4109" width="5" style="1" customWidth="1"/>
    <col min="4110" max="4111" width="3.75" style="1" customWidth="1"/>
    <col min="4112" max="4113" width="5" style="1" customWidth="1"/>
    <col min="4114" max="4115" width="3.75" style="1" customWidth="1"/>
    <col min="4116" max="4117" width="5" style="1" customWidth="1"/>
    <col min="4118" max="4119" width="3.75" style="1" customWidth="1"/>
    <col min="4120" max="4120" width="3.5" style="1" customWidth="1"/>
    <col min="4121" max="4351" width="9" style="1"/>
    <col min="4352" max="4352" width="5" style="1" customWidth="1"/>
    <col min="4353" max="4353" width="20.5" style="1" customWidth="1"/>
    <col min="4354" max="4354" width="2.375" style="1" customWidth="1"/>
    <col min="4355" max="4355" width="3.75" style="1" customWidth="1"/>
    <col min="4356" max="4357" width="5" style="1" customWidth="1"/>
    <col min="4358" max="4359" width="3.75" style="1" customWidth="1"/>
    <col min="4360" max="4361" width="5" style="1" customWidth="1"/>
    <col min="4362" max="4363" width="3.75" style="1" customWidth="1"/>
    <col min="4364" max="4365" width="5" style="1" customWidth="1"/>
    <col min="4366" max="4367" width="3.75" style="1" customWidth="1"/>
    <col min="4368" max="4369" width="5" style="1" customWidth="1"/>
    <col min="4370" max="4371" width="3.75" style="1" customWidth="1"/>
    <col min="4372" max="4373" width="5" style="1" customWidth="1"/>
    <col min="4374" max="4375" width="3.75" style="1" customWidth="1"/>
    <col min="4376" max="4376" width="3.5" style="1" customWidth="1"/>
    <col min="4377" max="4607" width="9" style="1"/>
    <col min="4608" max="4608" width="5" style="1" customWidth="1"/>
    <col min="4609" max="4609" width="20.5" style="1" customWidth="1"/>
    <col min="4610" max="4610" width="2.375" style="1" customWidth="1"/>
    <col min="4611" max="4611" width="3.75" style="1" customWidth="1"/>
    <col min="4612" max="4613" width="5" style="1" customWidth="1"/>
    <col min="4614" max="4615" width="3.75" style="1" customWidth="1"/>
    <col min="4616" max="4617" width="5" style="1" customWidth="1"/>
    <col min="4618" max="4619" width="3.75" style="1" customWidth="1"/>
    <col min="4620" max="4621" width="5" style="1" customWidth="1"/>
    <col min="4622" max="4623" width="3.75" style="1" customWidth="1"/>
    <col min="4624" max="4625" width="5" style="1" customWidth="1"/>
    <col min="4626" max="4627" width="3.75" style="1" customWidth="1"/>
    <col min="4628" max="4629" width="5" style="1" customWidth="1"/>
    <col min="4630" max="4631" width="3.75" style="1" customWidth="1"/>
    <col min="4632" max="4632" width="3.5" style="1" customWidth="1"/>
    <col min="4633" max="4863" width="9" style="1"/>
    <col min="4864" max="4864" width="5" style="1" customWidth="1"/>
    <col min="4865" max="4865" width="20.5" style="1" customWidth="1"/>
    <col min="4866" max="4866" width="2.375" style="1" customWidth="1"/>
    <col min="4867" max="4867" width="3.75" style="1" customWidth="1"/>
    <col min="4868" max="4869" width="5" style="1" customWidth="1"/>
    <col min="4870" max="4871" width="3.75" style="1" customWidth="1"/>
    <col min="4872" max="4873" width="5" style="1" customWidth="1"/>
    <col min="4874" max="4875" width="3.75" style="1" customWidth="1"/>
    <col min="4876" max="4877" width="5" style="1" customWidth="1"/>
    <col min="4878" max="4879" width="3.75" style="1" customWidth="1"/>
    <col min="4880" max="4881" width="5" style="1" customWidth="1"/>
    <col min="4882" max="4883" width="3.75" style="1" customWidth="1"/>
    <col min="4884" max="4885" width="5" style="1" customWidth="1"/>
    <col min="4886" max="4887" width="3.75" style="1" customWidth="1"/>
    <col min="4888" max="4888" width="3.5" style="1" customWidth="1"/>
    <col min="4889" max="5119" width="9" style="1"/>
    <col min="5120" max="5120" width="5" style="1" customWidth="1"/>
    <col min="5121" max="5121" width="20.5" style="1" customWidth="1"/>
    <col min="5122" max="5122" width="2.375" style="1" customWidth="1"/>
    <col min="5123" max="5123" width="3.75" style="1" customWidth="1"/>
    <col min="5124" max="5125" width="5" style="1" customWidth="1"/>
    <col min="5126" max="5127" width="3.75" style="1" customWidth="1"/>
    <col min="5128" max="5129" width="5" style="1" customWidth="1"/>
    <col min="5130" max="5131" width="3.75" style="1" customWidth="1"/>
    <col min="5132" max="5133" width="5" style="1" customWidth="1"/>
    <col min="5134" max="5135" width="3.75" style="1" customWidth="1"/>
    <col min="5136" max="5137" width="5" style="1" customWidth="1"/>
    <col min="5138" max="5139" width="3.75" style="1" customWidth="1"/>
    <col min="5140" max="5141" width="5" style="1" customWidth="1"/>
    <col min="5142" max="5143" width="3.75" style="1" customWidth="1"/>
    <col min="5144" max="5144" width="3.5" style="1" customWidth="1"/>
    <col min="5145" max="5375" width="9" style="1"/>
    <col min="5376" max="5376" width="5" style="1" customWidth="1"/>
    <col min="5377" max="5377" width="20.5" style="1" customWidth="1"/>
    <col min="5378" max="5378" width="2.375" style="1" customWidth="1"/>
    <col min="5379" max="5379" width="3.75" style="1" customWidth="1"/>
    <col min="5380" max="5381" width="5" style="1" customWidth="1"/>
    <col min="5382" max="5383" width="3.75" style="1" customWidth="1"/>
    <col min="5384" max="5385" width="5" style="1" customWidth="1"/>
    <col min="5386" max="5387" width="3.75" style="1" customWidth="1"/>
    <col min="5388" max="5389" width="5" style="1" customWidth="1"/>
    <col min="5390" max="5391" width="3.75" style="1" customWidth="1"/>
    <col min="5392" max="5393" width="5" style="1" customWidth="1"/>
    <col min="5394" max="5395" width="3.75" style="1" customWidth="1"/>
    <col min="5396" max="5397" width="5" style="1" customWidth="1"/>
    <col min="5398" max="5399" width="3.75" style="1" customWidth="1"/>
    <col min="5400" max="5400" width="3.5" style="1" customWidth="1"/>
    <col min="5401" max="5631" width="9" style="1"/>
    <col min="5632" max="5632" width="5" style="1" customWidth="1"/>
    <col min="5633" max="5633" width="20.5" style="1" customWidth="1"/>
    <col min="5634" max="5634" width="2.375" style="1" customWidth="1"/>
    <col min="5635" max="5635" width="3.75" style="1" customWidth="1"/>
    <col min="5636" max="5637" width="5" style="1" customWidth="1"/>
    <col min="5638" max="5639" width="3.75" style="1" customWidth="1"/>
    <col min="5640" max="5641" width="5" style="1" customWidth="1"/>
    <col min="5642" max="5643" width="3.75" style="1" customWidth="1"/>
    <col min="5644" max="5645" width="5" style="1" customWidth="1"/>
    <col min="5646" max="5647" width="3.75" style="1" customWidth="1"/>
    <col min="5648" max="5649" width="5" style="1" customWidth="1"/>
    <col min="5650" max="5651" width="3.75" style="1" customWidth="1"/>
    <col min="5652" max="5653" width="5" style="1" customWidth="1"/>
    <col min="5654" max="5655" width="3.75" style="1" customWidth="1"/>
    <col min="5656" max="5656" width="3.5" style="1" customWidth="1"/>
    <col min="5657" max="5887" width="9" style="1"/>
    <col min="5888" max="5888" width="5" style="1" customWidth="1"/>
    <col min="5889" max="5889" width="20.5" style="1" customWidth="1"/>
    <col min="5890" max="5890" width="2.375" style="1" customWidth="1"/>
    <col min="5891" max="5891" width="3.75" style="1" customWidth="1"/>
    <col min="5892" max="5893" width="5" style="1" customWidth="1"/>
    <col min="5894" max="5895" width="3.75" style="1" customWidth="1"/>
    <col min="5896" max="5897" width="5" style="1" customWidth="1"/>
    <col min="5898" max="5899" width="3.75" style="1" customWidth="1"/>
    <col min="5900" max="5901" width="5" style="1" customWidth="1"/>
    <col min="5902" max="5903" width="3.75" style="1" customWidth="1"/>
    <col min="5904" max="5905" width="5" style="1" customWidth="1"/>
    <col min="5906" max="5907" width="3.75" style="1" customWidth="1"/>
    <col min="5908" max="5909" width="5" style="1" customWidth="1"/>
    <col min="5910" max="5911" width="3.75" style="1" customWidth="1"/>
    <col min="5912" max="5912" width="3.5" style="1" customWidth="1"/>
    <col min="5913" max="6143" width="9" style="1"/>
    <col min="6144" max="6144" width="5" style="1" customWidth="1"/>
    <col min="6145" max="6145" width="20.5" style="1" customWidth="1"/>
    <col min="6146" max="6146" width="2.375" style="1" customWidth="1"/>
    <col min="6147" max="6147" width="3.75" style="1" customWidth="1"/>
    <col min="6148" max="6149" width="5" style="1" customWidth="1"/>
    <col min="6150" max="6151" width="3.75" style="1" customWidth="1"/>
    <col min="6152" max="6153" width="5" style="1" customWidth="1"/>
    <col min="6154" max="6155" width="3.75" style="1" customWidth="1"/>
    <col min="6156" max="6157" width="5" style="1" customWidth="1"/>
    <col min="6158" max="6159" width="3.75" style="1" customWidth="1"/>
    <col min="6160" max="6161" width="5" style="1" customWidth="1"/>
    <col min="6162" max="6163" width="3.75" style="1" customWidth="1"/>
    <col min="6164" max="6165" width="5" style="1" customWidth="1"/>
    <col min="6166" max="6167" width="3.75" style="1" customWidth="1"/>
    <col min="6168" max="6168" width="3.5" style="1" customWidth="1"/>
    <col min="6169" max="6399" width="9" style="1"/>
    <col min="6400" max="6400" width="5" style="1" customWidth="1"/>
    <col min="6401" max="6401" width="20.5" style="1" customWidth="1"/>
    <col min="6402" max="6402" width="2.375" style="1" customWidth="1"/>
    <col min="6403" max="6403" width="3.75" style="1" customWidth="1"/>
    <col min="6404" max="6405" width="5" style="1" customWidth="1"/>
    <col min="6406" max="6407" width="3.75" style="1" customWidth="1"/>
    <col min="6408" max="6409" width="5" style="1" customWidth="1"/>
    <col min="6410" max="6411" width="3.75" style="1" customWidth="1"/>
    <col min="6412" max="6413" width="5" style="1" customWidth="1"/>
    <col min="6414" max="6415" width="3.75" style="1" customWidth="1"/>
    <col min="6416" max="6417" width="5" style="1" customWidth="1"/>
    <col min="6418" max="6419" width="3.75" style="1" customWidth="1"/>
    <col min="6420" max="6421" width="5" style="1" customWidth="1"/>
    <col min="6422" max="6423" width="3.75" style="1" customWidth="1"/>
    <col min="6424" max="6424" width="3.5" style="1" customWidth="1"/>
    <col min="6425" max="6655" width="9" style="1"/>
    <col min="6656" max="6656" width="5" style="1" customWidth="1"/>
    <col min="6657" max="6657" width="20.5" style="1" customWidth="1"/>
    <col min="6658" max="6658" width="2.375" style="1" customWidth="1"/>
    <col min="6659" max="6659" width="3.75" style="1" customWidth="1"/>
    <col min="6660" max="6661" width="5" style="1" customWidth="1"/>
    <col min="6662" max="6663" width="3.75" style="1" customWidth="1"/>
    <col min="6664" max="6665" width="5" style="1" customWidth="1"/>
    <col min="6666" max="6667" width="3.75" style="1" customWidth="1"/>
    <col min="6668" max="6669" width="5" style="1" customWidth="1"/>
    <col min="6670" max="6671" width="3.75" style="1" customWidth="1"/>
    <col min="6672" max="6673" width="5" style="1" customWidth="1"/>
    <col min="6674" max="6675" width="3.75" style="1" customWidth="1"/>
    <col min="6676" max="6677" width="5" style="1" customWidth="1"/>
    <col min="6678" max="6679" width="3.75" style="1" customWidth="1"/>
    <col min="6680" max="6680" width="3.5" style="1" customWidth="1"/>
    <col min="6681" max="6911" width="9" style="1"/>
    <col min="6912" max="6912" width="5" style="1" customWidth="1"/>
    <col min="6913" max="6913" width="20.5" style="1" customWidth="1"/>
    <col min="6914" max="6914" width="2.375" style="1" customWidth="1"/>
    <col min="6915" max="6915" width="3.75" style="1" customWidth="1"/>
    <col min="6916" max="6917" width="5" style="1" customWidth="1"/>
    <col min="6918" max="6919" width="3.75" style="1" customWidth="1"/>
    <col min="6920" max="6921" width="5" style="1" customWidth="1"/>
    <col min="6922" max="6923" width="3.75" style="1" customWidth="1"/>
    <col min="6924" max="6925" width="5" style="1" customWidth="1"/>
    <col min="6926" max="6927" width="3.75" style="1" customWidth="1"/>
    <col min="6928" max="6929" width="5" style="1" customWidth="1"/>
    <col min="6930" max="6931" width="3.75" style="1" customWidth="1"/>
    <col min="6932" max="6933" width="5" style="1" customWidth="1"/>
    <col min="6934" max="6935" width="3.75" style="1" customWidth="1"/>
    <col min="6936" max="6936" width="3.5" style="1" customWidth="1"/>
    <col min="6937" max="7167" width="9" style="1"/>
    <col min="7168" max="7168" width="5" style="1" customWidth="1"/>
    <col min="7169" max="7169" width="20.5" style="1" customWidth="1"/>
    <col min="7170" max="7170" width="2.375" style="1" customWidth="1"/>
    <col min="7171" max="7171" width="3.75" style="1" customWidth="1"/>
    <col min="7172" max="7173" width="5" style="1" customWidth="1"/>
    <col min="7174" max="7175" width="3.75" style="1" customWidth="1"/>
    <col min="7176" max="7177" width="5" style="1" customWidth="1"/>
    <col min="7178" max="7179" width="3.75" style="1" customWidth="1"/>
    <col min="7180" max="7181" width="5" style="1" customWidth="1"/>
    <col min="7182" max="7183" width="3.75" style="1" customWidth="1"/>
    <col min="7184" max="7185" width="5" style="1" customWidth="1"/>
    <col min="7186" max="7187" width="3.75" style="1" customWidth="1"/>
    <col min="7188" max="7189" width="5" style="1" customWidth="1"/>
    <col min="7190" max="7191" width="3.75" style="1" customWidth="1"/>
    <col min="7192" max="7192" width="3.5" style="1" customWidth="1"/>
    <col min="7193" max="7423" width="9" style="1"/>
    <col min="7424" max="7424" width="5" style="1" customWidth="1"/>
    <col min="7425" max="7425" width="20.5" style="1" customWidth="1"/>
    <col min="7426" max="7426" width="2.375" style="1" customWidth="1"/>
    <col min="7427" max="7427" width="3.75" style="1" customWidth="1"/>
    <col min="7428" max="7429" width="5" style="1" customWidth="1"/>
    <col min="7430" max="7431" width="3.75" style="1" customWidth="1"/>
    <col min="7432" max="7433" width="5" style="1" customWidth="1"/>
    <col min="7434" max="7435" width="3.75" style="1" customWidth="1"/>
    <col min="7436" max="7437" width="5" style="1" customWidth="1"/>
    <col min="7438" max="7439" width="3.75" style="1" customWidth="1"/>
    <col min="7440" max="7441" width="5" style="1" customWidth="1"/>
    <col min="7442" max="7443" width="3.75" style="1" customWidth="1"/>
    <col min="7444" max="7445" width="5" style="1" customWidth="1"/>
    <col min="7446" max="7447" width="3.75" style="1" customWidth="1"/>
    <col min="7448" max="7448" width="3.5" style="1" customWidth="1"/>
    <col min="7449" max="7679" width="9" style="1"/>
    <col min="7680" max="7680" width="5" style="1" customWidth="1"/>
    <col min="7681" max="7681" width="20.5" style="1" customWidth="1"/>
    <col min="7682" max="7682" width="2.375" style="1" customWidth="1"/>
    <col min="7683" max="7683" width="3.75" style="1" customWidth="1"/>
    <col min="7684" max="7685" width="5" style="1" customWidth="1"/>
    <col min="7686" max="7687" width="3.75" style="1" customWidth="1"/>
    <col min="7688" max="7689" width="5" style="1" customWidth="1"/>
    <col min="7690" max="7691" width="3.75" style="1" customWidth="1"/>
    <col min="7692" max="7693" width="5" style="1" customWidth="1"/>
    <col min="7694" max="7695" width="3.75" style="1" customWidth="1"/>
    <col min="7696" max="7697" width="5" style="1" customWidth="1"/>
    <col min="7698" max="7699" width="3.75" style="1" customWidth="1"/>
    <col min="7700" max="7701" width="5" style="1" customWidth="1"/>
    <col min="7702" max="7703" width="3.75" style="1" customWidth="1"/>
    <col min="7704" max="7704" width="3.5" style="1" customWidth="1"/>
    <col min="7705" max="7935" width="9" style="1"/>
    <col min="7936" max="7936" width="5" style="1" customWidth="1"/>
    <col min="7937" max="7937" width="20.5" style="1" customWidth="1"/>
    <col min="7938" max="7938" width="2.375" style="1" customWidth="1"/>
    <col min="7939" max="7939" width="3.75" style="1" customWidth="1"/>
    <col min="7940" max="7941" width="5" style="1" customWidth="1"/>
    <col min="7942" max="7943" width="3.75" style="1" customWidth="1"/>
    <col min="7944" max="7945" width="5" style="1" customWidth="1"/>
    <col min="7946" max="7947" width="3.75" style="1" customWidth="1"/>
    <col min="7948" max="7949" width="5" style="1" customWidth="1"/>
    <col min="7950" max="7951" width="3.75" style="1" customWidth="1"/>
    <col min="7952" max="7953" width="5" style="1" customWidth="1"/>
    <col min="7954" max="7955" width="3.75" style="1" customWidth="1"/>
    <col min="7956" max="7957" width="5" style="1" customWidth="1"/>
    <col min="7958" max="7959" width="3.75" style="1" customWidth="1"/>
    <col min="7960" max="7960" width="3.5" style="1" customWidth="1"/>
    <col min="7961" max="8191" width="9" style="1"/>
    <col min="8192" max="8192" width="5" style="1" customWidth="1"/>
    <col min="8193" max="8193" width="20.5" style="1" customWidth="1"/>
    <col min="8194" max="8194" width="2.375" style="1" customWidth="1"/>
    <col min="8195" max="8195" width="3.75" style="1" customWidth="1"/>
    <col min="8196" max="8197" width="5" style="1" customWidth="1"/>
    <col min="8198" max="8199" width="3.75" style="1" customWidth="1"/>
    <col min="8200" max="8201" width="5" style="1" customWidth="1"/>
    <col min="8202" max="8203" width="3.75" style="1" customWidth="1"/>
    <col min="8204" max="8205" width="5" style="1" customWidth="1"/>
    <col min="8206" max="8207" width="3.75" style="1" customWidth="1"/>
    <col min="8208" max="8209" width="5" style="1" customWidth="1"/>
    <col min="8210" max="8211" width="3.75" style="1" customWidth="1"/>
    <col min="8212" max="8213" width="5" style="1" customWidth="1"/>
    <col min="8214" max="8215" width="3.75" style="1" customWidth="1"/>
    <col min="8216" max="8216" width="3.5" style="1" customWidth="1"/>
    <col min="8217" max="8447" width="9" style="1"/>
    <col min="8448" max="8448" width="5" style="1" customWidth="1"/>
    <col min="8449" max="8449" width="20.5" style="1" customWidth="1"/>
    <col min="8450" max="8450" width="2.375" style="1" customWidth="1"/>
    <col min="8451" max="8451" width="3.75" style="1" customWidth="1"/>
    <col min="8452" max="8453" width="5" style="1" customWidth="1"/>
    <col min="8454" max="8455" width="3.75" style="1" customWidth="1"/>
    <col min="8456" max="8457" width="5" style="1" customWidth="1"/>
    <col min="8458" max="8459" width="3.75" style="1" customWidth="1"/>
    <col min="8460" max="8461" width="5" style="1" customWidth="1"/>
    <col min="8462" max="8463" width="3.75" style="1" customWidth="1"/>
    <col min="8464" max="8465" width="5" style="1" customWidth="1"/>
    <col min="8466" max="8467" width="3.75" style="1" customWidth="1"/>
    <col min="8468" max="8469" width="5" style="1" customWidth="1"/>
    <col min="8470" max="8471" width="3.75" style="1" customWidth="1"/>
    <col min="8472" max="8472" width="3.5" style="1" customWidth="1"/>
    <col min="8473" max="8703" width="9" style="1"/>
    <col min="8704" max="8704" width="5" style="1" customWidth="1"/>
    <col min="8705" max="8705" width="20.5" style="1" customWidth="1"/>
    <col min="8706" max="8706" width="2.375" style="1" customWidth="1"/>
    <col min="8707" max="8707" width="3.75" style="1" customWidth="1"/>
    <col min="8708" max="8709" width="5" style="1" customWidth="1"/>
    <col min="8710" max="8711" width="3.75" style="1" customWidth="1"/>
    <col min="8712" max="8713" width="5" style="1" customWidth="1"/>
    <col min="8714" max="8715" width="3.75" style="1" customWidth="1"/>
    <col min="8716" max="8717" width="5" style="1" customWidth="1"/>
    <col min="8718" max="8719" width="3.75" style="1" customWidth="1"/>
    <col min="8720" max="8721" width="5" style="1" customWidth="1"/>
    <col min="8722" max="8723" width="3.75" style="1" customWidth="1"/>
    <col min="8724" max="8725" width="5" style="1" customWidth="1"/>
    <col min="8726" max="8727" width="3.75" style="1" customWidth="1"/>
    <col min="8728" max="8728" width="3.5" style="1" customWidth="1"/>
    <col min="8729" max="8959" width="9" style="1"/>
    <col min="8960" max="8960" width="5" style="1" customWidth="1"/>
    <col min="8961" max="8961" width="20.5" style="1" customWidth="1"/>
    <col min="8962" max="8962" width="2.375" style="1" customWidth="1"/>
    <col min="8963" max="8963" width="3.75" style="1" customWidth="1"/>
    <col min="8964" max="8965" width="5" style="1" customWidth="1"/>
    <col min="8966" max="8967" width="3.75" style="1" customWidth="1"/>
    <col min="8968" max="8969" width="5" style="1" customWidth="1"/>
    <col min="8970" max="8971" width="3.75" style="1" customWidth="1"/>
    <col min="8972" max="8973" width="5" style="1" customWidth="1"/>
    <col min="8974" max="8975" width="3.75" style="1" customWidth="1"/>
    <col min="8976" max="8977" width="5" style="1" customWidth="1"/>
    <col min="8978" max="8979" width="3.75" style="1" customWidth="1"/>
    <col min="8980" max="8981" width="5" style="1" customWidth="1"/>
    <col min="8982" max="8983" width="3.75" style="1" customWidth="1"/>
    <col min="8984" max="8984" width="3.5" style="1" customWidth="1"/>
    <col min="8985" max="9215" width="9" style="1"/>
    <col min="9216" max="9216" width="5" style="1" customWidth="1"/>
    <col min="9217" max="9217" width="20.5" style="1" customWidth="1"/>
    <col min="9218" max="9218" width="2.375" style="1" customWidth="1"/>
    <col min="9219" max="9219" width="3.75" style="1" customWidth="1"/>
    <col min="9220" max="9221" width="5" style="1" customWidth="1"/>
    <col min="9222" max="9223" width="3.75" style="1" customWidth="1"/>
    <col min="9224" max="9225" width="5" style="1" customWidth="1"/>
    <col min="9226" max="9227" width="3.75" style="1" customWidth="1"/>
    <col min="9228" max="9229" width="5" style="1" customWidth="1"/>
    <col min="9230" max="9231" width="3.75" style="1" customWidth="1"/>
    <col min="9232" max="9233" width="5" style="1" customWidth="1"/>
    <col min="9234" max="9235" width="3.75" style="1" customWidth="1"/>
    <col min="9236" max="9237" width="5" style="1" customWidth="1"/>
    <col min="9238" max="9239" width="3.75" style="1" customWidth="1"/>
    <col min="9240" max="9240" width="3.5" style="1" customWidth="1"/>
    <col min="9241" max="9471" width="9" style="1"/>
    <col min="9472" max="9472" width="5" style="1" customWidth="1"/>
    <col min="9473" max="9473" width="20.5" style="1" customWidth="1"/>
    <col min="9474" max="9474" width="2.375" style="1" customWidth="1"/>
    <col min="9475" max="9475" width="3.75" style="1" customWidth="1"/>
    <col min="9476" max="9477" width="5" style="1" customWidth="1"/>
    <col min="9478" max="9479" width="3.75" style="1" customWidth="1"/>
    <col min="9480" max="9481" width="5" style="1" customWidth="1"/>
    <col min="9482" max="9483" width="3.75" style="1" customWidth="1"/>
    <col min="9484" max="9485" width="5" style="1" customWidth="1"/>
    <col min="9486" max="9487" width="3.75" style="1" customWidth="1"/>
    <col min="9488" max="9489" width="5" style="1" customWidth="1"/>
    <col min="9490" max="9491" width="3.75" style="1" customWidth="1"/>
    <col min="9492" max="9493" width="5" style="1" customWidth="1"/>
    <col min="9494" max="9495" width="3.75" style="1" customWidth="1"/>
    <col min="9496" max="9496" width="3.5" style="1" customWidth="1"/>
    <col min="9497" max="9727" width="9" style="1"/>
    <col min="9728" max="9728" width="5" style="1" customWidth="1"/>
    <col min="9729" max="9729" width="20.5" style="1" customWidth="1"/>
    <col min="9730" max="9730" width="2.375" style="1" customWidth="1"/>
    <col min="9731" max="9731" width="3.75" style="1" customWidth="1"/>
    <col min="9732" max="9733" width="5" style="1" customWidth="1"/>
    <col min="9734" max="9735" width="3.75" style="1" customWidth="1"/>
    <col min="9736" max="9737" width="5" style="1" customWidth="1"/>
    <col min="9738" max="9739" width="3.75" style="1" customWidth="1"/>
    <col min="9740" max="9741" width="5" style="1" customWidth="1"/>
    <col min="9742" max="9743" width="3.75" style="1" customWidth="1"/>
    <col min="9744" max="9745" width="5" style="1" customWidth="1"/>
    <col min="9746" max="9747" width="3.75" style="1" customWidth="1"/>
    <col min="9748" max="9749" width="5" style="1" customWidth="1"/>
    <col min="9750" max="9751" width="3.75" style="1" customWidth="1"/>
    <col min="9752" max="9752" width="3.5" style="1" customWidth="1"/>
    <col min="9753" max="9983" width="9" style="1"/>
    <col min="9984" max="9984" width="5" style="1" customWidth="1"/>
    <col min="9985" max="9985" width="20.5" style="1" customWidth="1"/>
    <col min="9986" max="9986" width="2.375" style="1" customWidth="1"/>
    <col min="9987" max="9987" width="3.75" style="1" customWidth="1"/>
    <col min="9988" max="9989" width="5" style="1" customWidth="1"/>
    <col min="9990" max="9991" width="3.75" style="1" customWidth="1"/>
    <col min="9992" max="9993" width="5" style="1" customWidth="1"/>
    <col min="9994" max="9995" width="3.75" style="1" customWidth="1"/>
    <col min="9996" max="9997" width="5" style="1" customWidth="1"/>
    <col min="9998" max="9999" width="3.75" style="1" customWidth="1"/>
    <col min="10000" max="10001" width="5" style="1" customWidth="1"/>
    <col min="10002" max="10003" width="3.75" style="1" customWidth="1"/>
    <col min="10004" max="10005" width="5" style="1" customWidth="1"/>
    <col min="10006" max="10007" width="3.75" style="1" customWidth="1"/>
    <col min="10008" max="10008" width="3.5" style="1" customWidth="1"/>
    <col min="10009" max="10239" width="9" style="1"/>
    <col min="10240" max="10240" width="5" style="1" customWidth="1"/>
    <col min="10241" max="10241" width="20.5" style="1" customWidth="1"/>
    <col min="10242" max="10242" width="2.375" style="1" customWidth="1"/>
    <col min="10243" max="10243" width="3.75" style="1" customWidth="1"/>
    <col min="10244" max="10245" width="5" style="1" customWidth="1"/>
    <col min="10246" max="10247" width="3.75" style="1" customWidth="1"/>
    <col min="10248" max="10249" width="5" style="1" customWidth="1"/>
    <col min="10250" max="10251" width="3.75" style="1" customWidth="1"/>
    <col min="10252" max="10253" width="5" style="1" customWidth="1"/>
    <col min="10254" max="10255" width="3.75" style="1" customWidth="1"/>
    <col min="10256" max="10257" width="5" style="1" customWidth="1"/>
    <col min="10258" max="10259" width="3.75" style="1" customWidth="1"/>
    <col min="10260" max="10261" width="5" style="1" customWidth="1"/>
    <col min="10262" max="10263" width="3.75" style="1" customWidth="1"/>
    <col min="10264" max="10264" width="3.5" style="1" customWidth="1"/>
    <col min="10265" max="10495" width="9" style="1"/>
    <col min="10496" max="10496" width="5" style="1" customWidth="1"/>
    <col min="10497" max="10497" width="20.5" style="1" customWidth="1"/>
    <col min="10498" max="10498" width="2.375" style="1" customWidth="1"/>
    <col min="10499" max="10499" width="3.75" style="1" customWidth="1"/>
    <col min="10500" max="10501" width="5" style="1" customWidth="1"/>
    <col min="10502" max="10503" width="3.75" style="1" customWidth="1"/>
    <col min="10504" max="10505" width="5" style="1" customWidth="1"/>
    <col min="10506" max="10507" width="3.75" style="1" customWidth="1"/>
    <col min="10508" max="10509" width="5" style="1" customWidth="1"/>
    <col min="10510" max="10511" width="3.75" style="1" customWidth="1"/>
    <col min="10512" max="10513" width="5" style="1" customWidth="1"/>
    <col min="10514" max="10515" width="3.75" style="1" customWidth="1"/>
    <col min="10516" max="10517" width="5" style="1" customWidth="1"/>
    <col min="10518" max="10519" width="3.75" style="1" customWidth="1"/>
    <col min="10520" max="10520" width="3.5" style="1" customWidth="1"/>
    <col min="10521" max="10751" width="9" style="1"/>
    <col min="10752" max="10752" width="5" style="1" customWidth="1"/>
    <col min="10753" max="10753" width="20.5" style="1" customWidth="1"/>
    <col min="10754" max="10754" width="2.375" style="1" customWidth="1"/>
    <col min="10755" max="10755" width="3.75" style="1" customWidth="1"/>
    <col min="10756" max="10757" width="5" style="1" customWidth="1"/>
    <col min="10758" max="10759" width="3.75" style="1" customWidth="1"/>
    <col min="10760" max="10761" width="5" style="1" customWidth="1"/>
    <col min="10762" max="10763" width="3.75" style="1" customWidth="1"/>
    <col min="10764" max="10765" width="5" style="1" customWidth="1"/>
    <col min="10766" max="10767" width="3.75" style="1" customWidth="1"/>
    <col min="10768" max="10769" width="5" style="1" customWidth="1"/>
    <col min="10770" max="10771" width="3.75" style="1" customWidth="1"/>
    <col min="10772" max="10773" width="5" style="1" customWidth="1"/>
    <col min="10774" max="10775" width="3.75" style="1" customWidth="1"/>
    <col min="10776" max="10776" width="3.5" style="1" customWidth="1"/>
    <col min="10777" max="11007" width="9" style="1"/>
    <col min="11008" max="11008" width="5" style="1" customWidth="1"/>
    <col min="11009" max="11009" width="20.5" style="1" customWidth="1"/>
    <col min="11010" max="11010" width="2.375" style="1" customWidth="1"/>
    <col min="11011" max="11011" width="3.75" style="1" customWidth="1"/>
    <col min="11012" max="11013" width="5" style="1" customWidth="1"/>
    <col min="11014" max="11015" width="3.75" style="1" customWidth="1"/>
    <col min="11016" max="11017" width="5" style="1" customWidth="1"/>
    <col min="11018" max="11019" width="3.75" style="1" customWidth="1"/>
    <col min="11020" max="11021" width="5" style="1" customWidth="1"/>
    <col min="11022" max="11023" width="3.75" style="1" customWidth="1"/>
    <col min="11024" max="11025" width="5" style="1" customWidth="1"/>
    <col min="11026" max="11027" width="3.75" style="1" customWidth="1"/>
    <col min="11028" max="11029" width="5" style="1" customWidth="1"/>
    <col min="11030" max="11031" width="3.75" style="1" customWidth="1"/>
    <col min="11032" max="11032" width="3.5" style="1" customWidth="1"/>
    <col min="11033" max="11263" width="9" style="1"/>
    <col min="11264" max="11264" width="5" style="1" customWidth="1"/>
    <col min="11265" max="11265" width="20.5" style="1" customWidth="1"/>
    <col min="11266" max="11266" width="2.375" style="1" customWidth="1"/>
    <col min="11267" max="11267" width="3.75" style="1" customWidth="1"/>
    <col min="11268" max="11269" width="5" style="1" customWidth="1"/>
    <col min="11270" max="11271" width="3.75" style="1" customWidth="1"/>
    <col min="11272" max="11273" width="5" style="1" customWidth="1"/>
    <col min="11274" max="11275" width="3.75" style="1" customWidth="1"/>
    <col min="11276" max="11277" width="5" style="1" customWidth="1"/>
    <col min="11278" max="11279" width="3.75" style="1" customWidth="1"/>
    <col min="11280" max="11281" width="5" style="1" customWidth="1"/>
    <col min="11282" max="11283" width="3.75" style="1" customWidth="1"/>
    <col min="11284" max="11285" width="5" style="1" customWidth="1"/>
    <col min="11286" max="11287" width="3.75" style="1" customWidth="1"/>
    <col min="11288" max="11288" width="3.5" style="1" customWidth="1"/>
    <col min="11289" max="11519" width="9" style="1"/>
    <col min="11520" max="11520" width="5" style="1" customWidth="1"/>
    <col min="11521" max="11521" width="20.5" style="1" customWidth="1"/>
    <col min="11522" max="11522" width="2.375" style="1" customWidth="1"/>
    <col min="11523" max="11523" width="3.75" style="1" customWidth="1"/>
    <col min="11524" max="11525" width="5" style="1" customWidth="1"/>
    <col min="11526" max="11527" width="3.75" style="1" customWidth="1"/>
    <col min="11528" max="11529" width="5" style="1" customWidth="1"/>
    <col min="11530" max="11531" width="3.75" style="1" customWidth="1"/>
    <col min="11532" max="11533" width="5" style="1" customWidth="1"/>
    <col min="11534" max="11535" width="3.75" style="1" customWidth="1"/>
    <col min="11536" max="11537" width="5" style="1" customWidth="1"/>
    <col min="11538" max="11539" width="3.75" style="1" customWidth="1"/>
    <col min="11540" max="11541" width="5" style="1" customWidth="1"/>
    <col min="11542" max="11543" width="3.75" style="1" customWidth="1"/>
    <col min="11544" max="11544" width="3.5" style="1" customWidth="1"/>
    <col min="11545" max="11775" width="9" style="1"/>
    <col min="11776" max="11776" width="5" style="1" customWidth="1"/>
    <col min="11777" max="11777" width="20.5" style="1" customWidth="1"/>
    <col min="11778" max="11778" width="2.375" style="1" customWidth="1"/>
    <col min="11779" max="11779" width="3.75" style="1" customWidth="1"/>
    <col min="11780" max="11781" width="5" style="1" customWidth="1"/>
    <col min="11782" max="11783" width="3.75" style="1" customWidth="1"/>
    <col min="11784" max="11785" width="5" style="1" customWidth="1"/>
    <col min="11786" max="11787" width="3.75" style="1" customWidth="1"/>
    <col min="11788" max="11789" width="5" style="1" customWidth="1"/>
    <col min="11790" max="11791" width="3.75" style="1" customWidth="1"/>
    <col min="11792" max="11793" width="5" style="1" customWidth="1"/>
    <col min="11794" max="11795" width="3.75" style="1" customWidth="1"/>
    <col min="11796" max="11797" width="5" style="1" customWidth="1"/>
    <col min="11798" max="11799" width="3.75" style="1" customWidth="1"/>
    <col min="11800" max="11800" width="3.5" style="1" customWidth="1"/>
    <col min="11801" max="12031" width="9" style="1"/>
    <col min="12032" max="12032" width="5" style="1" customWidth="1"/>
    <col min="12033" max="12033" width="20.5" style="1" customWidth="1"/>
    <col min="12034" max="12034" width="2.375" style="1" customWidth="1"/>
    <col min="12035" max="12035" width="3.75" style="1" customWidth="1"/>
    <col min="12036" max="12037" width="5" style="1" customWidth="1"/>
    <col min="12038" max="12039" width="3.75" style="1" customWidth="1"/>
    <col min="12040" max="12041" width="5" style="1" customWidth="1"/>
    <col min="12042" max="12043" width="3.75" style="1" customWidth="1"/>
    <col min="12044" max="12045" width="5" style="1" customWidth="1"/>
    <col min="12046" max="12047" width="3.75" style="1" customWidth="1"/>
    <col min="12048" max="12049" width="5" style="1" customWidth="1"/>
    <col min="12050" max="12051" width="3.75" style="1" customWidth="1"/>
    <col min="12052" max="12053" width="5" style="1" customWidth="1"/>
    <col min="12054" max="12055" width="3.75" style="1" customWidth="1"/>
    <col min="12056" max="12056" width="3.5" style="1" customWidth="1"/>
    <col min="12057" max="12287" width="9" style="1"/>
    <col min="12288" max="12288" width="5" style="1" customWidth="1"/>
    <col min="12289" max="12289" width="20.5" style="1" customWidth="1"/>
    <col min="12290" max="12290" width="2.375" style="1" customWidth="1"/>
    <col min="12291" max="12291" width="3.75" style="1" customWidth="1"/>
    <col min="12292" max="12293" width="5" style="1" customWidth="1"/>
    <col min="12294" max="12295" width="3.75" style="1" customWidth="1"/>
    <col min="12296" max="12297" width="5" style="1" customWidth="1"/>
    <col min="12298" max="12299" width="3.75" style="1" customWidth="1"/>
    <col min="12300" max="12301" width="5" style="1" customWidth="1"/>
    <col min="12302" max="12303" width="3.75" style="1" customWidth="1"/>
    <col min="12304" max="12305" width="5" style="1" customWidth="1"/>
    <col min="12306" max="12307" width="3.75" style="1" customWidth="1"/>
    <col min="12308" max="12309" width="5" style="1" customWidth="1"/>
    <col min="12310" max="12311" width="3.75" style="1" customWidth="1"/>
    <col min="12312" max="12312" width="3.5" style="1" customWidth="1"/>
    <col min="12313" max="12543" width="9" style="1"/>
    <col min="12544" max="12544" width="5" style="1" customWidth="1"/>
    <col min="12545" max="12545" width="20.5" style="1" customWidth="1"/>
    <col min="12546" max="12546" width="2.375" style="1" customWidth="1"/>
    <col min="12547" max="12547" width="3.75" style="1" customWidth="1"/>
    <col min="12548" max="12549" width="5" style="1" customWidth="1"/>
    <col min="12550" max="12551" width="3.75" style="1" customWidth="1"/>
    <col min="12552" max="12553" width="5" style="1" customWidth="1"/>
    <col min="12554" max="12555" width="3.75" style="1" customWidth="1"/>
    <col min="12556" max="12557" width="5" style="1" customWidth="1"/>
    <col min="12558" max="12559" width="3.75" style="1" customWidth="1"/>
    <col min="12560" max="12561" width="5" style="1" customWidth="1"/>
    <col min="12562" max="12563" width="3.75" style="1" customWidth="1"/>
    <col min="12564" max="12565" width="5" style="1" customWidth="1"/>
    <col min="12566" max="12567" width="3.75" style="1" customWidth="1"/>
    <col min="12568" max="12568" width="3.5" style="1" customWidth="1"/>
    <col min="12569" max="12799" width="9" style="1"/>
    <col min="12800" max="12800" width="5" style="1" customWidth="1"/>
    <col min="12801" max="12801" width="20.5" style="1" customWidth="1"/>
    <col min="12802" max="12802" width="2.375" style="1" customWidth="1"/>
    <col min="12803" max="12803" width="3.75" style="1" customWidth="1"/>
    <col min="12804" max="12805" width="5" style="1" customWidth="1"/>
    <col min="12806" max="12807" width="3.75" style="1" customWidth="1"/>
    <col min="12808" max="12809" width="5" style="1" customWidth="1"/>
    <col min="12810" max="12811" width="3.75" style="1" customWidth="1"/>
    <col min="12812" max="12813" width="5" style="1" customWidth="1"/>
    <col min="12814" max="12815" width="3.75" style="1" customWidth="1"/>
    <col min="12816" max="12817" width="5" style="1" customWidth="1"/>
    <col min="12818" max="12819" width="3.75" style="1" customWidth="1"/>
    <col min="12820" max="12821" width="5" style="1" customWidth="1"/>
    <col min="12822" max="12823" width="3.75" style="1" customWidth="1"/>
    <col min="12824" max="12824" width="3.5" style="1" customWidth="1"/>
    <col min="12825" max="13055" width="9" style="1"/>
    <col min="13056" max="13056" width="5" style="1" customWidth="1"/>
    <col min="13057" max="13057" width="20.5" style="1" customWidth="1"/>
    <col min="13058" max="13058" width="2.375" style="1" customWidth="1"/>
    <col min="13059" max="13059" width="3.75" style="1" customWidth="1"/>
    <col min="13060" max="13061" width="5" style="1" customWidth="1"/>
    <col min="13062" max="13063" width="3.75" style="1" customWidth="1"/>
    <col min="13064" max="13065" width="5" style="1" customWidth="1"/>
    <col min="13066" max="13067" width="3.75" style="1" customWidth="1"/>
    <col min="13068" max="13069" width="5" style="1" customWidth="1"/>
    <col min="13070" max="13071" width="3.75" style="1" customWidth="1"/>
    <col min="13072" max="13073" width="5" style="1" customWidth="1"/>
    <col min="13074" max="13075" width="3.75" style="1" customWidth="1"/>
    <col min="13076" max="13077" width="5" style="1" customWidth="1"/>
    <col min="13078" max="13079" width="3.75" style="1" customWidth="1"/>
    <col min="13080" max="13080" width="3.5" style="1" customWidth="1"/>
    <col min="13081" max="13311" width="9" style="1"/>
    <col min="13312" max="13312" width="5" style="1" customWidth="1"/>
    <col min="13313" max="13313" width="20.5" style="1" customWidth="1"/>
    <col min="13314" max="13314" width="2.375" style="1" customWidth="1"/>
    <col min="13315" max="13315" width="3.75" style="1" customWidth="1"/>
    <col min="13316" max="13317" width="5" style="1" customWidth="1"/>
    <col min="13318" max="13319" width="3.75" style="1" customWidth="1"/>
    <col min="13320" max="13321" width="5" style="1" customWidth="1"/>
    <col min="13322" max="13323" width="3.75" style="1" customWidth="1"/>
    <col min="13324" max="13325" width="5" style="1" customWidth="1"/>
    <col min="13326" max="13327" width="3.75" style="1" customWidth="1"/>
    <col min="13328" max="13329" width="5" style="1" customWidth="1"/>
    <col min="13330" max="13331" width="3.75" style="1" customWidth="1"/>
    <col min="13332" max="13333" width="5" style="1" customWidth="1"/>
    <col min="13334" max="13335" width="3.75" style="1" customWidth="1"/>
    <col min="13336" max="13336" width="3.5" style="1" customWidth="1"/>
    <col min="13337" max="13567" width="9" style="1"/>
    <col min="13568" max="13568" width="5" style="1" customWidth="1"/>
    <col min="13569" max="13569" width="20.5" style="1" customWidth="1"/>
    <col min="13570" max="13570" width="2.375" style="1" customWidth="1"/>
    <col min="13571" max="13571" width="3.75" style="1" customWidth="1"/>
    <col min="13572" max="13573" width="5" style="1" customWidth="1"/>
    <col min="13574" max="13575" width="3.75" style="1" customWidth="1"/>
    <col min="13576" max="13577" width="5" style="1" customWidth="1"/>
    <col min="13578" max="13579" width="3.75" style="1" customWidth="1"/>
    <col min="13580" max="13581" width="5" style="1" customWidth="1"/>
    <col min="13582" max="13583" width="3.75" style="1" customWidth="1"/>
    <col min="13584" max="13585" width="5" style="1" customWidth="1"/>
    <col min="13586" max="13587" width="3.75" style="1" customWidth="1"/>
    <col min="13588" max="13589" width="5" style="1" customWidth="1"/>
    <col min="13590" max="13591" width="3.75" style="1" customWidth="1"/>
    <col min="13592" max="13592" width="3.5" style="1" customWidth="1"/>
    <col min="13593" max="13823" width="9" style="1"/>
    <col min="13824" max="13824" width="5" style="1" customWidth="1"/>
    <col min="13825" max="13825" width="20.5" style="1" customWidth="1"/>
    <col min="13826" max="13826" width="2.375" style="1" customWidth="1"/>
    <col min="13827" max="13827" width="3.75" style="1" customWidth="1"/>
    <col min="13828" max="13829" width="5" style="1" customWidth="1"/>
    <col min="13830" max="13831" width="3.75" style="1" customWidth="1"/>
    <col min="13832" max="13833" width="5" style="1" customWidth="1"/>
    <col min="13834" max="13835" width="3.75" style="1" customWidth="1"/>
    <col min="13836" max="13837" width="5" style="1" customWidth="1"/>
    <col min="13838" max="13839" width="3.75" style="1" customWidth="1"/>
    <col min="13840" max="13841" width="5" style="1" customWidth="1"/>
    <col min="13842" max="13843" width="3.75" style="1" customWidth="1"/>
    <col min="13844" max="13845" width="5" style="1" customWidth="1"/>
    <col min="13846" max="13847" width="3.75" style="1" customWidth="1"/>
    <col min="13848" max="13848" width="3.5" style="1" customWidth="1"/>
    <col min="13849" max="14079" width="9" style="1"/>
    <col min="14080" max="14080" width="5" style="1" customWidth="1"/>
    <col min="14081" max="14081" width="20.5" style="1" customWidth="1"/>
    <col min="14082" max="14082" width="2.375" style="1" customWidth="1"/>
    <col min="14083" max="14083" width="3.75" style="1" customWidth="1"/>
    <col min="14084" max="14085" width="5" style="1" customWidth="1"/>
    <col min="14086" max="14087" width="3.75" style="1" customWidth="1"/>
    <col min="14088" max="14089" width="5" style="1" customWidth="1"/>
    <col min="14090" max="14091" width="3.75" style="1" customWidth="1"/>
    <col min="14092" max="14093" width="5" style="1" customWidth="1"/>
    <col min="14094" max="14095" width="3.75" style="1" customWidth="1"/>
    <col min="14096" max="14097" width="5" style="1" customWidth="1"/>
    <col min="14098" max="14099" width="3.75" style="1" customWidth="1"/>
    <col min="14100" max="14101" width="5" style="1" customWidth="1"/>
    <col min="14102" max="14103" width="3.75" style="1" customWidth="1"/>
    <col min="14104" max="14104" width="3.5" style="1" customWidth="1"/>
    <col min="14105" max="14335" width="9" style="1"/>
    <col min="14336" max="14336" width="5" style="1" customWidth="1"/>
    <col min="14337" max="14337" width="20.5" style="1" customWidth="1"/>
    <col min="14338" max="14338" width="2.375" style="1" customWidth="1"/>
    <col min="14339" max="14339" width="3.75" style="1" customWidth="1"/>
    <col min="14340" max="14341" width="5" style="1" customWidth="1"/>
    <col min="14342" max="14343" width="3.75" style="1" customWidth="1"/>
    <col min="14344" max="14345" width="5" style="1" customWidth="1"/>
    <col min="14346" max="14347" width="3.75" style="1" customWidth="1"/>
    <col min="14348" max="14349" width="5" style="1" customWidth="1"/>
    <col min="14350" max="14351" width="3.75" style="1" customWidth="1"/>
    <col min="14352" max="14353" width="5" style="1" customWidth="1"/>
    <col min="14354" max="14355" width="3.75" style="1" customWidth="1"/>
    <col min="14356" max="14357" width="5" style="1" customWidth="1"/>
    <col min="14358" max="14359" width="3.75" style="1" customWidth="1"/>
    <col min="14360" max="14360" width="3.5" style="1" customWidth="1"/>
    <col min="14361" max="14591" width="9" style="1"/>
    <col min="14592" max="14592" width="5" style="1" customWidth="1"/>
    <col min="14593" max="14593" width="20.5" style="1" customWidth="1"/>
    <col min="14594" max="14594" width="2.375" style="1" customWidth="1"/>
    <col min="14595" max="14595" width="3.75" style="1" customWidth="1"/>
    <col min="14596" max="14597" width="5" style="1" customWidth="1"/>
    <col min="14598" max="14599" width="3.75" style="1" customWidth="1"/>
    <col min="14600" max="14601" width="5" style="1" customWidth="1"/>
    <col min="14602" max="14603" width="3.75" style="1" customWidth="1"/>
    <col min="14604" max="14605" width="5" style="1" customWidth="1"/>
    <col min="14606" max="14607" width="3.75" style="1" customWidth="1"/>
    <col min="14608" max="14609" width="5" style="1" customWidth="1"/>
    <col min="14610" max="14611" width="3.75" style="1" customWidth="1"/>
    <col min="14612" max="14613" width="5" style="1" customWidth="1"/>
    <col min="14614" max="14615" width="3.75" style="1" customWidth="1"/>
    <col min="14616" max="14616" width="3.5" style="1" customWidth="1"/>
    <col min="14617" max="14847" width="9" style="1"/>
    <col min="14848" max="14848" width="5" style="1" customWidth="1"/>
    <col min="14849" max="14849" width="20.5" style="1" customWidth="1"/>
    <col min="14850" max="14850" width="2.375" style="1" customWidth="1"/>
    <col min="14851" max="14851" width="3.75" style="1" customWidth="1"/>
    <col min="14852" max="14853" width="5" style="1" customWidth="1"/>
    <col min="14854" max="14855" width="3.75" style="1" customWidth="1"/>
    <col min="14856" max="14857" width="5" style="1" customWidth="1"/>
    <col min="14858" max="14859" width="3.75" style="1" customWidth="1"/>
    <col min="14860" max="14861" width="5" style="1" customWidth="1"/>
    <col min="14862" max="14863" width="3.75" style="1" customWidth="1"/>
    <col min="14864" max="14865" width="5" style="1" customWidth="1"/>
    <col min="14866" max="14867" width="3.75" style="1" customWidth="1"/>
    <col min="14868" max="14869" width="5" style="1" customWidth="1"/>
    <col min="14870" max="14871" width="3.75" style="1" customWidth="1"/>
    <col min="14872" max="14872" width="3.5" style="1" customWidth="1"/>
    <col min="14873" max="15103" width="9" style="1"/>
    <col min="15104" max="15104" width="5" style="1" customWidth="1"/>
    <col min="15105" max="15105" width="20.5" style="1" customWidth="1"/>
    <col min="15106" max="15106" width="2.375" style="1" customWidth="1"/>
    <col min="15107" max="15107" width="3.75" style="1" customWidth="1"/>
    <col min="15108" max="15109" width="5" style="1" customWidth="1"/>
    <col min="15110" max="15111" width="3.75" style="1" customWidth="1"/>
    <col min="15112" max="15113" width="5" style="1" customWidth="1"/>
    <col min="15114" max="15115" width="3.75" style="1" customWidth="1"/>
    <col min="15116" max="15117" width="5" style="1" customWidth="1"/>
    <col min="15118" max="15119" width="3.75" style="1" customWidth="1"/>
    <col min="15120" max="15121" width="5" style="1" customWidth="1"/>
    <col min="15122" max="15123" width="3.75" style="1" customWidth="1"/>
    <col min="15124" max="15125" width="5" style="1" customWidth="1"/>
    <col min="15126" max="15127" width="3.75" style="1" customWidth="1"/>
    <col min="15128" max="15128" width="3.5" style="1" customWidth="1"/>
    <col min="15129" max="15359" width="9" style="1"/>
    <col min="15360" max="15360" width="5" style="1" customWidth="1"/>
    <col min="15361" max="15361" width="20.5" style="1" customWidth="1"/>
    <col min="15362" max="15362" width="2.375" style="1" customWidth="1"/>
    <col min="15363" max="15363" width="3.75" style="1" customWidth="1"/>
    <col min="15364" max="15365" width="5" style="1" customWidth="1"/>
    <col min="15366" max="15367" width="3.75" style="1" customWidth="1"/>
    <col min="15368" max="15369" width="5" style="1" customWidth="1"/>
    <col min="15370" max="15371" width="3.75" style="1" customWidth="1"/>
    <col min="15372" max="15373" width="5" style="1" customWidth="1"/>
    <col min="15374" max="15375" width="3.75" style="1" customWidth="1"/>
    <col min="15376" max="15377" width="5" style="1" customWidth="1"/>
    <col min="15378" max="15379" width="3.75" style="1" customWidth="1"/>
    <col min="15380" max="15381" width="5" style="1" customWidth="1"/>
    <col min="15382" max="15383" width="3.75" style="1" customWidth="1"/>
    <col min="15384" max="15384" width="3.5" style="1" customWidth="1"/>
    <col min="15385" max="15615" width="9" style="1"/>
    <col min="15616" max="15616" width="5" style="1" customWidth="1"/>
    <col min="15617" max="15617" width="20.5" style="1" customWidth="1"/>
    <col min="15618" max="15618" width="2.375" style="1" customWidth="1"/>
    <col min="15619" max="15619" width="3.75" style="1" customWidth="1"/>
    <col min="15620" max="15621" width="5" style="1" customWidth="1"/>
    <col min="15622" max="15623" width="3.75" style="1" customWidth="1"/>
    <col min="15624" max="15625" width="5" style="1" customWidth="1"/>
    <col min="15626" max="15627" width="3.75" style="1" customWidth="1"/>
    <col min="15628" max="15629" width="5" style="1" customWidth="1"/>
    <col min="15630" max="15631" width="3.75" style="1" customWidth="1"/>
    <col min="15632" max="15633" width="5" style="1" customWidth="1"/>
    <col min="15634" max="15635" width="3.75" style="1" customWidth="1"/>
    <col min="15636" max="15637" width="5" style="1" customWidth="1"/>
    <col min="15638" max="15639" width="3.75" style="1" customWidth="1"/>
    <col min="15640" max="15640" width="3.5" style="1" customWidth="1"/>
    <col min="15641" max="15871" width="9" style="1"/>
    <col min="15872" max="15872" width="5" style="1" customWidth="1"/>
    <col min="15873" max="15873" width="20.5" style="1" customWidth="1"/>
    <col min="15874" max="15874" width="2.375" style="1" customWidth="1"/>
    <col min="15875" max="15875" width="3.75" style="1" customWidth="1"/>
    <col min="15876" max="15877" width="5" style="1" customWidth="1"/>
    <col min="15878" max="15879" width="3.75" style="1" customWidth="1"/>
    <col min="15880" max="15881" width="5" style="1" customWidth="1"/>
    <col min="15882" max="15883" width="3.75" style="1" customWidth="1"/>
    <col min="15884" max="15885" width="5" style="1" customWidth="1"/>
    <col min="15886" max="15887" width="3.75" style="1" customWidth="1"/>
    <col min="15888" max="15889" width="5" style="1" customWidth="1"/>
    <col min="15890" max="15891" width="3.75" style="1" customWidth="1"/>
    <col min="15892" max="15893" width="5" style="1" customWidth="1"/>
    <col min="15894" max="15895" width="3.75" style="1" customWidth="1"/>
    <col min="15896" max="15896" width="3.5" style="1" customWidth="1"/>
    <col min="15897" max="16127" width="9" style="1"/>
    <col min="16128" max="16128" width="5" style="1" customWidth="1"/>
    <col min="16129" max="16129" width="20.5" style="1" customWidth="1"/>
    <col min="16130" max="16130" width="2.375" style="1" customWidth="1"/>
    <col min="16131" max="16131" width="3.75" style="1" customWidth="1"/>
    <col min="16132" max="16133" width="5" style="1" customWidth="1"/>
    <col min="16134" max="16135" width="3.75" style="1" customWidth="1"/>
    <col min="16136" max="16137" width="5" style="1" customWidth="1"/>
    <col min="16138" max="16139" width="3.75" style="1" customWidth="1"/>
    <col min="16140" max="16141" width="5" style="1" customWidth="1"/>
    <col min="16142" max="16143" width="3.75" style="1" customWidth="1"/>
    <col min="16144" max="16145" width="5" style="1" customWidth="1"/>
    <col min="16146" max="16147" width="3.75" style="1" customWidth="1"/>
    <col min="16148" max="16149" width="5" style="1" customWidth="1"/>
    <col min="16150" max="16151" width="3.75" style="1" customWidth="1"/>
    <col min="16152" max="16152" width="3.5" style="1" customWidth="1"/>
    <col min="16153" max="16383" width="9" style="1"/>
    <col min="16384" max="16384" width="9" style="1" customWidth="1"/>
  </cols>
  <sheetData>
    <row r="1" spans="1:29" x14ac:dyDescent="0.2">
      <c r="A1" s="2" t="s">
        <v>0</v>
      </c>
      <c r="K1" s="127" t="s">
        <v>23</v>
      </c>
      <c r="L1" s="127"/>
      <c r="M1" s="127"/>
    </row>
    <row r="2" spans="1:29" x14ac:dyDescent="0.2">
      <c r="A2" s="2" t="s">
        <v>18</v>
      </c>
      <c r="K2" s="127"/>
      <c r="L2" s="127"/>
      <c r="M2" s="127"/>
      <c r="U2" s="128" t="str">
        <f ca="1">Y2</f>
        <v>PE2</v>
      </c>
      <c r="V2" s="128"/>
      <c r="W2" s="128"/>
      <c r="Y2" s="5" t="str">
        <f ca="1">MID(CELL("filename",A1),FIND("]",CELL("filename",A1))+1,256)</f>
        <v>PE2</v>
      </c>
    </row>
    <row r="3" spans="1:29" x14ac:dyDescent="0.2">
      <c r="A3" s="2" t="s">
        <v>1</v>
      </c>
      <c r="U3" s="128"/>
      <c r="V3" s="128"/>
      <c r="W3" s="128"/>
    </row>
    <row r="4" spans="1:29" x14ac:dyDescent="0.2">
      <c r="A4" s="8" t="s">
        <v>19</v>
      </c>
      <c r="I4" s="127" t="s">
        <v>3</v>
      </c>
      <c r="J4" s="127"/>
      <c r="K4" s="127"/>
      <c r="L4" s="127"/>
      <c r="M4" s="127"/>
      <c r="N4" s="127"/>
      <c r="O4" s="127"/>
      <c r="U4" s="128"/>
      <c r="V4" s="128"/>
      <c r="W4" s="128"/>
    </row>
    <row r="5" spans="1:29" x14ac:dyDescent="0.2">
      <c r="A5" s="9" t="s">
        <v>20</v>
      </c>
      <c r="B5" s="2" t="s">
        <v>27</v>
      </c>
      <c r="I5" s="127"/>
      <c r="J5" s="127"/>
      <c r="K5" s="127"/>
      <c r="L5" s="127"/>
      <c r="M5" s="127"/>
      <c r="N5" s="127"/>
      <c r="O5" s="127"/>
    </row>
    <row r="6" spans="1:29" ht="13.5" thickBot="1" x14ac:dyDescent="0.25"/>
    <row r="7" spans="1:29" ht="15.95" customHeight="1" thickTop="1" thickBot="1" x14ac:dyDescent="0.25">
      <c r="A7" s="150" t="s">
        <v>4</v>
      </c>
      <c r="B7" s="130"/>
      <c r="C7" s="130"/>
      <c r="D7" s="131" t="s">
        <v>311</v>
      </c>
      <c r="E7" s="132"/>
      <c r="F7" s="133"/>
      <c r="G7" s="134"/>
      <c r="H7" s="131" t="s">
        <v>312</v>
      </c>
      <c r="I7" s="132"/>
      <c r="J7" s="133"/>
      <c r="K7" s="134"/>
      <c r="L7" s="131" t="s">
        <v>318</v>
      </c>
      <c r="M7" s="132"/>
      <c r="N7" s="133"/>
      <c r="O7" s="134"/>
      <c r="P7" s="131" t="s">
        <v>315</v>
      </c>
      <c r="Q7" s="132"/>
      <c r="R7" s="133"/>
      <c r="S7" s="134"/>
      <c r="T7" s="131"/>
      <c r="U7" s="132"/>
      <c r="V7" s="133"/>
      <c r="W7" s="134"/>
      <c r="X7" s="131"/>
      <c r="Y7" s="132"/>
      <c r="Z7" s="133"/>
      <c r="AA7" s="134"/>
    </row>
    <row r="8" spans="1:29" ht="15" customHeight="1" thickTop="1" x14ac:dyDescent="0.2">
      <c r="A8" s="147" t="s">
        <v>5</v>
      </c>
      <c r="B8" s="136" t="s">
        <v>6</v>
      </c>
      <c r="C8" s="142" t="s">
        <v>25</v>
      </c>
      <c r="D8" s="138" t="s">
        <v>7</v>
      </c>
      <c r="E8" s="139"/>
      <c r="F8" s="140"/>
      <c r="G8" s="141"/>
      <c r="H8" s="144" t="s">
        <v>8</v>
      </c>
      <c r="I8" s="145"/>
      <c r="J8" s="145"/>
      <c r="K8" s="146"/>
      <c r="L8" s="144" t="s">
        <v>9</v>
      </c>
      <c r="M8" s="145"/>
      <c r="N8" s="145"/>
      <c r="O8" s="146"/>
      <c r="P8" s="138" t="s">
        <v>10</v>
      </c>
      <c r="Q8" s="139"/>
      <c r="R8" s="140"/>
      <c r="S8" s="141"/>
      <c r="T8" s="138" t="s">
        <v>11</v>
      </c>
      <c r="U8" s="139"/>
      <c r="V8" s="140"/>
      <c r="W8" s="141"/>
      <c r="X8" s="138" t="s">
        <v>24</v>
      </c>
      <c r="Y8" s="139"/>
      <c r="Z8" s="140"/>
      <c r="AA8" s="141"/>
    </row>
    <row r="9" spans="1:29" s="3" customFormat="1" ht="67.5" customHeight="1" thickBot="1" x14ac:dyDescent="0.3">
      <c r="A9" s="148"/>
      <c r="B9" s="137"/>
      <c r="C9" s="149"/>
      <c r="D9" s="10" t="s">
        <v>12</v>
      </c>
      <c r="E9" s="11" t="s">
        <v>13</v>
      </c>
      <c r="F9" s="12" t="s">
        <v>14</v>
      </c>
      <c r="G9" s="13" t="s">
        <v>15</v>
      </c>
      <c r="H9" s="10" t="s">
        <v>12</v>
      </c>
      <c r="I9" s="11" t="s">
        <v>13</v>
      </c>
      <c r="J9" s="12" t="s">
        <v>14</v>
      </c>
      <c r="K9" s="13" t="s">
        <v>15</v>
      </c>
      <c r="L9" s="10" t="s">
        <v>12</v>
      </c>
      <c r="M9" s="11" t="s">
        <v>13</v>
      </c>
      <c r="N9" s="12" t="s">
        <v>14</v>
      </c>
      <c r="O9" s="13" t="s">
        <v>15</v>
      </c>
      <c r="P9" s="10" t="s">
        <v>12</v>
      </c>
      <c r="Q9" s="11" t="s">
        <v>13</v>
      </c>
      <c r="R9" s="12" t="s">
        <v>14</v>
      </c>
      <c r="S9" s="13" t="s">
        <v>15</v>
      </c>
      <c r="T9" s="10" t="s">
        <v>12</v>
      </c>
      <c r="U9" s="11" t="s">
        <v>13</v>
      </c>
      <c r="V9" s="12" t="s">
        <v>14</v>
      </c>
      <c r="W9" s="13" t="s">
        <v>15</v>
      </c>
      <c r="X9" s="10" t="s">
        <v>12</v>
      </c>
      <c r="Y9" s="11" t="s">
        <v>13</v>
      </c>
      <c r="Z9" s="12" t="s">
        <v>14</v>
      </c>
      <c r="AA9" s="13" t="s">
        <v>15</v>
      </c>
      <c r="AC9" s="152" t="s">
        <v>319</v>
      </c>
    </row>
    <row r="10" spans="1:29" ht="18" customHeight="1" thickTop="1" x14ac:dyDescent="0.25">
      <c r="A10" s="53" t="s">
        <v>138</v>
      </c>
      <c r="B10" s="54" t="s">
        <v>122</v>
      </c>
      <c r="C10" s="50"/>
      <c r="D10" s="49"/>
      <c r="E10" s="107">
        <v>0</v>
      </c>
      <c r="F10" s="36"/>
      <c r="G10" s="51"/>
      <c r="H10" s="49" t="s">
        <v>242</v>
      </c>
      <c r="I10" s="50">
        <v>1</v>
      </c>
      <c r="J10" s="52"/>
      <c r="K10" s="51"/>
      <c r="L10" s="49"/>
      <c r="M10" s="50">
        <v>1.5</v>
      </c>
      <c r="N10" s="52"/>
      <c r="O10" s="51"/>
      <c r="P10" s="49" t="s">
        <v>242</v>
      </c>
      <c r="Q10" s="50">
        <v>1.2</v>
      </c>
      <c r="R10" s="52"/>
      <c r="S10" s="51"/>
      <c r="T10" s="49"/>
      <c r="U10" s="50">
        <v>4.5</v>
      </c>
      <c r="V10" s="52"/>
      <c r="W10" s="51"/>
      <c r="X10" s="49"/>
      <c r="Y10" s="50">
        <v>5</v>
      </c>
      <c r="Z10" s="52"/>
      <c r="AA10" s="51"/>
      <c r="AC10" s="153">
        <f>(E10+I10+M10+Q10+U10+Y10)/2</f>
        <v>6.6</v>
      </c>
    </row>
    <row r="11" spans="1:29" s="3" customFormat="1" ht="18" customHeight="1" x14ac:dyDescent="0.25">
      <c r="A11" s="64" t="s">
        <v>139</v>
      </c>
      <c r="B11" s="65" t="s">
        <v>123</v>
      </c>
      <c r="C11" s="44"/>
      <c r="D11" s="43"/>
      <c r="E11" s="44">
        <v>1</v>
      </c>
      <c r="F11" s="35"/>
      <c r="G11" s="56"/>
      <c r="H11" s="43" t="s">
        <v>242</v>
      </c>
      <c r="I11" s="44">
        <v>1</v>
      </c>
      <c r="J11" s="35"/>
      <c r="K11" s="56"/>
      <c r="L11" s="43"/>
      <c r="M11" s="44">
        <v>1.5</v>
      </c>
      <c r="N11" s="35"/>
      <c r="O11" s="56"/>
      <c r="P11" s="43" t="s">
        <v>242</v>
      </c>
      <c r="Q11" s="44">
        <v>1</v>
      </c>
      <c r="R11" s="35"/>
      <c r="S11" s="56"/>
      <c r="T11" s="43"/>
      <c r="U11" s="44">
        <v>4.5</v>
      </c>
      <c r="V11" s="35"/>
      <c r="W11" s="56"/>
      <c r="X11" s="43"/>
      <c r="Y11" s="44">
        <v>5</v>
      </c>
      <c r="Z11" s="35"/>
      <c r="AA11" s="56"/>
      <c r="AC11" s="153">
        <f t="shared" ref="AC11:AC26" si="0">(E11+I11+M11+Q11+U11+Y11)/2</f>
        <v>7</v>
      </c>
    </row>
    <row r="12" spans="1:29" ht="18" customHeight="1" x14ac:dyDescent="0.25">
      <c r="A12" s="53" t="s">
        <v>140</v>
      </c>
      <c r="B12" s="54" t="s">
        <v>124</v>
      </c>
      <c r="C12" s="30"/>
      <c r="D12" s="29"/>
      <c r="E12" s="30">
        <v>0.5</v>
      </c>
      <c r="F12" s="35"/>
      <c r="G12" s="33"/>
      <c r="H12" s="29" t="s">
        <v>242</v>
      </c>
      <c r="I12" s="30">
        <v>1</v>
      </c>
      <c r="J12" s="32"/>
      <c r="K12" s="33"/>
      <c r="L12" s="29"/>
      <c r="M12" s="30">
        <v>1</v>
      </c>
      <c r="N12" s="32"/>
      <c r="O12" s="33"/>
      <c r="P12" s="29" t="s">
        <v>242</v>
      </c>
      <c r="Q12" s="30">
        <v>0.5</v>
      </c>
      <c r="R12" s="32"/>
      <c r="S12" s="33"/>
      <c r="T12" s="29"/>
      <c r="U12" s="30">
        <v>4</v>
      </c>
      <c r="V12" s="32"/>
      <c r="W12" s="33"/>
      <c r="X12" s="29"/>
      <c r="Y12" s="30">
        <v>4</v>
      </c>
      <c r="Z12" s="32"/>
      <c r="AA12" s="33"/>
      <c r="AC12" s="153">
        <f t="shared" si="0"/>
        <v>5.5</v>
      </c>
    </row>
    <row r="13" spans="1:29" ht="18" customHeight="1" x14ac:dyDescent="0.25">
      <c r="A13" s="53" t="s">
        <v>141</v>
      </c>
      <c r="B13" s="54" t="s">
        <v>125</v>
      </c>
      <c r="C13" s="30"/>
      <c r="D13" s="29"/>
      <c r="E13" s="30">
        <v>1</v>
      </c>
      <c r="F13" s="35"/>
      <c r="G13" s="33"/>
      <c r="H13" s="29"/>
      <c r="I13" s="30">
        <v>1</v>
      </c>
      <c r="J13" s="32"/>
      <c r="K13" s="33"/>
      <c r="L13" s="29"/>
      <c r="M13" s="30">
        <v>1.5</v>
      </c>
      <c r="N13" s="32"/>
      <c r="O13" s="33"/>
      <c r="P13" s="86"/>
      <c r="Q13" s="87">
        <v>0</v>
      </c>
      <c r="R13" s="35"/>
      <c r="S13" s="33"/>
      <c r="T13" s="29"/>
      <c r="U13" s="30">
        <v>4</v>
      </c>
      <c r="V13" s="32"/>
      <c r="W13" s="33"/>
      <c r="X13" s="29"/>
      <c r="Y13" s="30">
        <v>4</v>
      </c>
      <c r="Z13" s="32"/>
      <c r="AA13" s="33"/>
      <c r="AC13" s="153">
        <f t="shared" si="0"/>
        <v>5.75</v>
      </c>
    </row>
    <row r="14" spans="1:29" ht="18" customHeight="1" x14ac:dyDescent="0.25">
      <c r="A14" s="53" t="s">
        <v>142</v>
      </c>
      <c r="B14" s="54" t="s">
        <v>126</v>
      </c>
      <c r="C14" s="30"/>
      <c r="D14" s="29"/>
      <c r="E14" s="30">
        <v>1</v>
      </c>
      <c r="F14" s="32"/>
      <c r="G14" s="33"/>
      <c r="H14" s="29" t="s">
        <v>242</v>
      </c>
      <c r="I14" s="30">
        <v>1</v>
      </c>
      <c r="J14" s="32"/>
      <c r="K14" s="33"/>
      <c r="L14" s="29"/>
      <c r="M14" s="30">
        <v>1</v>
      </c>
      <c r="N14" s="34"/>
      <c r="O14" s="33"/>
      <c r="P14" s="29" t="s">
        <v>242</v>
      </c>
      <c r="Q14" s="30">
        <v>1</v>
      </c>
      <c r="R14" s="32"/>
      <c r="S14" s="33"/>
      <c r="T14" s="29"/>
      <c r="U14" s="30">
        <v>4</v>
      </c>
      <c r="V14" s="32"/>
      <c r="W14" s="33"/>
      <c r="X14" s="29"/>
      <c r="Y14" s="30">
        <v>4</v>
      </c>
      <c r="Z14" s="32"/>
      <c r="AA14" s="33"/>
      <c r="AC14" s="153">
        <f t="shared" si="0"/>
        <v>6</v>
      </c>
    </row>
    <row r="15" spans="1:29" ht="18" customHeight="1" x14ac:dyDescent="0.25">
      <c r="A15" s="53" t="s">
        <v>143</v>
      </c>
      <c r="B15" s="54" t="s">
        <v>127</v>
      </c>
      <c r="C15" s="30"/>
      <c r="D15" s="29"/>
      <c r="E15" s="30">
        <v>1</v>
      </c>
      <c r="F15" s="32"/>
      <c r="G15" s="33"/>
      <c r="H15" s="29" t="s">
        <v>242</v>
      </c>
      <c r="I15" s="30">
        <v>1</v>
      </c>
      <c r="J15" s="32"/>
      <c r="K15" s="33"/>
      <c r="L15" s="29"/>
      <c r="M15" s="30">
        <v>1.5</v>
      </c>
      <c r="N15" s="32"/>
      <c r="O15" s="33"/>
      <c r="P15" s="29" t="s">
        <v>242</v>
      </c>
      <c r="Q15" s="30">
        <v>1.5</v>
      </c>
      <c r="R15" s="32"/>
      <c r="S15" s="33"/>
      <c r="T15" s="29"/>
      <c r="U15" s="30">
        <v>4.5</v>
      </c>
      <c r="V15" s="32"/>
      <c r="W15" s="33"/>
      <c r="X15" s="29"/>
      <c r="Y15" s="30">
        <v>4</v>
      </c>
      <c r="Z15" s="32"/>
      <c r="AA15" s="33"/>
      <c r="AC15" s="153">
        <f t="shared" si="0"/>
        <v>6.75</v>
      </c>
    </row>
    <row r="16" spans="1:29" ht="18" customHeight="1" x14ac:dyDescent="0.25">
      <c r="A16" s="53" t="s">
        <v>144</v>
      </c>
      <c r="B16" s="54" t="s">
        <v>128</v>
      </c>
      <c r="C16" s="30"/>
      <c r="D16" s="29"/>
      <c r="E16" s="30">
        <v>2</v>
      </c>
      <c r="F16" s="32"/>
      <c r="G16" s="33"/>
      <c r="H16" s="29" t="s">
        <v>242</v>
      </c>
      <c r="I16" s="30">
        <v>2</v>
      </c>
      <c r="J16" s="32"/>
      <c r="K16" s="33"/>
      <c r="L16" s="29"/>
      <c r="M16" s="30">
        <v>2</v>
      </c>
      <c r="N16" s="32"/>
      <c r="O16" s="33"/>
      <c r="P16" s="29" t="s">
        <v>242</v>
      </c>
      <c r="Q16" s="30">
        <v>2</v>
      </c>
      <c r="R16" s="32"/>
      <c r="S16" s="33"/>
      <c r="T16" s="29"/>
      <c r="U16" s="30">
        <v>6</v>
      </c>
      <c r="V16" s="32"/>
      <c r="W16" s="33"/>
      <c r="X16" s="29"/>
      <c r="Y16" s="30">
        <v>6</v>
      </c>
      <c r="Z16" s="32"/>
      <c r="AA16" s="33"/>
      <c r="AC16" s="153">
        <f t="shared" si="0"/>
        <v>10</v>
      </c>
    </row>
    <row r="17" spans="1:29" ht="18" customHeight="1" x14ac:dyDescent="0.25">
      <c r="A17" s="53" t="s">
        <v>145</v>
      </c>
      <c r="B17" s="54" t="s">
        <v>129</v>
      </c>
      <c r="C17" s="30"/>
      <c r="D17" s="29"/>
      <c r="E17" s="108">
        <v>1.5</v>
      </c>
      <c r="F17" s="32"/>
      <c r="G17" s="31"/>
      <c r="H17" s="29" t="s">
        <v>242</v>
      </c>
      <c r="I17" s="30">
        <v>1</v>
      </c>
      <c r="J17" s="32"/>
      <c r="K17" s="33"/>
      <c r="L17" s="29"/>
      <c r="M17" s="30">
        <v>1.5</v>
      </c>
      <c r="N17" s="32"/>
      <c r="O17" s="33"/>
      <c r="P17" s="29" t="s">
        <v>242</v>
      </c>
      <c r="Q17" s="30">
        <v>1</v>
      </c>
      <c r="R17" s="32"/>
      <c r="S17" s="33"/>
      <c r="T17" s="29"/>
      <c r="U17" s="30">
        <v>5</v>
      </c>
      <c r="V17" s="32"/>
      <c r="W17" s="33"/>
      <c r="X17" s="29"/>
      <c r="Y17" s="30">
        <v>6</v>
      </c>
      <c r="Z17" s="32"/>
      <c r="AA17" s="33"/>
      <c r="AC17" s="153">
        <f t="shared" si="0"/>
        <v>8</v>
      </c>
    </row>
    <row r="18" spans="1:29" ht="18" customHeight="1" x14ac:dyDescent="0.25">
      <c r="A18" s="46" t="s">
        <v>146</v>
      </c>
      <c r="B18" s="47" t="s">
        <v>130</v>
      </c>
      <c r="C18" s="30"/>
      <c r="D18" s="29"/>
      <c r="E18" s="30">
        <v>2</v>
      </c>
      <c r="F18" s="32"/>
      <c r="G18" s="33"/>
      <c r="H18" s="29" t="s">
        <v>242</v>
      </c>
      <c r="I18" s="30">
        <v>1</v>
      </c>
      <c r="J18" s="32"/>
      <c r="K18" s="33"/>
      <c r="L18" s="29"/>
      <c r="M18" s="30">
        <v>1.5</v>
      </c>
      <c r="N18" s="32"/>
      <c r="O18" s="33"/>
      <c r="P18" s="29" t="s">
        <v>242</v>
      </c>
      <c r="Q18" s="30">
        <v>0.8</v>
      </c>
      <c r="R18" s="32"/>
      <c r="S18" s="33"/>
      <c r="T18" s="29"/>
      <c r="U18" s="30">
        <v>4</v>
      </c>
      <c r="V18" s="32"/>
      <c r="W18" s="33"/>
      <c r="X18" s="29"/>
      <c r="Y18" s="30">
        <v>5</v>
      </c>
      <c r="Z18" s="32"/>
      <c r="AA18" s="33"/>
      <c r="AC18" s="153">
        <f t="shared" si="0"/>
        <v>7.15</v>
      </c>
    </row>
    <row r="19" spans="1:29" ht="18" customHeight="1" x14ac:dyDescent="0.25">
      <c r="A19" s="53" t="s">
        <v>147</v>
      </c>
      <c r="B19" s="54" t="s">
        <v>131</v>
      </c>
      <c r="C19" s="30"/>
      <c r="D19" s="29"/>
      <c r="E19" s="30">
        <v>1.5</v>
      </c>
      <c r="F19" s="32"/>
      <c r="G19" s="33"/>
      <c r="H19" s="29" t="s">
        <v>242</v>
      </c>
      <c r="I19" s="30">
        <v>1</v>
      </c>
      <c r="J19" s="32"/>
      <c r="K19" s="33"/>
      <c r="L19" s="29"/>
      <c r="M19" s="30">
        <v>1.5</v>
      </c>
      <c r="N19" s="32"/>
      <c r="O19" s="33"/>
      <c r="P19" s="29" t="s">
        <v>242</v>
      </c>
      <c r="Q19" s="30">
        <v>1</v>
      </c>
      <c r="R19" s="32"/>
      <c r="S19" s="33"/>
      <c r="T19" s="29"/>
      <c r="U19" s="30">
        <v>4</v>
      </c>
      <c r="V19" s="32"/>
      <c r="W19" s="33"/>
      <c r="X19" s="29"/>
      <c r="Y19" s="30">
        <v>5</v>
      </c>
      <c r="Z19" s="32"/>
      <c r="AA19" s="33"/>
      <c r="AC19" s="153">
        <f t="shared" si="0"/>
        <v>7</v>
      </c>
    </row>
    <row r="20" spans="1:29" ht="18" customHeight="1" x14ac:dyDescent="0.25">
      <c r="A20" s="53" t="s">
        <v>148</v>
      </c>
      <c r="B20" s="54" t="s">
        <v>132</v>
      </c>
      <c r="C20" s="30"/>
      <c r="D20" s="29"/>
      <c r="E20" s="30">
        <v>1.5</v>
      </c>
      <c r="F20" s="34"/>
      <c r="G20" s="31"/>
      <c r="H20" s="29" t="s">
        <v>242</v>
      </c>
      <c r="I20" s="30">
        <v>1</v>
      </c>
      <c r="J20" s="32"/>
      <c r="K20" s="33"/>
      <c r="L20" s="29"/>
      <c r="M20" s="30">
        <v>1.5</v>
      </c>
      <c r="N20" s="32"/>
      <c r="O20" s="33"/>
      <c r="P20" s="29" t="s">
        <v>242</v>
      </c>
      <c r="Q20" s="30">
        <v>1.5</v>
      </c>
      <c r="R20" s="32"/>
      <c r="S20" s="33"/>
      <c r="T20" s="29"/>
      <c r="U20" s="30">
        <v>4</v>
      </c>
      <c r="V20" s="32"/>
      <c r="W20" s="33"/>
      <c r="X20" s="29"/>
      <c r="Y20" s="30">
        <v>5</v>
      </c>
      <c r="Z20" s="32"/>
      <c r="AA20" s="33"/>
      <c r="AC20" s="153">
        <f t="shared" si="0"/>
        <v>7.25</v>
      </c>
    </row>
    <row r="21" spans="1:29" ht="18" customHeight="1" x14ac:dyDescent="0.25">
      <c r="A21" s="53" t="s">
        <v>149</v>
      </c>
      <c r="B21" s="54" t="s">
        <v>133</v>
      </c>
      <c r="C21" s="30"/>
      <c r="D21" s="29"/>
      <c r="E21" s="30">
        <v>1</v>
      </c>
      <c r="F21" s="32"/>
      <c r="G21" s="33"/>
      <c r="H21" s="29" t="s">
        <v>242</v>
      </c>
      <c r="I21" s="30">
        <v>1</v>
      </c>
      <c r="J21" s="32"/>
      <c r="K21" s="33"/>
      <c r="L21" s="29"/>
      <c r="M21" s="30">
        <v>1.5</v>
      </c>
      <c r="N21" s="35"/>
      <c r="O21" s="33"/>
      <c r="P21" s="29" t="s">
        <v>242</v>
      </c>
      <c r="Q21" s="30">
        <v>1</v>
      </c>
      <c r="R21" s="32"/>
      <c r="S21" s="33"/>
      <c r="T21" s="29" t="s">
        <v>242</v>
      </c>
      <c r="U21" s="30">
        <v>4</v>
      </c>
      <c r="V21" s="32"/>
      <c r="W21" s="33"/>
      <c r="X21" s="29" t="s">
        <v>242</v>
      </c>
      <c r="Y21" s="30">
        <v>5</v>
      </c>
      <c r="Z21" s="32"/>
      <c r="AA21" s="33"/>
      <c r="AC21" s="153">
        <f t="shared" si="0"/>
        <v>6.75</v>
      </c>
    </row>
    <row r="22" spans="1:29" ht="18" customHeight="1" x14ac:dyDescent="0.25">
      <c r="A22" s="101" t="s">
        <v>150</v>
      </c>
      <c r="B22" s="97" t="s">
        <v>134</v>
      </c>
      <c r="C22" s="89"/>
      <c r="D22" s="88"/>
      <c r="E22" s="89"/>
      <c r="F22" s="100"/>
      <c r="G22" s="99"/>
      <c r="H22" s="88"/>
      <c r="I22" s="89"/>
      <c r="J22" s="102"/>
      <c r="K22" s="99"/>
      <c r="L22" s="88"/>
      <c r="M22" s="89"/>
      <c r="N22" s="109"/>
      <c r="O22" s="99"/>
      <c r="P22" s="88"/>
      <c r="Q22" s="89"/>
      <c r="R22" s="100"/>
      <c r="S22" s="99"/>
      <c r="T22" s="88"/>
      <c r="U22" s="89"/>
      <c r="V22" s="100"/>
      <c r="W22" s="99"/>
      <c r="X22" s="88"/>
      <c r="Y22" s="89"/>
      <c r="Z22" s="100"/>
      <c r="AA22" s="99"/>
      <c r="AC22" s="154"/>
    </row>
    <row r="23" spans="1:29" ht="18" customHeight="1" x14ac:dyDescent="0.25">
      <c r="A23" s="53" t="s">
        <v>151</v>
      </c>
      <c r="B23" s="54" t="s">
        <v>135</v>
      </c>
      <c r="C23" s="30"/>
      <c r="D23" s="29"/>
      <c r="E23" s="30">
        <v>1</v>
      </c>
      <c r="F23" s="32"/>
      <c r="G23" s="33"/>
      <c r="H23" s="29" t="s">
        <v>242</v>
      </c>
      <c r="I23" s="30">
        <v>1.5</v>
      </c>
      <c r="J23" s="32"/>
      <c r="K23" s="33"/>
      <c r="L23" s="29"/>
      <c r="M23" s="30">
        <v>1.5</v>
      </c>
      <c r="N23" s="32"/>
      <c r="O23" s="33"/>
      <c r="P23" s="29" t="s">
        <v>242</v>
      </c>
      <c r="Q23" s="30">
        <v>0.8</v>
      </c>
      <c r="R23" s="32"/>
      <c r="S23" s="33"/>
      <c r="T23" s="29" t="s">
        <v>242</v>
      </c>
      <c r="U23" s="30">
        <v>4</v>
      </c>
      <c r="V23" s="32"/>
      <c r="W23" s="33"/>
      <c r="X23" s="29" t="s">
        <v>242</v>
      </c>
      <c r="Y23" s="30">
        <v>5</v>
      </c>
      <c r="Z23" s="32"/>
      <c r="AA23" s="33"/>
      <c r="AC23" s="153">
        <f t="shared" si="0"/>
        <v>6.9</v>
      </c>
    </row>
    <row r="24" spans="1:29" ht="18" customHeight="1" x14ac:dyDescent="0.25">
      <c r="A24" s="53" t="s">
        <v>152</v>
      </c>
      <c r="B24" s="83" t="s">
        <v>136</v>
      </c>
      <c r="C24" s="66"/>
      <c r="D24" s="29"/>
      <c r="E24" s="30">
        <v>1.5</v>
      </c>
      <c r="F24" s="32"/>
      <c r="G24" s="33"/>
      <c r="H24" s="29" t="s">
        <v>242</v>
      </c>
      <c r="I24" s="30">
        <v>1.5</v>
      </c>
      <c r="J24" s="32"/>
      <c r="K24" s="33"/>
      <c r="L24" s="29"/>
      <c r="M24" s="30">
        <v>1.5</v>
      </c>
      <c r="N24" s="32"/>
      <c r="O24" s="33"/>
      <c r="P24" s="29" t="s">
        <v>242</v>
      </c>
      <c r="Q24" s="30">
        <v>1.2</v>
      </c>
      <c r="R24" s="32"/>
      <c r="S24" s="33"/>
      <c r="T24" s="29" t="s">
        <v>242</v>
      </c>
      <c r="U24" s="30">
        <v>6</v>
      </c>
      <c r="V24" s="32"/>
      <c r="W24" s="33"/>
      <c r="X24" s="29" t="s">
        <v>242</v>
      </c>
      <c r="Y24" s="30">
        <v>6</v>
      </c>
      <c r="Z24" s="32"/>
      <c r="AA24" s="33"/>
      <c r="AC24" s="153">
        <f t="shared" si="0"/>
        <v>8.85</v>
      </c>
    </row>
    <row r="25" spans="1:29" ht="18" customHeight="1" x14ac:dyDescent="0.25">
      <c r="A25" s="53" t="s">
        <v>153</v>
      </c>
      <c r="B25" s="81" t="s">
        <v>137</v>
      </c>
      <c r="C25" s="4"/>
      <c r="D25" s="15"/>
      <c r="E25" s="4">
        <v>1.5</v>
      </c>
      <c r="F25" s="16"/>
      <c r="G25" s="17"/>
      <c r="H25" s="15" t="s">
        <v>242</v>
      </c>
      <c r="I25" s="4">
        <v>1.5</v>
      </c>
      <c r="J25" s="16"/>
      <c r="K25" s="17"/>
      <c r="L25" s="15"/>
      <c r="M25" s="4">
        <v>1</v>
      </c>
      <c r="N25" s="16"/>
      <c r="O25" s="17"/>
      <c r="P25" s="15" t="s">
        <v>242</v>
      </c>
      <c r="Q25" s="4">
        <v>2</v>
      </c>
      <c r="R25" s="16"/>
      <c r="S25" s="17"/>
      <c r="T25" s="15" t="s">
        <v>242</v>
      </c>
      <c r="U25" s="4">
        <v>5</v>
      </c>
      <c r="V25" s="16"/>
      <c r="W25" s="17"/>
      <c r="X25" s="15" t="s">
        <v>242</v>
      </c>
      <c r="Y25" s="4">
        <v>6</v>
      </c>
      <c r="Z25" s="16"/>
      <c r="AA25" s="17"/>
      <c r="AC25" s="153">
        <f t="shared" si="0"/>
        <v>8.5</v>
      </c>
    </row>
    <row r="26" spans="1:29" ht="18" customHeight="1" x14ac:dyDescent="0.2">
      <c r="A26" s="4"/>
      <c r="B26" s="14"/>
      <c r="C26" s="4"/>
      <c r="D26" s="15"/>
      <c r="E26" s="4"/>
      <c r="F26" s="16"/>
      <c r="G26" s="17"/>
      <c r="H26" s="15"/>
      <c r="I26" s="4"/>
      <c r="J26" s="16"/>
      <c r="K26" s="17"/>
      <c r="L26" s="15"/>
      <c r="M26" s="4"/>
      <c r="N26" s="16"/>
      <c r="O26" s="17"/>
      <c r="P26" s="15"/>
      <c r="Q26" s="4"/>
      <c r="R26" s="16"/>
      <c r="S26" s="17"/>
      <c r="T26" s="15"/>
      <c r="U26" s="4"/>
      <c r="V26" s="16"/>
      <c r="W26" s="17"/>
      <c r="X26" s="15"/>
      <c r="Y26" s="4"/>
      <c r="Z26" s="16"/>
      <c r="AA26" s="17"/>
    </row>
    <row r="27" spans="1:29" ht="18" customHeight="1" x14ac:dyDescent="0.2">
      <c r="A27" s="4" t="str">
        <f ca="1">IFERROR(IF((($U$2&amp;"-"&amp;X27)=VLOOKUP($U$2&amp;"-"&amp;X27,#REF!,1,FALSE)),$U$2&amp;"-"&amp;X27,""),"")</f>
        <v/>
      </c>
      <c r="B27" s="14" t="str">
        <f t="shared" ref="B27:B28" ca="1" si="1">IF(A27="","",VLOOKUP(A27,ETFtab2013,2))</f>
        <v/>
      </c>
      <c r="C27" s="4"/>
      <c r="D27" s="15"/>
      <c r="E27" s="4"/>
      <c r="F27" s="16"/>
      <c r="G27" s="17"/>
      <c r="H27" s="15"/>
      <c r="I27" s="4"/>
      <c r="J27" s="16"/>
      <c r="K27" s="17"/>
      <c r="L27" s="15"/>
      <c r="M27" s="4"/>
      <c r="N27" s="16"/>
      <c r="O27" s="17"/>
      <c r="P27" s="15"/>
      <c r="Q27" s="4"/>
      <c r="R27" s="16"/>
      <c r="S27" s="17"/>
      <c r="T27" s="15"/>
      <c r="U27" s="4"/>
      <c r="V27" s="16"/>
      <c r="W27" s="17"/>
      <c r="X27" s="15"/>
      <c r="Y27" s="4"/>
      <c r="Z27" s="16"/>
      <c r="AA27" s="17"/>
    </row>
    <row r="28" spans="1:29" ht="18" customHeight="1" thickBot="1" x14ac:dyDescent="0.25">
      <c r="A28" s="24" t="str">
        <f ca="1">IFERROR(IF((($U$2&amp;"-"&amp;X28)=VLOOKUP($U$2&amp;"-"&amp;X28,#REF!,1,FALSE)),$U$2&amp;"-"&amp;X28,""),"")</f>
        <v/>
      </c>
      <c r="B28" s="25" t="str">
        <f t="shared" ca="1" si="1"/>
        <v/>
      </c>
      <c r="C28" s="24"/>
      <c r="D28" s="26"/>
      <c r="E28" s="24"/>
      <c r="F28" s="27"/>
      <c r="G28" s="28"/>
      <c r="H28" s="26"/>
      <c r="I28" s="24"/>
      <c r="J28" s="27"/>
      <c r="K28" s="28"/>
      <c r="L28" s="26"/>
      <c r="M28" s="24"/>
      <c r="N28" s="27"/>
      <c r="O28" s="28"/>
      <c r="P28" s="26"/>
      <c r="Q28" s="24"/>
      <c r="R28" s="27"/>
      <c r="S28" s="28"/>
      <c r="T28" s="26"/>
      <c r="U28" s="24"/>
      <c r="V28" s="27"/>
      <c r="W28" s="28"/>
      <c r="X28" s="26"/>
      <c r="Y28" s="24"/>
      <c r="Z28" s="27"/>
      <c r="AA28" s="28"/>
    </row>
    <row r="29" spans="1:29" ht="18" customHeight="1" thickTop="1" x14ac:dyDescent="0.2">
      <c r="A29" s="22"/>
      <c r="B29" s="23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19"/>
      <c r="Y29" s="20"/>
      <c r="Z29" s="20"/>
    </row>
    <row r="30" spans="1:29" ht="18" customHeight="1" x14ac:dyDescent="0.2">
      <c r="A30" s="22"/>
      <c r="B30" s="23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19"/>
      <c r="Y30" s="20"/>
      <c r="Z30" s="20"/>
    </row>
    <row r="31" spans="1:29" ht="18" customHeight="1" x14ac:dyDescent="0.2">
      <c r="A31" s="22"/>
      <c r="B31" s="23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19"/>
      <c r="Y31" s="20"/>
      <c r="Z31" s="20"/>
    </row>
    <row r="32" spans="1:29" ht="18" customHeight="1" x14ac:dyDescent="0.2">
      <c r="A32" s="22"/>
      <c r="B32" s="23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19"/>
      <c r="Y32" s="20"/>
      <c r="Z32" s="20"/>
    </row>
    <row r="33" spans="1:26" ht="18" customHeight="1" x14ac:dyDescent="0.2">
      <c r="A33" s="22"/>
      <c r="B33" s="23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19"/>
      <c r="Y33" s="20"/>
      <c r="Z33" s="20"/>
    </row>
    <row r="34" spans="1:26" x14ac:dyDescent="0.2">
      <c r="A34" s="20"/>
      <c r="B34" s="20"/>
      <c r="C34" s="20"/>
      <c r="D34" s="20"/>
      <c r="E34" s="20"/>
      <c r="F34" s="20"/>
      <c r="G34" s="20"/>
      <c r="H34" s="21"/>
      <c r="I34" s="20"/>
      <c r="J34" s="20"/>
      <c r="K34" s="20"/>
      <c r="L34" s="21"/>
      <c r="M34" s="20"/>
      <c r="N34" s="20"/>
      <c r="O34" s="20"/>
      <c r="P34" s="20"/>
      <c r="Q34" s="20"/>
      <c r="R34" s="20"/>
      <c r="S34" s="20"/>
      <c r="T34" s="21"/>
      <c r="U34" s="20"/>
      <c r="V34" s="20"/>
      <c r="W34" s="20"/>
      <c r="X34" s="20"/>
      <c r="Y34" s="20"/>
      <c r="Z34" s="20"/>
    </row>
    <row r="35" spans="1:26" x14ac:dyDescent="0.2">
      <c r="A35" s="20"/>
      <c r="B35" s="20"/>
      <c r="C35" s="20"/>
      <c r="D35" s="20"/>
      <c r="E35" s="20"/>
      <c r="F35" s="20"/>
      <c r="G35" s="20"/>
      <c r="H35" s="21"/>
      <c r="I35" s="20"/>
      <c r="J35" s="20"/>
      <c r="K35" s="20"/>
      <c r="L35" s="21"/>
      <c r="M35" s="20"/>
      <c r="N35" s="20"/>
      <c r="O35" s="20"/>
      <c r="P35" s="20"/>
      <c r="Q35" s="20"/>
      <c r="R35" s="20"/>
      <c r="S35" s="20"/>
      <c r="T35" s="21"/>
      <c r="U35" s="20"/>
      <c r="V35" s="20"/>
      <c r="W35" s="20"/>
      <c r="X35" s="20"/>
      <c r="Y35" s="20"/>
      <c r="Z35" s="20"/>
    </row>
  </sheetData>
  <mergeCells count="19">
    <mergeCell ref="X7:AA7"/>
    <mergeCell ref="X8:AA8"/>
    <mergeCell ref="K1:M2"/>
    <mergeCell ref="U2:W4"/>
    <mergeCell ref="I4:O5"/>
    <mergeCell ref="T7:W7"/>
    <mergeCell ref="L8:O8"/>
    <mergeCell ref="P8:S8"/>
    <mergeCell ref="T8:W8"/>
    <mergeCell ref="A7:C7"/>
    <mergeCell ref="D7:G7"/>
    <mergeCell ref="H7:K7"/>
    <mergeCell ref="L7:O7"/>
    <mergeCell ref="P7:S7"/>
    <mergeCell ref="A8:A9"/>
    <mergeCell ref="B8:B9"/>
    <mergeCell ref="C8:C9"/>
    <mergeCell ref="D8:G8"/>
    <mergeCell ref="H8:K8"/>
  </mergeCells>
  <pageMargins left="0.78740157480314965" right="0.39370078740157483" top="0.39370078740157483" bottom="0.39370078740157483" header="0.31496062992125984" footer="0.31496062992125984"/>
  <pageSetup paperSize="9" scale="87" orientation="landscape" r:id="rId1"/>
  <headerFooter alignWithMargins="0"/>
  <colBreaks count="1" manualBreakCount="1">
    <brk id="27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4"/>
  <sheetViews>
    <sheetView view="pageBreakPreview" topLeftCell="A3" zoomScaleNormal="100" zoomScaleSheetLayoutView="100" workbookViewId="0">
      <selection activeCell="C10" sqref="C10:C25"/>
    </sheetView>
  </sheetViews>
  <sheetFormatPr defaultRowHeight="12.75" x14ac:dyDescent="0.2"/>
  <cols>
    <col min="1" max="1" width="7.125" style="1" customWidth="1"/>
    <col min="2" max="2" width="21.625" style="1" customWidth="1"/>
    <col min="3" max="3" width="3.75" style="1" customWidth="1"/>
    <col min="4" max="4" width="4.5" style="1" customWidth="1"/>
    <col min="5" max="5" width="4.375" style="1" customWidth="1"/>
    <col min="6" max="6" width="3.875" style="1" customWidth="1"/>
    <col min="7" max="7" width="5.125" style="1" customWidth="1"/>
    <col min="8" max="8" width="4.125" style="7" customWidth="1"/>
    <col min="9" max="10" width="3.875" style="1" customWidth="1"/>
    <col min="11" max="11" width="5.25" style="1" customWidth="1"/>
    <col min="12" max="12" width="4.375" style="7" customWidth="1"/>
    <col min="13" max="14" width="3.875" style="1" customWidth="1"/>
    <col min="15" max="15" width="5.5" style="1" customWidth="1"/>
    <col min="16" max="16" width="4.375" style="1" customWidth="1"/>
    <col min="17" max="18" width="3.875" style="1" customWidth="1"/>
    <col min="19" max="19" width="4.625" style="1" customWidth="1"/>
    <col min="20" max="20" width="4.5" style="7" customWidth="1"/>
    <col min="21" max="22" width="3.875" style="1" customWidth="1"/>
    <col min="23" max="23" width="4.625" style="1" customWidth="1"/>
    <col min="24" max="24" width="4" style="1" customWidth="1"/>
    <col min="25" max="27" width="4.125" style="1" customWidth="1"/>
    <col min="28" max="28" width="4" style="1" customWidth="1"/>
    <col min="29" max="255" width="9" style="1"/>
    <col min="256" max="256" width="5" style="1" customWidth="1"/>
    <col min="257" max="257" width="20.5" style="1" customWidth="1"/>
    <col min="258" max="258" width="2.375" style="1" customWidth="1"/>
    <col min="259" max="259" width="3.75" style="1" customWidth="1"/>
    <col min="260" max="261" width="5" style="1" customWidth="1"/>
    <col min="262" max="263" width="3.75" style="1" customWidth="1"/>
    <col min="264" max="265" width="5" style="1" customWidth="1"/>
    <col min="266" max="267" width="3.75" style="1" customWidth="1"/>
    <col min="268" max="269" width="5" style="1" customWidth="1"/>
    <col min="270" max="271" width="3.75" style="1" customWidth="1"/>
    <col min="272" max="273" width="5" style="1" customWidth="1"/>
    <col min="274" max="275" width="3.75" style="1" customWidth="1"/>
    <col min="276" max="277" width="5" style="1" customWidth="1"/>
    <col min="278" max="279" width="3.75" style="1" customWidth="1"/>
    <col min="280" max="280" width="3.5" style="1" customWidth="1"/>
    <col min="281" max="511" width="9" style="1"/>
    <col min="512" max="512" width="5" style="1" customWidth="1"/>
    <col min="513" max="513" width="20.5" style="1" customWidth="1"/>
    <col min="514" max="514" width="2.375" style="1" customWidth="1"/>
    <col min="515" max="515" width="3.75" style="1" customWidth="1"/>
    <col min="516" max="517" width="5" style="1" customWidth="1"/>
    <col min="518" max="519" width="3.75" style="1" customWidth="1"/>
    <col min="520" max="521" width="5" style="1" customWidth="1"/>
    <col min="522" max="523" width="3.75" style="1" customWidth="1"/>
    <col min="524" max="525" width="5" style="1" customWidth="1"/>
    <col min="526" max="527" width="3.75" style="1" customWidth="1"/>
    <col min="528" max="529" width="5" style="1" customWidth="1"/>
    <col min="530" max="531" width="3.75" style="1" customWidth="1"/>
    <col min="532" max="533" width="5" style="1" customWidth="1"/>
    <col min="534" max="535" width="3.75" style="1" customWidth="1"/>
    <col min="536" max="536" width="3.5" style="1" customWidth="1"/>
    <col min="537" max="767" width="9" style="1"/>
    <col min="768" max="768" width="5" style="1" customWidth="1"/>
    <col min="769" max="769" width="20.5" style="1" customWidth="1"/>
    <col min="770" max="770" width="2.375" style="1" customWidth="1"/>
    <col min="771" max="771" width="3.75" style="1" customWidth="1"/>
    <col min="772" max="773" width="5" style="1" customWidth="1"/>
    <col min="774" max="775" width="3.75" style="1" customWidth="1"/>
    <col min="776" max="777" width="5" style="1" customWidth="1"/>
    <col min="778" max="779" width="3.75" style="1" customWidth="1"/>
    <col min="780" max="781" width="5" style="1" customWidth="1"/>
    <col min="782" max="783" width="3.75" style="1" customWidth="1"/>
    <col min="784" max="785" width="5" style="1" customWidth="1"/>
    <col min="786" max="787" width="3.75" style="1" customWidth="1"/>
    <col min="788" max="789" width="5" style="1" customWidth="1"/>
    <col min="790" max="791" width="3.75" style="1" customWidth="1"/>
    <col min="792" max="792" width="3.5" style="1" customWidth="1"/>
    <col min="793" max="1023" width="9" style="1"/>
    <col min="1024" max="1024" width="5" style="1" customWidth="1"/>
    <col min="1025" max="1025" width="20.5" style="1" customWidth="1"/>
    <col min="1026" max="1026" width="2.375" style="1" customWidth="1"/>
    <col min="1027" max="1027" width="3.75" style="1" customWidth="1"/>
    <col min="1028" max="1029" width="5" style="1" customWidth="1"/>
    <col min="1030" max="1031" width="3.75" style="1" customWidth="1"/>
    <col min="1032" max="1033" width="5" style="1" customWidth="1"/>
    <col min="1034" max="1035" width="3.75" style="1" customWidth="1"/>
    <col min="1036" max="1037" width="5" style="1" customWidth="1"/>
    <col min="1038" max="1039" width="3.75" style="1" customWidth="1"/>
    <col min="1040" max="1041" width="5" style="1" customWidth="1"/>
    <col min="1042" max="1043" width="3.75" style="1" customWidth="1"/>
    <col min="1044" max="1045" width="5" style="1" customWidth="1"/>
    <col min="1046" max="1047" width="3.75" style="1" customWidth="1"/>
    <col min="1048" max="1048" width="3.5" style="1" customWidth="1"/>
    <col min="1049" max="1279" width="9" style="1"/>
    <col min="1280" max="1280" width="5" style="1" customWidth="1"/>
    <col min="1281" max="1281" width="20.5" style="1" customWidth="1"/>
    <col min="1282" max="1282" width="2.375" style="1" customWidth="1"/>
    <col min="1283" max="1283" width="3.75" style="1" customWidth="1"/>
    <col min="1284" max="1285" width="5" style="1" customWidth="1"/>
    <col min="1286" max="1287" width="3.75" style="1" customWidth="1"/>
    <col min="1288" max="1289" width="5" style="1" customWidth="1"/>
    <col min="1290" max="1291" width="3.75" style="1" customWidth="1"/>
    <col min="1292" max="1293" width="5" style="1" customWidth="1"/>
    <col min="1294" max="1295" width="3.75" style="1" customWidth="1"/>
    <col min="1296" max="1297" width="5" style="1" customWidth="1"/>
    <col min="1298" max="1299" width="3.75" style="1" customWidth="1"/>
    <col min="1300" max="1301" width="5" style="1" customWidth="1"/>
    <col min="1302" max="1303" width="3.75" style="1" customWidth="1"/>
    <col min="1304" max="1304" width="3.5" style="1" customWidth="1"/>
    <col min="1305" max="1535" width="9" style="1"/>
    <col min="1536" max="1536" width="5" style="1" customWidth="1"/>
    <col min="1537" max="1537" width="20.5" style="1" customWidth="1"/>
    <col min="1538" max="1538" width="2.375" style="1" customWidth="1"/>
    <col min="1539" max="1539" width="3.75" style="1" customWidth="1"/>
    <col min="1540" max="1541" width="5" style="1" customWidth="1"/>
    <col min="1542" max="1543" width="3.75" style="1" customWidth="1"/>
    <col min="1544" max="1545" width="5" style="1" customWidth="1"/>
    <col min="1546" max="1547" width="3.75" style="1" customWidth="1"/>
    <col min="1548" max="1549" width="5" style="1" customWidth="1"/>
    <col min="1550" max="1551" width="3.75" style="1" customWidth="1"/>
    <col min="1552" max="1553" width="5" style="1" customWidth="1"/>
    <col min="1554" max="1555" width="3.75" style="1" customWidth="1"/>
    <col min="1556" max="1557" width="5" style="1" customWidth="1"/>
    <col min="1558" max="1559" width="3.75" style="1" customWidth="1"/>
    <col min="1560" max="1560" width="3.5" style="1" customWidth="1"/>
    <col min="1561" max="1791" width="9" style="1"/>
    <col min="1792" max="1792" width="5" style="1" customWidth="1"/>
    <col min="1793" max="1793" width="20.5" style="1" customWidth="1"/>
    <col min="1794" max="1794" width="2.375" style="1" customWidth="1"/>
    <col min="1795" max="1795" width="3.75" style="1" customWidth="1"/>
    <col min="1796" max="1797" width="5" style="1" customWidth="1"/>
    <col min="1798" max="1799" width="3.75" style="1" customWidth="1"/>
    <col min="1800" max="1801" width="5" style="1" customWidth="1"/>
    <col min="1802" max="1803" width="3.75" style="1" customWidth="1"/>
    <col min="1804" max="1805" width="5" style="1" customWidth="1"/>
    <col min="1806" max="1807" width="3.75" style="1" customWidth="1"/>
    <col min="1808" max="1809" width="5" style="1" customWidth="1"/>
    <col min="1810" max="1811" width="3.75" style="1" customWidth="1"/>
    <col min="1812" max="1813" width="5" style="1" customWidth="1"/>
    <col min="1814" max="1815" width="3.75" style="1" customWidth="1"/>
    <col min="1816" max="1816" width="3.5" style="1" customWidth="1"/>
    <col min="1817" max="2047" width="9" style="1"/>
    <col min="2048" max="2048" width="5" style="1" customWidth="1"/>
    <col min="2049" max="2049" width="20.5" style="1" customWidth="1"/>
    <col min="2050" max="2050" width="2.375" style="1" customWidth="1"/>
    <col min="2051" max="2051" width="3.75" style="1" customWidth="1"/>
    <col min="2052" max="2053" width="5" style="1" customWidth="1"/>
    <col min="2054" max="2055" width="3.75" style="1" customWidth="1"/>
    <col min="2056" max="2057" width="5" style="1" customWidth="1"/>
    <col min="2058" max="2059" width="3.75" style="1" customWidth="1"/>
    <col min="2060" max="2061" width="5" style="1" customWidth="1"/>
    <col min="2062" max="2063" width="3.75" style="1" customWidth="1"/>
    <col min="2064" max="2065" width="5" style="1" customWidth="1"/>
    <col min="2066" max="2067" width="3.75" style="1" customWidth="1"/>
    <col min="2068" max="2069" width="5" style="1" customWidth="1"/>
    <col min="2070" max="2071" width="3.75" style="1" customWidth="1"/>
    <col min="2072" max="2072" width="3.5" style="1" customWidth="1"/>
    <col min="2073" max="2303" width="9" style="1"/>
    <col min="2304" max="2304" width="5" style="1" customWidth="1"/>
    <col min="2305" max="2305" width="20.5" style="1" customWidth="1"/>
    <col min="2306" max="2306" width="2.375" style="1" customWidth="1"/>
    <col min="2307" max="2307" width="3.75" style="1" customWidth="1"/>
    <col min="2308" max="2309" width="5" style="1" customWidth="1"/>
    <col min="2310" max="2311" width="3.75" style="1" customWidth="1"/>
    <col min="2312" max="2313" width="5" style="1" customWidth="1"/>
    <col min="2314" max="2315" width="3.75" style="1" customWidth="1"/>
    <col min="2316" max="2317" width="5" style="1" customWidth="1"/>
    <col min="2318" max="2319" width="3.75" style="1" customWidth="1"/>
    <col min="2320" max="2321" width="5" style="1" customWidth="1"/>
    <col min="2322" max="2323" width="3.75" style="1" customWidth="1"/>
    <col min="2324" max="2325" width="5" style="1" customWidth="1"/>
    <col min="2326" max="2327" width="3.75" style="1" customWidth="1"/>
    <col min="2328" max="2328" width="3.5" style="1" customWidth="1"/>
    <col min="2329" max="2559" width="9" style="1"/>
    <col min="2560" max="2560" width="5" style="1" customWidth="1"/>
    <col min="2561" max="2561" width="20.5" style="1" customWidth="1"/>
    <col min="2562" max="2562" width="2.375" style="1" customWidth="1"/>
    <col min="2563" max="2563" width="3.75" style="1" customWidth="1"/>
    <col min="2564" max="2565" width="5" style="1" customWidth="1"/>
    <col min="2566" max="2567" width="3.75" style="1" customWidth="1"/>
    <col min="2568" max="2569" width="5" style="1" customWidth="1"/>
    <col min="2570" max="2571" width="3.75" style="1" customWidth="1"/>
    <col min="2572" max="2573" width="5" style="1" customWidth="1"/>
    <col min="2574" max="2575" width="3.75" style="1" customWidth="1"/>
    <col min="2576" max="2577" width="5" style="1" customWidth="1"/>
    <col min="2578" max="2579" width="3.75" style="1" customWidth="1"/>
    <col min="2580" max="2581" width="5" style="1" customWidth="1"/>
    <col min="2582" max="2583" width="3.75" style="1" customWidth="1"/>
    <col min="2584" max="2584" width="3.5" style="1" customWidth="1"/>
    <col min="2585" max="2815" width="9" style="1"/>
    <col min="2816" max="2816" width="5" style="1" customWidth="1"/>
    <col min="2817" max="2817" width="20.5" style="1" customWidth="1"/>
    <col min="2818" max="2818" width="2.375" style="1" customWidth="1"/>
    <col min="2819" max="2819" width="3.75" style="1" customWidth="1"/>
    <col min="2820" max="2821" width="5" style="1" customWidth="1"/>
    <col min="2822" max="2823" width="3.75" style="1" customWidth="1"/>
    <col min="2824" max="2825" width="5" style="1" customWidth="1"/>
    <col min="2826" max="2827" width="3.75" style="1" customWidth="1"/>
    <col min="2828" max="2829" width="5" style="1" customWidth="1"/>
    <col min="2830" max="2831" width="3.75" style="1" customWidth="1"/>
    <col min="2832" max="2833" width="5" style="1" customWidth="1"/>
    <col min="2834" max="2835" width="3.75" style="1" customWidth="1"/>
    <col min="2836" max="2837" width="5" style="1" customWidth="1"/>
    <col min="2838" max="2839" width="3.75" style="1" customWidth="1"/>
    <col min="2840" max="2840" width="3.5" style="1" customWidth="1"/>
    <col min="2841" max="3071" width="9" style="1"/>
    <col min="3072" max="3072" width="5" style="1" customWidth="1"/>
    <col min="3073" max="3073" width="20.5" style="1" customWidth="1"/>
    <col min="3074" max="3074" width="2.375" style="1" customWidth="1"/>
    <col min="3075" max="3075" width="3.75" style="1" customWidth="1"/>
    <col min="3076" max="3077" width="5" style="1" customWidth="1"/>
    <col min="3078" max="3079" width="3.75" style="1" customWidth="1"/>
    <col min="3080" max="3081" width="5" style="1" customWidth="1"/>
    <col min="3082" max="3083" width="3.75" style="1" customWidth="1"/>
    <col min="3084" max="3085" width="5" style="1" customWidth="1"/>
    <col min="3086" max="3087" width="3.75" style="1" customWidth="1"/>
    <col min="3088" max="3089" width="5" style="1" customWidth="1"/>
    <col min="3090" max="3091" width="3.75" style="1" customWidth="1"/>
    <col min="3092" max="3093" width="5" style="1" customWidth="1"/>
    <col min="3094" max="3095" width="3.75" style="1" customWidth="1"/>
    <col min="3096" max="3096" width="3.5" style="1" customWidth="1"/>
    <col min="3097" max="3327" width="9" style="1"/>
    <col min="3328" max="3328" width="5" style="1" customWidth="1"/>
    <col min="3329" max="3329" width="20.5" style="1" customWidth="1"/>
    <col min="3330" max="3330" width="2.375" style="1" customWidth="1"/>
    <col min="3331" max="3331" width="3.75" style="1" customWidth="1"/>
    <col min="3332" max="3333" width="5" style="1" customWidth="1"/>
    <col min="3334" max="3335" width="3.75" style="1" customWidth="1"/>
    <col min="3336" max="3337" width="5" style="1" customWidth="1"/>
    <col min="3338" max="3339" width="3.75" style="1" customWidth="1"/>
    <col min="3340" max="3341" width="5" style="1" customWidth="1"/>
    <col min="3342" max="3343" width="3.75" style="1" customWidth="1"/>
    <col min="3344" max="3345" width="5" style="1" customWidth="1"/>
    <col min="3346" max="3347" width="3.75" style="1" customWidth="1"/>
    <col min="3348" max="3349" width="5" style="1" customWidth="1"/>
    <col min="3350" max="3351" width="3.75" style="1" customWidth="1"/>
    <col min="3352" max="3352" width="3.5" style="1" customWidth="1"/>
    <col min="3353" max="3583" width="9" style="1"/>
    <col min="3584" max="3584" width="5" style="1" customWidth="1"/>
    <col min="3585" max="3585" width="20.5" style="1" customWidth="1"/>
    <col min="3586" max="3586" width="2.375" style="1" customWidth="1"/>
    <col min="3587" max="3587" width="3.75" style="1" customWidth="1"/>
    <col min="3588" max="3589" width="5" style="1" customWidth="1"/>
    <col min="3590" max="3591" width="3.75" style="1" customWidth="1"/>
    <col min="3592" max="3593" width="5" style="1" customWidth="1"/>
    <col min="3594" max="3595" width="3.75" style="1" customWidth="1"/>
    <col min="3596" max="3597" width="5" style="1" customWidth="1"/>
    <col min="3598" max="3599" width="3.75" style="1" customWidth="1"/>
    <col min="3600" max="3601" width="5" style="1" customWidth="1"/>
    <col min="3602" max="3603" width="3.75" style="1" customWidth="1"/>
    <col min="3604" max="3605" width="5" style="1" customWidth="1"/>
    <col min="3606" max="3607" width="3.75" style="1" customWidth="1"/>
    <col min="3608" max="3608" width="3.5" style="1" customWidth="1"/>
    <col min="3609" max="3839" width="9" style="1"/>
    <col min="3840" max="3840" width="5" style="1" customWidth="1"/>
    <col min="3841" max="3841" width="20.5" style="1" customWidth="1"/>
    <col min="3842" max="3842" width="2.375" style="1" customWidth="1"/>
    <col min="3843" max="3843" width="3.75" style="1" customWidth="1"/>
    <col min="3844" max="3845" width="5" style="1" customWidth="1"/>
    <col min="3846" max="3847" width="3.75" style="1" customWidth="1"/>
    <col min="3848" max="3849" width="5" style="1" customWidth="1"/>
    <col min="3850" max="3851" width="3.75" style="1" customWidth="1"/>
    <col min="3852" max="3853" width="5" style="1" customWidth="1"/>
    <col min="3854" max="3855" width="3.75" style="1" customWidth="1"/>
    <col min="3856" max="3857" width="5" style="1" customWidth="1"/>
    <col min="3858" max="3859" width="3.75" style="1" customWidth="1"/>
    <col min="3860" max="3861" width="5" style="1" customWidth="1"/>
    <col min="3862" max="3863" width="3.75" style="1" customWidth="1"/>
    <col min="3864" max="3864" width="3.5" style="1" customWidth="1"/>
    <col min="3865" max="4095" width="9" style="1"/>
    <col min="4096" max="4096" width="5" style="1" customWidth="1"/>
    <col min="4097" max="4097" width="20.5" style="1" customWidth="1"/>
    <col min="4098" max="4098" width="2.375" style="1" customWidth="1"/>
    <col min="4099" max="4099" width="3.75" style="1" customWidth="1"/>
    <col min="4100" max="4101" width="5" style="1" customWidth="1"/>
    <col min="4102" max="4103" width="3.75" style="1" customWidth="1"/>
    <col min="4104" max="4105" width="5" style="1" customWidth="1"/>
    <col min="4106" max="4107" width="3.75" style="1" customWidth="1"/>
    <col min="4108" max="4109" width="5" style="1" customWidth="1"/>
    <col min="4110" max="4111" width="3.75" style="1" customWidth="1"/>
    <col min="4112" max="4113" width="5" style="1" customWidth="1"/>
    <col min="4114" max="4115" width="3.75" style="1" customWidth="1"/>
    <col min="4116" max="4117" width="5" style="1" customWidth="1"/>
    <col min="4118" max="4119" width="3.75" style="1" customWidth="1"/>
    <col min="4120" max="4120" width="3.5" style="1" customWidth="1"/>
    <col min="4121" max="4351" width="9" style="1"/>
    <col min="4352" max="4352" width="5" style="1" customWidth="1"/>
    <col min="4353" max="4353" width="20.5" style="1" customWidth="1"/>
    <col min="4354" max="4354" width="2.375" style="1" customWidth="1"/>
    <col min="4355" max="4355" width="3.75" style="1" customWidth="1"/>
    <col min="4356" max="4357" width="5" style="1" customWidth="1"/>
    <col min="4358" max="4359" width="3.75" style="1" customWidth="1"/>
    <col min="4360" max="4361" width="5" style="1" customWidth="1"/>
    <col min="4362" max="4363" width="3.75" style="1" customWidth="1"/>
    <col min="4364" max="4365" width="5" style="1" customWidth="1"/>
    <col min="4366" max="4367" width="3.75" style="1" customWidth="1"/>
    <col min="4368" max="4369" width="5" style="1" customWidth="1"/>
    <col min="4370" max="4371" width="3.75" style="1" customWidth="1"/>
    <col min="4372" max="4373" width="5" style="1" customWidth="1"/>
    <col min="4374" max="4375" width="3.75" style="1" customWidth="1"/>
    <col min="4376" max="4376" width="3.5" style="1" customWidth="1"/>
    <col min="4377" max="4607" width="9" style="1"/>
    <col min="4608" max="4608" width="5" style="1" customWidth="1"/>
    <col min="4609" max="4609" width="20.5" style="1" customWidth="1"/>
    <col min="4610" max="4610" width="2.375" style="1" customWidth="1"/>
    <col min="4611" max="4611" width="3.75" style="1" customWidth="1"/>
    <col min="4612" max="4613" width="5" style="1" customWidth="1"/>
    <col min="4614" max="4615" width="3.75" style="1" customWidth="1"/>
    <col min="4616" max="4617" width="5" style="1" customWidth="1"/>
    <col min="4618" max="4619" width="3.75" style="1" customWidth="1"/>
    <col min="4620" max="4621" width="5" style="1" customWidth="1"/>
    <col min="4622" max="4623" width="3.75" style="1" customWidth="1"/>
    <col min="4624" max="4625" width="5" style="1" customWidth="1"/>
    <col min="4626" max="4627" width="3.75" style="1" customWidth="1"/>
    <col min="4628" max="4629" width="5" style="1" customWidth="1"/>
    <col min="4630" max="4631" width="3.75" style="1" customWidth="1"/>
    <col min="4632" max="4632" width="3.5" style="1" customWidth="1"/>
    <col min="4633" max="4863" width="9" style="1"/>
    <col min="4864" max="4864" width="5" style="1" customWidth="1"/>
    <col min="4865" max="4865" width="20.5" style="1" customWidth="1"/>
    <col min="4866" max="4866" width="2.375" style="1" customWidth="1"/>
    <col min="4867" max="4867" width="3.75" style="1" customWidth="1"/>
    <col min="4868" max="4869" width="5" style="1" customWidth="1"/>
    <col min="4870" max="4871" width="3.75" style="1" customWidth="1"/>
    <col min="4872" max="4873" width="5" style="1" customWidth="1"/>
    <col min="4874" max="4875" width="3.75" style="1" customWidth="1"/>
    <col min="4876" max="4877" width="5" style="1" customWidth="1"/>
    <col min="4878" max="4879" width="3.75" style="1" customWidth="1"/>
    <col min="4880" max="4881" width="5" style="1" customWidth="1"/>
    <col min="4882" max="4883" width="3.75" style="1" customWidth="1"/>
    <col min="4884" max="4885" width="5" style="1" customWidth="1"/>
    <col min="4886" max="4887" width="3.75" style="1" customWidth="1"/>
    <col min="4888" max="4888" width="3.5" style="1" customWidth="1"/>
    <col min="4889" max="5119" width="9" style="1"/>
    <col min="5120" max="5120" width="5" style="1" customWidth="1"/>
    <col min="5121" max="5121" width="20.5" style="1" customWidth="1"/>
    <col min="5122" max="5122" width="2.375" style="1" customWidth="1"/>
    <col min="5123" max="5123" width="3.75" style="1" customWidth="1"/>
    <col min="5124" max="5125" width="5" style="1" customWidth="1"/>
    <col min="5126" max="5127" width="3.75" style="1" customWidth="1"/>
    <col min="5128" max="5129" width="5" style="1" customWidth="1"/>
    <col min="5130" max="5131" width="3.75" style="1" customWidth="1"/>
    <col min="5132" max="5133" width="5" style="1" customWidth="1"/>
    <col min="5134" max="5135" width="3.75" style="1" customWidth="1"/>
    <col min="5136" max="5137" width="5" style="1" customWidth="1"/>
    <col min="5138" max="5139" width="3.75" style="1" customWidth="1"/>
    <col min="5140" max="5141" width="5" style="1" customWidth="1"/>
    <col min="5142" max="5143" width="3.75" style="1" customWidth="1"/>
    <col min="5144" max="5144" width="3.5" style="1" customWidth="1"/>
    <col min="5145" max="5375" width="9" style="1"/>
    <col min="5376" max="5376" width="5" style="1" customWidth="1"/>
    <col min="5377" max="5377" width="20.5" style="1" customWidth="1"/>
    <col min="5378" max="5378" width="2.375" style="1" customWidth="1"/>
    <col min="5379" max="5379" width="3.75" style="1" customWidth="1"/>
    <col min="5380" max="5381" width="5" style="1" customWidth="1"/>
    <col min="5382" max="5383" width="3.75" style="1" customWidth="1"/>
    <col min="5384" max="5385" width="5" style="1" customWidth="1"/>
    <col min="5386" max="5387" width="3.75" style="1" customWidth="1"/>
    <col min="5388" max="5389" width="5" style="1" customWidth="1"/>
    <col min="5390" max="5391" width="3.75" style="1" customWidth="1"/>
    <col min="5392" max="5393" width="5" style="1" customWidth="1"/>
    <col min="5394" max="5395" width="3.75" style="1" customWidth="1"/>
    <col min="5396" max="5397" width="5" style="1" customWidth="1"/>
    <col min="5398" max="5399" width="3.75" style="1" customWidth="1"/>
    <col min="5400" max="5400" width="3.5" style="1" customWidth="1"/>
    <col min="5401" max="5631" width="9" style="1"/>
    <col min="5632" max="5632" width="5" style="1" customWidth="1"/>
    <col min="5633" max="5633" width="20.5" style="1" customWidth="1"/>
    <col min="5634" max="5634" width="2.375" style="1" customWidth="1"/>
    <col min="5635" max="5635" width="3.75" style="1" customWidth="1"/>
    <col min="5636" max="5637" width="5" style="1" customWidth="1"/>
    <col min="5638" max="5639" width="3.75" style="1" customWidth="1"/>
    <col min="5640" max="5641" width="5" style="1" customWidth="1"/>
    <col min="5642" max="5643" width="3.75" style="1" customWidth="1"/>
    <col min="5644" max="5645" width="5" style="1" customWidth="1"/>
    <col min="5646" max="5647" width="3.75" style="1" customWidth="1"/>
    <col min="5648" max="5649" width="5" style="1" customWidth="1"/>
    <col min="5650" max="5651" width="3.75" style="1" customWidth="1"/>
    <col min="5652" max="5653" width="5" style="1" customWidth="1"/>
    <col min="5654" max="5655" width="3.75" style="1" customWidth="1"/>
    <col min="5656" max="5656" width="3.5" style="1" customWidth="1"/>
    <col min="5657" max="5887" width="9" style="1"/>
    <col min="5888" max="5888" width="5" style="1" customWidth="1"/>
    <col min="5889" max="5889" width="20.5" style="1" customWidth="1"/>
    <col min="5890" max="5890" width="2.375" style="1" customWidth="1"/>
    <col min="5891" max="5891" width="3.75" style="1" customWidth="1"/>
    <col min="5892" max="5893" width="5" style="1" customWidth="1"/>
    <col min="5894" max="5895" width="3.75" style="1" customWidth="1"/>
    <col min="5896" max="5897" width="5" style="1" customWidth="1"/>
    <col min="5898" max="5899" width="3.75" style="1" customWidth="1"/>
    <col min="5900" max="5901" width="5" style="1" customWidth="1"/>
    <col min="5902" max="5903" width="3.75" style="1" customWidth="1"/>
    <col min="5904" max="5905" width="5" style="1" customWidth="1"/>
    <col min="5906" max="5907" width="3.75" style="1" customWidth="1"/>
    <col min="5908" max="5909" width="5" style="1" customWidth="1"/>
    <col min="5910" max="5911" width="3.75" style="1" customWidth="1"/>
    <col min="5912" max="5912" width="3.5" style="1" customWidth="1"/>
    <col min="5913" max="6143" width="9" style="1"/>
    <col min="6144" max="6144" width="5" style="1" customWidth="1"/>
    <col min="6145" max="6145" width="20.5" style="1" customWidth="1"/>
    <col min="6146" max="6146" width="2.375" style="1" customWidth="1"/>
    <col min="6147" max="6147" width="3.75" style="1" customWidth="1"/>
    <col min="6148" max="6149" width="5" style="1" customWidth="1"/>
    <col min="6150" max="6151" width="3.75" style="1" customWidth="1"/>
    <col min="6152" max="6153" width="5" style="1" customWidth="1"/>
    <col min="6154" max="6155" width="3.75" style="1" customWidth="1"/>
    <col min="6156" max="6157" width="5" style="1" customWidth="1"/>
    <col min="6158" max="6159" width="3.75" style="1" customWidth="1"/>
    <col min="6160" max="6161" width="5" style="1" customWidth="1"/>
    <col min="6162" max="6163" width="3.75" style="1" customWidth="1"/>
    <col min="6164" max="6165" width="5" style="1" customWidth="1"/>
    <col min="6166" max="6167" width="3.75" style="1" customWidth="1"/>
    <col min="6168" max="6168" width="3.5" style="1" customWidth="1"/>
    <col min="6169" max="6399" width="9" style="1"/>
    <col min="6400" max="6400" width="5" style="1" customWidth="1"/>
    <col min="6401" max="6401" width="20.5" style="1" customWidth="1"/>
    <col min="6402" max="6402" width="2.375" style="1" customWidth="1"/>
    <col min="6403" max="6403" width="3.75" style="1" customWidth="1"/>
    <col min="6404" max="6405" width="5" style="1" customWidth="1"/>
    <col min="6406" max="6407" width="3.75" style="1" customWidth="1"/>
    <col min="6408" max="6409" width="5" style="1" customWidth="1"/>
    <col min="6410" max="6411" width="3.75" style="1" customWidth="1"/>
    <col min="6412" max="6413" width="5" style="1" customWidth="1"/>
    <col min="6414" max="6415" width="3.75" style="1" customWidth="1"/>
    <col min="6416" max="6417" width="5" style="1" customWidth="1"/>
    <col min="6418" max="6419" width="3.75" style="1" customWidth="1"/>
    <col min="6420" max="6421" width="5" style="1" customWidth="1"/>
    <col min="6422" max="6423" width="3.75" style="1" customWidth="1"/>
    <col min="6424" max="6424" width="3.5" style="1" customWidth="1"/>
    <col min="6425" max="6655" width="9" style="1"/>
    <col min="6656" max="6656" width="5" style="1" customWidth="1"/>
    <col min="6657" max="6657" width="20.5" style="1" customWidth="1"/>
    <col min="6658" max="6658" width="2.375" style="1" customWidth="1"/>
    <col min="6659" max="6659" width="3.75" style="1" customWidth="1"/>
    <col min="6660" max="6661" width="5" style="1" customWidth="1"/>
    <col min="6662" max="6663" width="3.75" style="1" customWidth="1"/>
    <col min="6664" max="6665" width="5" style="1" customWidth="1"/>
    <col min="6666" max="6667" width="3.75" style="1" customWidth="1"/>
    <col min="6668" max="6669" width="5" style="1" customWidth="1"/>
    <col min="6670" max="6671" width="3.75" style="1" customWidth="1"/>
    <col min="6672" max="6673" width="5" style="1" customWidth="1"/>
    <col min="6674" max="6675" width="3.75" style="1" customWidth="1"/>
    <col min="6676" max="6677" width="5" style="1" customWidth="1"/>
    <col min="6678" max="6679" width="3.75" style="1" customWidth="1"/>
    <col min="6680" max="6680" width="3.5" style="1" customWidth="1"/>
    <col min="6681" max="6911" width="9" style="1"/>
    <col min="6912" max="6912" width="5" style="1" customWidth="1"/>
    <col min="6913" max="6913" width="20.5" style="1" customWidth="1"/>
    <col min="6914" max="6914" width="2.375" style="1" customWidth="1"/>
    <col min="6915" max="6915" width="3.75" style="1" customWidth="1"/>
    <col min="6916" max="6917" width="5" style="1" customWidth="1"/>
    <col min="6918" max="6919" width="3.75" style="1" customWidth="1"/>
    <col min="6920" max="6921" width="5" style="1" customWidth="1"/>
    <col min="6922" max="6923" width="3.75" style="1" customWidth="1"/>
    <col min="6924" max="6925" width="5" style="1" customWidth="1"/>
    <col min="6926" max="6927" width="3.75" style="1" customWidth="1"/>
    <col min="6928" max="6929" width="5" style="1" customWidth="1"/>
    <col min="6930" max="6931" width="3.75" style="1" customWidth="1"/>
    <col min="6932" max="6933" width="5" style="1" customWidth="1"/>
    <col min="6934" max="6935" width="3.75" style="1" customWidth="1"/>
    <col min="6936" max="6936" width="3.5" style="1" customWidth="1"/>
    <col min="6937" max="7167" width="9" style="1"/>
    <col min="7168" max="7168" width="5" style="1" customWidth="1"/>
    <col min="7169" max="7169" width="20.5" style="1" customWidth="1"/>
    <col min="7170" max="7170" width="2.375" style="1" customWidth="1"/>
    <col min="7171" max="7171" width="3.75" style="1" customWidth="1"/>
    <col min="7172" max="7173" width="5" style="1" customWidth="1"/>
    <col min="7174" max="7175" width="3.75" style="1" customWidth="1"/>
    <col min="7176" max="7177" width="5" style="1" customWidth="1"/>
    <col min="7178" max="7179" width="3.75" style="1" customWidth="1"/>
    <col min="7180" max="7181" width="5" style="1" customWidth="1"/>
    <col min="7182" max="7183" width="3.75" style="1" customWidth="1"/>
    <col min="7184" max="7185" width="5" style="1" customWidth="1"/>
    <col min="7186" max="7187" width="3.75" style="1" customWidth="1"/>
    <col min="7188" max="7189" width="5" style="1" customWidth="1"/>
    <col min="7190" max="7191" width="3.75" style="1" customWidth="1"/>
    <col min="7192" max="7192" width="3.5" style="1" customWidth="1"/>
    <col min="7193" max="7423" width="9" style="1"/>
    <col min="7424" max="7424" width="5" style="1" customWidth="1"/>
    <col min="7425" max="7425" width="20.5" style="1" customWidth="1"/>
    <col min="7426" max="7426" width="2.375" style="1" customWidth="1"/>
    <col min="7427" max="7427" width="3.75" style="1" customWidth="1"/>
    <col min="7428" max="7429" width="5" style="1" customWidth="1"/>
    <col min="7430" max="7431" width="3.75" style="1" customWidth="1"/>
    <col min="7432" max="7433" width="5" style="1" customWidth="1"/>
    <col min="7434" max="7435" width="3.75" style="1" customWidth="1"/>
    <col min="7436" max="7437" width="5" style="1" customWidth="1"/>
    <col min="7438" max="7439" width="3.75" style="1" customWidth="1"/>
    <col min="7440" max="7441" width="5" style="1" customWidth="1"/>
    <col min="7442" max="7443" width="3.75" style="1" customWidth="1"/>
    <col min="7444" max="7445" width="5" style="1" customWidth="1"/>
    <col min="7446" max="7447" width="3.75" style="1" customWidth="1"/>
    <col min="7448" max="7448" width="3.5" style="1" customWidth="1"/>
    <col min="7449" max="7679" width="9" style="1"/>
    <col min="7680" max="7680" width="5" style="1" customWidth="1"/>
    <col min="7681" max="7681" width="20.5" style="1" customWidth="1"/>
    <col min="7682" max="7682" width="2.375" style="1" customWidth="1"/>
    <col min="7683" max="7683" width="3.75" style="1" customWidth="1"/>
    <col min="7684" max="7685" width="5" style="1" customWidth="1"/>
    <col min="7686" max="7687" width="3.75" style="1" customWidth="1"/>
    <col min="7688" max="7689" width="5" style="1" customWidth="1"/>
    <col min="7690" max="7691" width="3.75" style="1" customWidth="1"/>
    <col min="7692" max="7693" width="5" style="1" customWidth="1"/>
    <col min="7694" max="7695" width="3.75" style="1" customWidth="1"/>
    <col min="7696" max="7697" width="5" style="1" customWidth="1"/>
    <col min="7698" max="7699" width="3.75" style="1" customWidth="1"/>
    <col min="7700" max="7701" width="5" style="1" customWidth="1"/>
    <col min="7702" max="7703" width="3.75" style="1" customWidth="1"/>
    <col min="7704" max="7704" width="3.5" style="1" customWidth="1"/>
    <col min="7705" max="7935" width="9" style="1"/>
    <col min="7936" max="7936" width="5" style="1" customWidth="1"/>
    <col min="7937" max="7937" width="20.5" style="1" customWidth="1"/>
    <col min="7938" max="7938" width="2.375" style="1" customWidth="1"/>
    <col min="7939" max="7939" width="3.75" style="1" customWidth="1"/>
    <col min="7940" max="7941" width="5" style="1" customWidth="1"/>
    <col min="7942" max="7943" width="3.75" style="1" customWidth="1"/>
    <col min="7944" max="7945" width="5" style="1" customWidth="1"/>
    <col min="7946" max="7947" width="3.75" style="1" customWidth="1"/>
    <col min="7948" max="7949" width="5" style="1" customWidth="1"/>
    <col min="7950" max="7951" width="3.75" style="1" customWidth="1"/>
    <col min="7952" max="7953" width="5" style="1" customWidth="1"/>
    <col min="7954" max="7955" width="3.75" style="1" customWidth="1"/>
    <col min="7956" max="7957" width="5" style="1" customWidth="1"/>
    <col min="7958" max="7959" width="3.75" style="1" customWidth="1"/>
    <col min="7960" max="7960" width="3.5" style="1" customWidth="1"/>
    <col min="7961" max="8191" width="9" style="1"/>
    <col min="8192" max="8192" width="5" style="1" customWidth="1"/>
    <col min="8193" max="8193" width="20.5" style="1" customWidth="1"/>
    <col min="8194" max="8194" width="2.375" style="1" customWidth="1"/>
    <col min="8195" max="8195" width="3.75" style="1" customWidth="1"/>
    <col min="8196" max="8197" width="5" style="1" customWidth="1"/>
    <col min="8198" max="8199" width="3.75" style="1" customWidth="1"/>
    <col min="8200" max="8201" width="5" style="1" customWidth="1"/>
    <col min="8202" max="8203" width="3.75" style="1" customWidth="1"/>
    <col min="8204" max="8205" width="5" style="1" customWidth="1"/>
    <col min="8206" max="8207" width="3.75" style="1" customWidth="1"/>
    <col min="8208" max="8209" width="5" style="1" customWidth="1"/>
    <col min="8210" max="8211" width="3.75" style="1" customWidth="1"/>
    <col min="8212" max="8213" width="5" style="1" customWidth="1"/>
    <col min="8214" max="8215" width="3.75" style="1" customWidth="1"/>
    <col min="8216" max="8216" width="3.5" style="1" customWidth="1"/>
    <col min="8217" max="8447" width="9" style="1"/>
    <col min="8448" max="8448" width="5" style="1" customWidth="1"/>
    <col min="8449" max="8449" width="20.5" style="1" customWidth="1"/>
    <col min="8450" max="8450" width="2.375" style="1" customWidth="1"/>
    <col min="8451" max="8451" width="3.75" style="1" customWidth="1"/>
    <col min="8452" max="8453" width="5" style="1" customWidth="1"/>
    <col min="8454" max="8455" width="3.75" style="1" customWidth="1"/>
    <col min="8456" max="8457" width="5" style="1" customWidth="1"/>
    <col min="8458" max="8459" width="3.75" style="1" customWidth="1"/>
    <col min="8460" max="8461" width="5" style="1" customWidth="1"/>
    <col min="8462" max="8463" width="3.75" style="1" customWidth="1"/>
    <col min="8464" max="8465" width="5" style="1" customWidth="1"/>
    <col min="8466" max="8467" width="3.75" style="1" customWidth="1"/>
    <col min="8468" max="8469" width="5" style="1" customWidth="1"/>
    <col min="8470" max="8471" width="3.75" style="1" customWidth="1"/>
    <col min="8472" max="8472" width="3.5" style="1" customWidth="1"/>
    <col min="8473" max="8703" width="9" style="1"/>
    <col min="8704" max="8704" width="5" style="1" customWidth="1"/>
    <col min="8705" max="8705" width="20.5" style="1" customWidth="1"/>
    <col min="8706" max="8706" width="2.375" style="1" customWidth="1"/>
    <col min="8707" max="8707" width="3.75" style="1" customWidth="1"/>
    <col min="8708" max="8709" width="5" style="1" customWidth="1"/>
    <col min="8710" max="8711" width="3.75" style="1" customWidth="1"/>
    <col min="8712" max="8713" width="5" style="1" customWidth="1"/>
    <col min="8714" max="8715" width="3.75" style="1" customWidth="1"/>
    <col min="8716" max="8717" width="5" style="1" customWidth="1"/>
    <col min="8718" max="8719" width="3.75" style="1" customWidth="1"/>
    <col min="8720" max="8721" width="5" style="1" customWidth="1"/>
    <col min="8722" max="8723" width="3.75" style="1" customWidth="1"/>
    <col min="8724" max="8725" width="5" style="1" customWidth="1"/>
    <col min="8726" max="8727" width="3.75" style="1" customWidth="1"/>
    <col min="8728" max="8728" width="3.5" style="1" customWidth="1"/>
    <col min="8729" max="8959" width="9" style="1"/>
    <col min="8960" max="8960" width="5" style="1" customWidth="1"/>
    <col min="8961" max="8961" width="20.5" style="1" customWidth="1"/>
    <col min="8962" max="8962" width="2.375" style="1" customWidth="1"/>
    <col min="8963" max="8963" width="3.75" style="1" customWidth="1"/>
    <col min="8964" max="8965" width="5" style="1" customWidth="1"/>
    <col min="8966" max="8967" width="3.75" style="1" customWidth="1"/>
    <col min="8968" max="8969" width="5" style="1" customWidth="1"/>
    <col min="8970" max="8971" width="3.75" style="1" customWidth="1"/>
    <col min="8972" max="8973" width="5" style="1" customWidth="1"/>
    <col min="8974" max="8975" width="3.75" style="1" customWidth="1"/>
    <col min="8976" max="8977" width="5" style="1" customWidth="1"/>
    <col min="8978" max="8979" width="3.75" style="1" customWidth="1"/>
    <col min="8980" max="8981" width="5" style="1" customWidth="1"/>
    <col min="8982" max="8983" width="3.75" style="1" customWidth="1"/>
    <col min="8984" max="8984" width="3.5" style="1" customWidth="1"/>
    <col min="8985" max="9215" width="9" style="1"/>
    <col min="9216" max="9216" width="5" style="1" customWidth="1"/>
    <col min="9217" max="9217" width="20.5" style="1" customWidth="1"/>
    <col min="9218" max="9218" width="2.375" style="1" customWidth="1"/>
    <col min="9219" max="9219" width="3.75" style="1" customWidth="1"/>
    <col min="9220" max="9221" width="5" style="1" customWidth="1"/>
    <col min="9222" max="9223" width="3.75" style="1" customWidth="1"/>
    <col min="9224" max="9225" width="5" style="1" customWidth="1"/>
    <col min="9226" max="9227" width="3.75" style="1" customWidth="1"/>
    <col min="9228" max="9229" width="5" style="1" customWidth="1"/>
    <col min="9230" max="9231" width="3.75" style="1" customWidth="1"/>
    <col min="9232" max="9233" width="5" style="1" customWidth="1"/>
    <col min="9234" max="9235" width="3.75" style="1" customWidth="1"/>
    <col min="9236" max="9237" width="5" style="1" customWidth="1"/>
    <col min="9238" max="9239" width="3.75" style="1" customWidth="1"/>
    <col min="9240" max="9240" width="3.5" style="1" customWidth="1"/>
    <col min="9241" max="9471" width="9" style="1"/>
    <col min="9472" max="9472" width="5" style="1" customWidth="1"/>
    <col min="9473" max="9473" width="20.5" style="1" customWidth="1"/>
    <col min="9474" max="9474" width="2.375" style="1" customWidth="1"/>
    <col min="9475" max="9475" width="3.75" style="1" customWidth="1"/>
    <col min="9476" max="9477" width="5" style="1" customWidth="1"/>
    <col min="9478" max="9479" width="3.75" style="1" customWidth="1"/>
    <col min="9480" max="9481" width="5" style="1" customWidth="1"/>
    <col min="9482" max="9483" width="3.75" style="1" customWidth="1"/>
    <col min="9484" max="9485" width="5" style="1" customWidth="1"/>
    <col min="9486" max="9487" width="3.75" style="1" customWidth="1"/>
    <col min="9488" max="9489" width="5" style="1" customWidth="1"/>
    <col min="9490" max="9491" width="3.75" style="1" customWidth="1"/>
    <col min="9492" max="9493" width="5" style="1" customWidth="1"/>
    <col min="9494" max="9495" width="3.75" style="1" customWidth="1"/>
    <col min="9496" max="9496" width="3.5" style="1" customWidth="1"/>
    <col min="9497" max="9727" width="9" style="1"/>
    <col min="9728" max="9728" width="5" style="1" customWidth="1"/>
    <col min="9729" max="9729" width="20.5" style="1" customWidth="1"/>
    <col min="9730" max="9730" width="2.375" style="1" customWidth="1"/>
    <col min="9731" max="9731" width="3.75" style="1" customWidth="1"/>
    <col min="9732" max="9733" width="5" style="1" customWidth="1"/>
    <col min="9734" max="9735" width="3.75" style="1" customWidth="1"/>
    <col min="9736" max="9737" width="5" style="1" customWidth="1"/>
    <col min="9738" max="9739" width="3.75" style="1" customWidth="1"/>
    <col min="9740" max="9741" width="5" style="1" customWidth="1"/>
    <col min="9742" max="9743" width="3.75" style="1" customWidth="1"/>
    <col min="9744" max="9745" width="5" style="1" customWidth="1"/>
    <col min="9746" max="9747" width="3.75" style="1" customWidth="1"/>
    <col min="9748" max="9749" width="5" style="1" customWidth="1"/>
    <col min="9750" max="9751" width="3.75" style="1" customWidth="1"/>
    <col min="9752" max="9752" width="3.5" style="1" customWidth="1"/>
    <col min="9753" max="9983" width="9" style="1"/>
    <col min="9984" max="9984" width="5" style="1" customWidth="1"/>
    <col min="9985" max="9985" width="20.5" style="1" customWidth="1"/>
    <col min="9986" max="9986" width="2.375" style="1" customWidth="1"/>
    <col min="9987" max="9987" width="3.75" style="1" customWidth="1"/>
    <col min="9988" max="9989" width="5" style="1" customWidth="1"/>
    <col min="9990" max="9991" width="3.75" style="1" customWidth="1"/>
    <col min="9992" max="9993" width="5" style="1" customWidth="1"/>
    <col min="9994" max="9995" width="3.75" style="1" customWidth="1"/>
    <col min="9996" max="9997" width="5" style="1" customWidth="1"/>
    <col min="9998" max="9999" width="3.75" style="1" customWidth="1"/>
    <col min="10000" max="10001" width="5" style="1" customWidth="1"/>
    <col min="10002" max="10003" width="3.75" style="1" customWidth="1"/>
    <col min="10004" max="10005" width="5" style="1" customWidth="1"/>
    <col min="10006" max="10007" width="3.75" style="1" customWidth="1"/>
    <col min="10008" max="10008" width="3.5" style="1" customWidth="1"/>
    <col min="10009" max="10239" width="9" style="1"/>
    <col min="10240" max="10240" width="5" style="1" customWidth="1"/>
    <col min="10241" max="10241" width="20.5" style="1" customWidth="1"/>
    <col min="10242" max="10242" width="2.375" style="1" customWidth="1"/>
    <col min="10243" max="10243" width="3.75" style="1" customWidth="1"/>
    <col min="10244" max="10245" width="5" style="1" customWidth="1"/>
    <col min="10246" max="10247" width="3.75" style="1" customWidth="1"/>
    <col min="10248" max="10249" width="5" style="1" customWidth="1"/>
    <col min="10250" max="10251" width="3.75" style="1" customWidth="1"/>
    <col min="10252" max="10253" width="5" style="1" customWidth="1"/>
    <col min="10254" max="10255" width="3.75" style="1" customWidth="1"/>
    <col min="10256" max="10257" width="5" style="1" customWidth="1"/>
    <col min="10258" max="10259" width="3.75" style="1" customWidth="1"/>
    <col min="10260" max="10261" width="5" style="1" customWidth="1"/>
    <col min="10262" max="10263" width="3.75" style="1" customWidth="1"/>
    <col min="10264" max="10264" width="3.5" style="1" customWidth="1"/>
    <col min="10265" max="10495" width="9" style="1"/>
    <col min="10496" max="10496" width="5" style="1" customWidth="1"/>
    <col min="10497" max="10497" width="20.5" style="1" customWidth="1"/>
    <col min="10498" max="10498" width="2.375" style="1" customWidth="1"/>
    <col min="10499" max="10499" width="3.75" style="1" customWidth="1"/>
    <col min="10500" max="10501" width="5" style="1" customWidth="1"/>
    <col min="10502" max="10503" width="3.75" style="1" customWidth="1"/>
    <col min="10504" max="10505" width="5" style="1" customWidth="1"/>
    <col min="10506" max="10507" width="3.75" style="1" customWidth="1"/>
    <col min="10508" max="10509" width="5" style="1" customWidth="1"/>
    <col min="10510" max="10511" width="3.75" style="1" customWidth="1"/>
    <col min="10512" max="10513" width="5" style="1" customWidth="1"/>
    <col min="10514" max="10515" width="3.75" style="1" customWidth="1"/>
    <col min="10516" max="10517" width="5" style="1" customWidth="1"/>
    <col min="10518" max="10519" width="3.75" style="1" customWidth="1"/>
    <col min="10520" max="10520" width="3.5" style="1" customWidth="1"/>
    <col min="10521" max="10751" width="9" style="1"/>
    <col min="10752" max="10752" width="5" style="1" customWidth="1"/>
    <col min="10753" max="10753" width="20.5" style="1" customWidth="1"/>
    <col min="10754" max="10754" width="2.375" style="1" customWidth="1"/>
    <col min="10755" max="10755" width="3.75" style="1" customWidth="1"/>
    <col min="10756" max="10757" width="5" style="1" customWidth="1"/>
    <col min="10758" max="10759" width="3.75" style="1" customWidth="1"/>
    <col min="10760" max="10761" width="5" style="1" customWidth="1"/>
    <col min="10762" max="10763" width="3.75" style="1" customWidth="1"/>
    <col min="10764" max="10765" width="5" style="1" customWidth="1"/>
    <col min="10766" max="10767" width="3.75" style="1" customWidth="1"/>
    <col min="10768" max="10769" width="5" style="1" customWidth="1"/>
    <col min="10770" max="10771" width="3.75" style="1" customWidth="1"/>
    <col min="10772" max="10773" width="5" style="1" customWidth="1"/>
    <col min="10774" max="10775" width="3.75" style="1" customWidth="1"/>
    <col min="10776" max="10776" width="3.5" style="1" customWidth="1"/>
    <col min="10777" max="11007" width="9" style="1"/>
    <col min="11008" max="11008" width="5" style="1" customWidth="1"/>
    <col min="11009" max="11009" width="20.5" style="1" customWidth="1"/>
    <col min="11010" max="11010" width="2.375" style="1" customWidth="1"/>
    <col min="11011" max="11011" width="3.75" style="1" customWidth="1"/>
    <col min="11012" max="11013" width="5" style="1" customWidth="1"/>
    <col min="11014" max="11015" width="3.75" style="1" customWidth="1"/>
    <col min="11016" max="11017" width="5" style="1" customWidth="1"/>
    <col min="11018" max="11019" width="3.75" style="1" customWidth="1"/>
    <col min="11020" max="11021" width="5" style="1" customWidth="1"/>
    <col min="11022" max="11023" width="3.75" style="1" customWidth="1"/>
    <col min="11024" max="11025" width="5" style="1" customWidth="1"/>
    <col min="11026" max="11027" width="3.75" style="1" customWidth="1"/>
    <col min="11028" max="11029" width="5" style="1" customWidth="1"/>
    <col min="11030" max="11031" width="3.75" style="1" customWidth="1"/>
    <col min="11032" max="11032" width="3.5" style="1" customWidth="1"/>
    <col min="11033" max="11263" width="9" style="1"/>
    <col min="11264" max="11264" width="5" style="1" customWidth="1"/>
    <col min="11265" max="11265" width="20.5" style="1" customWidth="1"/>
    <col min="11266" max="11266" width="2.375" style="1" customWidth="1"/>
    <col min="11267" max="11267" width="3.75" style="1" customWidth="1"/>
    <col min="11268" max="11269" width="5" style="1" customWidth="1"/>
    <col min="11270" max="11271" width="3.75" style="1" customWidth="1"/>
    <col min="11272" max="11273" width="5" style="1" customWidth="1"/>
    <col min="11274" max="11275" width="3.75" style="1" customWidth="1"/>
    <col min="11276" max="11277" width="5" style="1" customWidth="1"/>
    <col min="11278" max="11279" width="3.75" style="1" customWidth="1"/>
    <col min="11280" max="11281" width="5" style="1" customWidth="1"/>
    <col min="11282" max="11283" width="3.75" style="1" customWidth="1"/>
    <col min="11284" max="11285" width="5" style="1" customWidth="1"/>
    <col min="11286" max="11287" width="3.75" style="1" customWidth="1"/>
    <col min="11288" max="11288" width="3.5" style="1" customWidth="1"/>
    <col min="11289" max="11519" width="9" style="1"/>
    <col min="11520" max="11520" width="5" style="1" customWidth="1"/>
    <col min="11521" max="11521" width="20.5" style="1" customWidth="1"/>
    <col min="11522" max="11522" width="2.375" style="1" customWidth="1"/>
    <col min="11523" max="11523" width="3.75" style="1" customWidth="1"/>
    <col min="11524" max="11525" width="5" style="1" customWidth="1"/>
    <col min="11526" max="11527" width="3.75" style="1" customWidth="1"/>
    <col min="11528" max="11529" width="5" style="1" customWidth="1"/>
    <col min="11530" max="11531" width="3.75" style="1" customWidth="1"/>
    <col min="11532" max="11533" width="5" style="1" customWidth="1"/>
    <col min="11534" max="11535" width="3.75" style="1" customWidth="1"/>
    <col min="11536" max="11537" width="5" style="1" customWidth="1"/>
    <col min="11538" max="11539" width="3.75" style="1" customWidth="1"/>
    <col min="11540" max="11541" width="5" style="1" customWidth="1"/>
    <col min="11542" max="11543" width="3.75" style="1" customWidth="1"/>
    <col min="11544" max="11544" width="3.5" style="1" customWidth="1"/>
    <col min="11545" max="11775" width="9" style="1"/>
    <col min="11776" max="11776" width="5" style="1" customWidth="1"/>
    <col min="11777" max="11777" width="20.5" style="1" customWidth="1"/>
    <col min="11778" max="11778" width="2.375" style="1" customWidth="1"/>
    <col min="11779" max="11779" width="3.75" style="1" customWidth="1"/>
    <col min="11780" max="11781" width="5" style="1" customWidth="1"/>
    <col min="11782" max="11783" width="3.75" style="1" customWidth="1"/>
    <col min="11784" max="11785" width="5" style="1" customWidth="1"/>
    <col min="11786" max="11787" width="3.75" style="1" customWidth="1"/>
    <col min="11788" max="11789" width="5" style="1" customWidth="1"/>
    <col min="11790" max="11791" width="3.75" style="1" customWidth="1"/>
    <col min="11792" max="11793" width="5" style="1" customWidth="1"/>
    <col min="11794" max="11795" width="3.75" style="1" customWidth="1"/>
    <col min="11796" max="11797" width="5" style="1" customWidth="1"/>
    <col min="11798" max="11799" width="3.75" style="1" customWidth="1"/>
    <col min="11800" max="11800" width="3.5" style="1" customWidth="1"/>
    <col min="11801" max="12031" width="9" style="1"/>
    <col min="12032" max="12032" width="5" style="1" customWidth="1"/>
    <col min="12033" max="12033" width="20.5" style="1" customWidth="1"/>
    <col min="12034" max="12034" width="2.375" style="1" customWidth="1"/>
    <col min="12035" max="12035" width="3.75" style="1" customWidth="1"/>
    <col min="12036" max="12037" width="5" style="1" customWidth="1"/>
    <col min="12038" max="12039" width="3.75" style="1" customWidth="1"/>
    <col min="12040" max="12041" width="5" style="1" customWidth="1"/>
    <col min="12042" max="12043" width="3.75" style="1" customWidth="1"/>
    <col min="12044" max="12045" width="5" style="1" customWidth="1"/>
    <col min="12046" max="12047" width="3.75" style="1" customWidth="1"/>
    <col min="12048" max="12049" width="5" style="1" customWidth="1"/>
    <col min="12050" max="12051" width="3.75" style="1" customWidth="1"/>
    <col min="12052" max="12053" width="5" style="1" customWidth="1"/>
    <col min="12054" max="12055" width="3.75" style="1" customWidth="1"/>
    <col min="12056" max="12056" width="3.5" style="1" customWidth="1"/>
    <col min="12057" max="12287" width="9" style="1"/>
    <col min="12288" max="12288" width="5" style="1" customWidth="1"/>
    <col min="12289" max="12289" width="20.5" style="1" customWidth="1"/>
    <col min="12290" max="12290" width="2.375" style="1" customWidth="1"/>
    <col min="12291" max="12291" width="3.75" style="1" customWidth="1"/>
    <col min="12292" max="12293" width="5" style="1" customWidth="1"/>
    <col min="12294" max="12295" width="3.75" style="1" customWidth="1"/>
    <col min="12296" max="12297" width="5" style="1" customWidth="1"/>
    <col min="12298" max="12299" width="3.75" style="1" customWidth="1"/>
    <col min="12300" max="12301" width="5" style="1" customWidth="1"/>
    <col min="12302" max="12303" width="3.75" style="1" customWidth="1"/>
    <col min="12304" max="12305" width="5" style="1" customWidth="1"/>
    <col min="12306" max="12307" width="3.75" style="1" customWidth="1"/>
    <col min="12308" max="12309" width="5" style="1" customWidth="1"/>
    <col min="12310" max="12311" width="3.75" style="1" customWidth="1"/>
    <col min="12312" max="12312" width="3.5" style="1" customWidth="1"/>
    <col min="12313" max="12543" width="9" style="1"/>
    <col min="12544" max="12544" width="5" style="1" customWidth="1"/>
    <col min="12545" max="12545" width="20.5" style="1" customWidth="1"/>
    <col min="12546" max="12546" width="2.375" style="1" customWidth="1"/>
    <col min="12547" max="12547" width="3.75" style="1" customWidth="1"/>
    <col min="12548" max="12549" width="5" style="1" customWidth="1"/>
    <col min="12550" max="12551" width="3.75" style="1" customWidth="1"/>
    <col min="12552" max="12553" width="5" style="1" customWidth="1"/>
    <col min="12554" max="12555" width="3.75" style="1" customWidth="1"/>
    <col min="12556" max="12557" width="5" style="1" customWidth="1"/>
    <col min="12558" max="12559" width="3.75" style="1" customWidth="1"/>
    <col min="12560" max="12561" width="5" style="1" customWidth="1"/>
    <col min="12562" max="12563" width="3.75" style="1" customWidth="1"/>
    <col min="12564" max="12565" width="5" style="1" customWidth="1"/>
    <col min="12566" max="12567" width="3.75" style="1" customWidth="1"/>
    <col min="12568" max="12568" width="3.5" style="1" customWidth="1"/>
    <col min="12569" max="12799" width="9" style="1"/>
    <col min="12800" max="12800" width="5" style="1" customWidth="1"/>
    <col min="12801" max="12801" width="20.5" style="1" customWidth="1"/>
    <col min="12802" max="12802" width="2.375" style="1" customWidth="1"/>
    <col min="12803" max="12803" width="3.75" style="1" customWidth="1"/>
    <col min="12804" max="12805" width="5" style="1" customWidth="1"/>
    <col min="12806" max="12807" width="3.75" style="1" customWidth="1"/>
    <col min="12808" max="12809" width="5" style="1" customWidth="1"/>
    <col min="12810" max="12811" width="3.75" style="1" customWidth="1"/>
    <col min="12812" max="12813" width="5" style="1" customWidth="1"/>
    <col min="12814" max="12815" width="3.75" style="1" customWidth="1"/>
    <col min="12816" max="12817" width="5" style="1" customWidth="1"/>
    <col min="12818" max="12819" width="3.75" style="1" customWidth="1"/>
    <col min="12820" max="12821" width="5" style="1" customWidth="1"/>
    <col min="12822" max="12823" width="3.75" style="1" customWidth="1"/>
    <col min="12824" max="12824" width="3.5" style="1" customWidth="1"/>
    <col min="12825" max="13055" width="9" style="1"/>
    <col min="13056" max="13056" width="5" style="1" customWidth="1"/>
    <col min="13057" max="13057" width="20.5" style="1" customWidth="1"/>
    <col min="13058" max="13058" width="2.375" style="1" customWidth="1"/>
    <col min="13059" max="13059" width="3.75" style="1" customWidth="1"/>
    <col min="13060" max="13061" width="5" style="1" customWidth="1"/>
    <col min="13062" max="13063" width="3.75" style="1" customWidth="1"/>
    <col min="13064" max="13065" width="5" style="1" customWidth="1"/>
    <col min="13066" max="13067" width="3.75" style="1" customWidth="1"/>
    <col min="13068" max="13069" width="5" style="1" customWidth="1"/>
    <col min="13070" max="13071" width="3.75" style="1" customWidth="1"/>
    <col min="13072" max="13073" width="5" style="1" customWidth="1"/>
    <col min="13074" max="13075" width="3.75" style="1" customWidth="1"/>
    <col min="13076" max="13077" width="5" style="1" customWidth="1"/>
    <col min="13078" max="13079" width="3.75" style="1" customWidth="1"/>
    <col min="13080" max="13080" width="3.5" style="1" customWidth="1"/>
    <col min="13081" max="13311" width="9" style="1"/>
    <col min="13312" max="13312" width="5" style="1" customWidth="1"/>
    <col min="13313" max="13313" width="20.5" style="1" customWidth="1"/>
    <col min="13314" max="13314" width="2.375" style="1" customWidth="1"/>
    <col min="13315" max="13315" width="3.75" style="1" customWidth="1"/>
    <col min="13316" max="13317" width="5" style="1" customWidth="1"/>
    <col min="13318" max="13319" width="3.75" style="1" customWidth="1"/>
    <col min="13320" max="13321" width="5" style="1" customWidth="1"/>
    <col min="13322" max="13323" width="3.75" style="1" customWidth="1"/>
    <col min="13324" max="13325" width="5" style="1" customWidth="1"/>
    <col min="13326" max="13327" width="3.75" style="1" customWidth="1"/>
    <col min="13328" max="13329" width="5" style="1" customWidth="1"/>
    <col min="13330" max="13331" width="3.75" style="1" customWidth="1"/>
    <col min="13332" max="13333" width="5" style="1" customWidth="1"/>
    <col min="13334" max="13335" width="3.75" style="1" customWidth="1"/>
    <col min="13336" max="13336" width="3.5" style="1" customWidth="1"/>
    <col min="13337" max="13567" width="9" style="1"/>
    <col min="13568" max="13568" width="5" style="1" customWidth="1"/>
    <col min="13569" max="13569" width="20.5" style="1" customWidth="1"/>
    <col min="13570" max="13570" width="2.375" style="1" customWidth="1"/>
    <col min="13571" max="13571" width="3.75" style="1" customWidth="1"/>
    <col min="13572" max="13573" width="5" style="1" customWidth="1"/>
    <col min="13574" max="13575" width="3.75" style="1" customWidth="1"/>
    <col min="13576" max="13577" width="5" style="1" customWidth="1"/>
    <col min="13578" max="13579" width="3.75" style="1" customWidth="1"/>
    <col min="13580" max="13581" width="5" style="1" customWidth="1"/>
    <col min="13582" max="13583" width="3.75" style="1" customWidth="1"/>
    <col min="13584" max="13585" width="5" style="1" customWidth="1"/>
    <col min="13586" max="13587" width="3.75" style="1" customWidth="1"/>
    <col min="13588" max="13589" width="5" style="1" customWidth="1"/>
    <col min="13590" max="13591" width="3.75" style="1" customWidth="1"/>
    <col min="13592" max="13592" width="3.5" style="1" customWidth="1"/>
    <col min="13593" max="13823" width="9" style="1"/>
    <col min="13824" max="13824" width="5" style="1" customWidth="1"/>
    <col min="13825" max="13825" width="20.5" style="1" customWidth="1"/>
    <col min="13826" max="13826" width="2.375" style="1" customWidth="1"/>
    <col min="13827" max="13827" width="3.75" style="1" customWidth="1"/>
    <col min="13828" max="13829" width="5" style="1" customWidth="1"/>
    <col min="13830" max="13831" width="3.75" style="1" customWidth="1"/>
    <col min="13832" max="13833" width="5" style="1" customWidth="1"/>
    <col min="13834" max="13835" width="3.75" style="1" customWidth="1"/>
    <col min="13836" max="13837" width="5" style="1" customWidth="1"/>
    <col min="13838" max="13839" width="3.75" style="1" customWidth="1"/>
    <col min="13840" max="13841" width="5" style="1" customWidth="1"/>
    <col min="13842" max="13843" width="3.75" style="1" customWidth="1"/>
    <col min="13844" max="13845" width="5" style="1" customWidth="1"/>
    <col min="13846" max="13847" width="3.75" style="1" customWidth="1"/>
    <col min="13848" max="13848" width="3.5" style="1" customWidth="1"/>
    <col min="13849" max="14079" width="9" style="1"/>
    <col min="14080" max="14080" width="5" style="1" customWidth="1"/>
    <col min="14081" max="14081" width="20.5" style="1" customWidth="1"/>
    <col min="14082" max="14082" width="2.375" style="1" customWidth="1"/>
    <col min="14083" max="14083" width="3.75" style="1" customWidth="1"/>
    <col min="14084" max="14085" width="5" style="1" customWidth="1"/>
    <col min="14086" max="14087" width="3.75" style="1" customWidth="1"/>
    <col min="14088" max="14089" width="5" style="1" customWidth="1"/>
    <col min="14090" max="14091" width="3.75" style="1" customWidth="1"/>
    <col min="14092" max="14093" width="5" style="1" customWidth="1"/>
    <col min="14094" max="14095" width="3.75" style="1" customWidth="1"/>
    <col min="14096" max="14097" width="5" style="1" customWidth="1"/>
    <col min="14098" max="14099" width="3.75" style="1" customWidth="1"/>
    <col min="14100" max="14101" width="5" style="1" customWidth="1"/>
    <col min="14102" max="14103" width="3.75" style="1" customWidth="1"/>
    <col min="14104" max="14104" width="3.5" style="1" customWidth="1"/>
    <col min="14105" max="14335" width="9" style="1"/>
    <col min="14336" max="14336" width="5" style="1" customWidth="1"/>
    <col min="14337" max="14337" width="20.5" style="1" customWidth="1"/>
    <col min="14338" max="14338" width="2.375" style="1" customWidth="1"/>
    <col min="14339" max="14339" width="3.75" style="1" customWidth="1"/>
    <col min="14340" max="14341" width="5" style="1" customWidth="1"/>
    <col min="14342" max="14343" width="3.75" style="1" customWidth="1"/>
    <col min="14344" max="14345" width="5" style="1" customWidth="1"/>
    <col min="14346" max="14347" width="3.75" style="1" customWidth="1"/>
    <col min="14348" max="14349" width="5" style="1" customWidth="1"/>
    <col min="14350" max="14351" width="3.75" style="1" customWidth="1"/>
    <col min="14352" max="14353" width="5" style="1" customWidth="1"/>
    <col min="14354" max="14355" width="3.75" style="1" customWidth="1"/>
    <col min="14356" max="14357" width="5" style="1" customWidth="1"/>
    <col min="14358" max="14359" width="3.75" style="1" customWidth="1"/>
    <col min="14360" max="14360" width="3.5" style="1" customWidth="1"/>
    <col min="14361" max="14591" width="9" style="1"/>
    <col min="14592" max="14592" width="5" style="1" customWidth="1"/>
    <col min="14593" max="14593" width="20.5" style="1" customWidth="1"/>
    <col min="14594" max="14594" width="2.375" style="1" customWidth="1"/>
    <col min="14595" max="14595" width="3.75" style="1" customWidth="1"/>
    <col min="14596" max="14597" width="5" style="1" customWidth="1"/>
    <col min="14598" max="14599" width="3.75" style="1" customWidth="1"/>
    <col min="14600" max="14601" width="5" style="1" customWidth="1"/>
    <col min="14602" max="14603" width="3.75" style="1" customWidth="1"/>
    <col min="14604" max="14605" width="5" style="1" customWidth="1"/>
    <col min="14606" max="14607" width="3.75" style="1" customWidth="1"/>
    <col min="14608" max="14609" width="5" style="1" customWidth="1"/>
    <col min="14610" max="14611" width="3.75" style="1" customWidth="1"/>
    <col min="14612" max="14613" width="5" style="1" customWidth="1"/>
    <col min="14614" max="14615" width="3.75" style="1" customWidth="1"/>
    <col min="14616" max="14616" width="3.5" style="1" customWidth="1"/>
    <col min="14617" max="14847" width="9" style="1"/>
    <col min="14848" max="14848" width="5" style="1" customWidth="1"/>
    <col min="14849" max="14849" width="20.5" style="1" customWidth="1"/>
    <col min="14850" max="14850" width="2.375" style="1" customWidth="1"/>
    <col min="14851" max="14851" width="3.75" style="1" customWidth="1"/>
    <col min="14852" max="14853" width="5" style="1" customWidth="1"/>
    <col min="14854" max="14855" width="3.75" style="1" customWidth="1"/>
    <col min="14856" max="14857" width="5" style="1" customWidth="1"/>
    <col min="14858" max="14859" width="3.75" style="1" customWidth="1"/>
    <col min="14860" max="14861" width="5" style="1" customWidth="1"/>
    <col min="14862" max="14863" width="3.75" style="1" customWidth="1"/>
    <col min="14864" max="14865" width="5" style="1" customWidth="1"/>
    <col min="14866" max="14867" width="3.75" style="1" customWidth="1"/>
    <col min="14868" max="14869" width="5" style="1" customWidth="1"/>
    <col min="14870" max="14871" width="3.75" style="1" customWidth="1"/>
    <col min="14872" max="14872" width="3.5" style="1" customWidth="1"/>
    <col min="14873" max="15103" width="9" style="1"/>
    <col min="15104" max="15104" width="5" style="1" customWidth="1"/>
    <col min="15105" max="15105" width="20.5" style="1" customWidth="1"/>
    <col min="15106" max="15106" width="2.375" style="1" customWidth="1"/>
    <col min="15107" max="15107" width="3.75" style="1" customWidth="1"/>
    <col min="15108" max="15109" width="5" style="1" customWidth="1"/>
    <col min="15110" max="15111" width="3.75" style="1" customWidth="1"/>
    <col min="15112" max="15113" width="5" style="1" customWidth="1"/>
    <col min="15114" max="15115" width="3.75" style="1" customWidth="1"/>
    <col min="15116" max="15117" width="5" style="1" customWidth="1"/>
    <col min="15118" max="15119" width="3.75" style="1" customWidth="1"/>
    <col min="15120" max="15121" width="5" style="1" customWidth="1"/>
    <col min="15122" max="15123" width="3.75" style="1" customWidth="1"/>
    <col min="15124" max="15125" width="5" style="1" customWidth="1"/>
    <col min="15126" max="15127" width="3.75" style="1" customWidth="1"/>
    <col min="15128" max="15128" width="3.5" style="1" customWidth="1"/>
    <col min="15129" max="15359" width="9" style="1"/>
    <col min="15360" max="15360" width="5" style="1" customWidth="1"/>
    <col min="15361" max="15361" width="20.5" style="1" customWidth="1"/>
    <col min="15362" max="15362" width="2.375" style="1" customWidth="1"/>
    <col min="15363" max="15363" width="3.75" style="1" customWidth="1"/>
    <col min="15364" max="15365" width="5" style="1" customWidth="1"/>
    <col min="15366" max="15367" width="3.75" style="1" customWidth="1"/>
    <col min="15368" max="15369" width="5" style="1" customWidth="1"/>
    <col min="15370" max="15371" width="3.75" style="1" customWidth="1"/>
    <col min="15372" max="15373" width="5" style="1" customWidth="1"/>
    <col min="15374" max="15375" width="3.75" style="1" customWidth="1"/>
    <col min="15376" max="15377" width="5" style="1" customWidth="1"/>
    <col min="15378" max="15379" width="3.75" style="1" customWidth="1"/>
    <col min="15380" max="15381" width="5" style="1" customWidth="1"/>
    <col min="15382" max="15383" width="3.75" style="1" customWidth="1"/>
    <col min="15384" max="15384" width="3.5" style="1" customWidth="1"/>
    <col min="15385" max="15615" width="9" style="1"/>
    <col min="15616" max="15616" width="5" style="1" customWidth="1"/>
    <col min="15617" max="15617" width="20.5" style="1" customWidth="1"/>
    <col min="15618" max="15618" width="2.375" style="1" customWidth="1"/>
    <col min="15619" max="15619" width="3.75" style="1" customWidth="1"/>
    <col min="15620" max="15621" width="5" style="1" customWidth="1"/>
    <col min="15622" max="15623" width="3.75" style="1" customWidth="1"/>
    <col min="15624" max="15625" width="5" style="1" customWidth="1"/>
    <col min="15626" max="15627" width="3.75" style="1" customWidth="1"/>
    <col min="15628" max="15629" width="5" style="1" customWidth="1"/>
    <col min="15630" max="15631" width="3.75" style="1" customWidth="1"/>
    <col min="15632" max="15633" width="5" style="1" customWidth="1"/>
    <col min="15634" max="15635" width="3.75" style="1" customWidth="1"/>
    <col min="15636" max="15637" width="5" style="1" customWidth="1"/>
    <col min="15638" max="15639" width="3.75" style="1" customWidth="1"/>
    <col min="15640" max="15640" width="3.5" style="1" customWidth="1"/>
    <col min="15641" max="15871" width="9" style="1"/>
    <col min="15872" max="15872" width="5" style="1" customWidth="1"/>
    <col min="15873" max="15873" width="20.5" style="1" customWidth="1"/>
    <col min="15874" max="15874" width="2.375" style="1" customWidth="1"/>
    <col min="15875" max="15875" width="3.75" style="1" customWidth="1"/>
    <col min="15876" max="15877" width="5" style="1" customWidth="1"/>
    <col min="15878" max="15879" width="3.75" style="1" customWidth="1"/>
    <col min="15880" max="15881" width="5" style="1" customWidth="1"/>
    <col min="15882" max="15883" width="3.75" style="1" customWidth="1"/>
    <col min="15884" max="15885" width="5" style="1" customWidth="1"/>
    <col min="15886" max="15887" width="3.75" style="1" customWidth="1"/>
    <col min="15888" max="15889" width="5" style="1" customWidth="1"/>
    <col min="15890" max="15891" width="3.75" style="1" customWidth="1"/>
    <col min="15892" max="15893" width="5" style="1" customWidth="1"/>
    <col min="15894" max="15895" width="3.75" style="1" customWidth="1"/>
    <col min="15896" max="15896" width="3.5" style="1" customWidth="1"/>
    <col min="15897" max="16127" width="9" style="1"/>
    <col min="16128" max="16128" width="5" style="1" customWidth="1"/>
    <col min="16129" max="16129" width="20.5" style="1" customWidth="1"/>
    <col min="16130" max="16130" width="2.375" style="1" customWidth="1"/>
    <col min="16131" max="16131" width="3.75" style="1" customWidth="1"/>
    <col min="16132" max="16133" width="5" style="1" customWidth="1"/>
    <col min="16134" max="16135" width="3.75" style="1" customWidth="1"/>
    <col min="16136" max="16137" width="5" style="1" customWidth="1"/>
    <col min="16138" max="16139" width="3.75" style="1" customWidth="1"/>
    <col min="16140" max="16141" width="5" style="1" customWidth="1"/>
    <col min="16142" max="16143" width="3.75" style="1" customWidth="1"/>
    <col min="16144" max="16145" width="5" style="1" customWidth="1"/>
    <col min="16146" max="16147" width="3.75" style="1" customWidth="1"/>
    <col min="16148" max="16149" width="5" style="1" customWidth="1"/>
    <col min="16150" max="16151" width="3.75" style="1" customWidth="1"/>
    <col min="16152" max="16152" width="3.5" style="1" customWidth="1"/>
    <col min="16153" max="16383" width="9" style="1"/>
    <col min="16384" max="16384" width="9" style="1" customWidth="1"/>
  </cols>
  <sheetData>
    <row r="1" spans="1:29" x14ac:dyDescent="0.2">
      <c r="A1" s="2" t="s">
        <v>0</v>
      </c>
      <c r="K1" s="127" t="s">
        <v>23</v>
      </c>
      <c r="L1" s="127"/>
      <c r="M1" s="127"/>
    </row>
    <row r="2" spans="1:29" x14ac:dyDescent="0.2">
      <c r="A2" s="2" t="s">
        <v>18</v>
      </c>
      <c r="K2" s="127"/>
      <c r="L2" s="127"/>
      <c r="M2" s="127"/>
      <c r="U2" s="128" t="str">
        <f ca="1">Y2</f>
        <v>PE3</v>
      </c>
      <c r="V2" s="128"/>
      <c r="W2" s="128"/>
      <c r="Y2" s="5" t="str">
        <f ca="1">MID(CELL("filename",A1),FIND("]",CELL("filename",A1))+1,256)</f>
        <v>PE3</v>
      </c>
    </row>
    <row r="3" spans="1:29" x14ac:dyDescent="0.2">
      <c r="A3" s="2" t="s">
        <v>1</v>
      </c>
      <c r="U3" s="128"/>
      <c r="V3" s="128"/>
      <c r="W3" s="128"/>
    </row>
    <row r="4" spans="1:29" x14ac:dyDescent="0.2">
      <c r="A4" s="8" t="s">
        <v>2</v>
      </c>
      <c r="I4" s="127" t="s">
        <v>3</v>
      </c>
      <c r="J4" s="127"/>
      <c r="K4" s="127"/>
      <c r="L4" s="127"/>
      <c r="M4" s="127"/>
      <c r="N4" s="127"/>
      <c r="O4" s="127"/>
      <c r="U4" s="128"/>
      <c r="V4" s="128"/>
      <c r="W4" s="128"/>
    </row>
    <row r="5" spans="1:29" x14ac:dyDescent="0.2">
      <c r="A5" s="9" t="s">
        <v>20</v>
      </c>
      <c r="B5" s="2" t="s">
        <v>27</v>
      </c>
      <c r="I5" s="127"/>
      <c r="J5" s="127"/>
      <c r="K5" s="127"/>
      <c r="L5" s="127"/>
      <c r="M5" s="127"/>
      <c r="N5" s="127"/>
      <c r="O5" s="127"/>
    </row>
    <row r="6" spans="1:29" ht="13.5" thickBot="1" x14ac:dyDescent="0.25"/>
    <row r="7" spans="1:29" ht="15.95" customHeight="1" thickTop="1" thickBot="1" x14ac:dyDescent="0.25">
      <c r="A7" s="150" t="s">
        <v>4</v>
      </c>
      <c r="B7" s="130"/>
      <c r="C7" s="130"/>
      <c r="D7" s="131" t="s">
        <v>311</v>
      </c>
      <c r="E7" s="132"/>
      <c r="F7" s="133"/>
      <c r="G7" s="134"/>
      <c r="H7" s="131" t="s">
        <v>312</v>
      </c>
      <c r="I7" s="132"/>
      <c r="J7" s="133"/>
      <c r="K7" s="134"/>
      <c r="L7" s="131" t="s">
        <v>318</v>
      </c>
      <c r="M7" s="132"/>
      <c r="N7" s="133"/>
      <c r="O7" s="134"/>
      <c r="P7" s="131" t="s">
        <v>315</v>
      </c>
      <c r="Q7" s="132"/>
      <c r="R7" s="133"/>
      <c r="S7" s="134"/>
      <c r="T7" s="131"/>
      <c r="U7" s="132"/>
      <c r="V7" s="133"/>
      <c r="W7" s="134"/>
      <c r="X7" s="131"/>
      <c r="Y7" s="132"/>
      <c r="Z7" s="133"/>
      <c r="AA7" s="134"/>
    </row>
    <row r="8" spans="1:29" ht="15" customHeight="1" thickTop="1" x14ac:dyDescent="0.2">
      <c r="A8" s="147" t="s">
        <v>5</v>
      </c>
      <c r="B8" s="136" t="s">
        <v>6</v>
      </c>
      <c r="C8" s="142" t="s">
        <v>25</v>
      </c>
      <c r="D8" s="138" t="s">
        <v>7</v>
      </c>
      <c r="E8" s="139"/>
      <c r="F8" s="140"/>
      <c r="G8" s="141"/>
      <c r="H8" s="144" t="s">
        <v>8</v>
      </c>
      <c r="I8" s="145"/>
      <c r="J8" s="145"/>
      <c r="K8" s="146"/>
      <c r="L8" s="144" t="s">
        <v>9</v>
      </c>
      <c r="M8" s="145"/>
      <c r="N8" s="145"/>
      <c r="O8" s="146"/>
      <c r="P8" s="138" t="s">
        <v>10</v>
      </c>
      <c r="Q8" s="139"/>
      <c r="R8" s="140"/>
      <c r="S8" s="141"/>
      <c r="T8" s="138" t="s">
        <v>11</v>
      </c>
      <c r="U8" s="139"/>
      <c r="V8" s="140"/>
      <c r="W8" s="141"/>
      <c r="X8" s="138" t="s">
        <v>24</v>
      </c>
      <c r="Y8" s="139"/>
      <c r="Z8" s="140"/>
      <c r="AA8" s="141"/>
    </row>
    <row r="9" spans="1:29" s="3" customFormat="1" ht="67.5" customHeight="1" thickBot="1" x14ac:dyDescent="0.3">
      <c r="A9" s="148"/>
      <c r="B9" s="137"/>
      <c r="C9" s="149"/>
      <c r="D9" s="10" t="s">
        <v>12</v>
      </c>
      <c r="E9" s="11" t="s">
        <v>13</v>
      </c>
      <c r="F9" s="12" t="s">
        <v>14</v>
      </c>
      <c r="G9" s="13" t="s">
        <v>15</v>
      </c>
      <c r="H9" s="10" t="s">
        <v>12</v>
      </c>
      <c r="I9" s="11" t="s">
        <v>13</v>
      </c>
      <c r="J9" s="12" t="s">
        <v>14</v>
      </c>
      <c r="K9" s="13" t="s">
        <v>15</v>
      </c>
      <c r="L9" s="10" t="s">
        <v>12</v>
      </c>
      <c r="M9" s="11" t="s">
        <v>13</v>
      </c>
      <c r="N9" s="12" t="s">
        <v>14</v>
      </c>
      <c r="O9" s="13" t="s">
        <v>15</v>
      </c>
      <c r="P9" s="10" t="s">
        <v>12</v>
      </c>
      <c r="Q9" s="11" t="s">
        <v>13</v>
      </c>
      <c r="R9" s="12" t="s">
        <v>14</v>
      </c>
      <c r="S9" s="13" t="s">
        <v>15</v>
      </c>
      <c r="T9" s="10" t="s">
        <v>12</v>
      </c>
      <c r="U9" s="11" t="s">
        <v>13</v>
      </c>
      <c r="V9" s="12" t="s">
        <v>14</v>
      </c>
      <c r="W9" s="13" t="s">
        <v>15</v>
      </c>
      <c r="X9" s="10" t="s">
        <v>12</v>
      </c>
      <c r="Y9" s="11" t="s">
        <v>13</v>
      </c>
      <c r="Z9" s="12" t="s">
        <v>14</v>
      </c>
      <c r="AA9" s="13" t="s">
        <v>15</v>
      </c>
      <c r="AC9" s="152" t="s">
        <v>319</v>
      </c>
    </row>
    <row r="10" spans="1:29" ht="18" customHeight="1" thickTop="1" x14ac:dyDescent="0.25">
      <c r="A10" s="53" t="s">
        <v>106</v>
      </c>
      <c r="B10" s="54" t="s">
        <v>90</v>
      </c>
      <c r="C10" s="50"/>
      <c r="D10" s="49" t="s">
        <v>242</v>
      </c>
      <c r="E10" s="50">
        <v>2</v>
      </c>
      <c r="F10" s="52"/>
      <c r="G10" s="51"/>
      <c r="H10" s="49" t="s">
        <v>242</v>
      </c>
      <c r="I10" s="50">
        <v>1.5</v>
      </c>
      <c r="J10" s="52"/>
      <c r="K10" s="51"/>
      <c r="L10" s="49" t="s">
        <v>242</v>
      </c>
      <c r="M10" s="50">
        <v>2</v>
      </c>
      <c r="N10" s="52"/>
      <c r="O10" s="51"/>
      <c r="P10" s="49" t="s">
        <v>242</v>
      </c>
      <c r="Q10" s="50">
        <v>2</v>
      </c>
      <c r="R10" s="52"/>
      <c r="S10" s="51"/>
      <c r="T10" s="49" t="s">
        <v>242</v>
      </c>
      <c r="U10" s="50">
        <v>5</v>
      </c>
      <c r="V10" s="52"/>
      <c r="W10" s="51"/>
      <c r="X10" s="49" t="s">
        <v>242</v>
      </c>
      <c r="Y10" s="50">
        <v>5</v>
      </c>
      <c r="Z10" s="52"/>
      <c r="AA10" s="51"/>
      <c r="AC10" s="153">
        <f>(E10+I10+M10+Q10+U10+Y10)/2</f>
        <v>8.75</v>
      </c>
    </row>
    <row r="11" spans="1:29" s="3" customFormat="1" ht="18" customHeight="1" x14ac:dyDescent="0.25">
      <c r="A11" s="53" t="s">
        <v>107</v>
      </c>
      <c r="B11" s="53" t="s">
        <v>91</v>
      </c>
      <c r="C11" s="30"/>
      <c r="D11" s="29" t="s">
        <v>242</v>
      </c>
      <c r="E11" s="30">
        <v>2</v>
      </c>
      <c r="F11" s="32"/>
      <c r="G11" s="33"/>
      <c r="H11" s="29" t="s">
        <v>242</v>
      </c>
      <c r="I11" s="30">
        <v>1.5</v>
      </c>
      <c r="J11" s="32"/>
      <c r="K11" s="33"/>
      <c r="L11" s="29" t="s">
        <v>242</v>
      </c>
      <c r="M11" s="30">
        <v>2</v>
      </c>
      <c r="N11" s="32"/>
      <c r="O11" s="33"/>
      <c r="P11" s="29" t="s">
        <v>242</v>
      </c>
      <c r="Q11" s="30">
        <v>2</v>
      </c>
      <c r="R11" s="32"/>
      <c r="S11" s="33"/>
      <c r="T11" s="29" t="s">
        <v>242</v>
      </c>
      <c r="U11" s="30">
        <v>5.5</v>
      </c>
      <c r="V11" s="32"/>
      <c r="W11" s="33"/>
      <c r="X11" s="29" t="s">
        <v>242</v>
      </c>
      <c r="Y11" s="30">
        <v>5</v>
      </c>
      <c r="Z11" s="32"/>
      <c r="AA11" s="33"/>
      <c r="AC11" s="153">
        <f t="shared" ref="AC11:AC25" si="0">(E11+I11+M11+Q11+U11+Y11)/2</f>
        <v>9</v>
      </c>
    </row>
    <row r="12" spans="1:29" ht="18" customHeight="1" x14ac:dyDescent="0.25">
      <c r="A12" s="53" t="s">
        <v>108</v>
      </c>
      <c r="B12" s="53" t="s">
        <v>92</v>
      </c>
      <c r="C12" s="30"/>
      <c r="D12" s="29" t="s">
        <v>242</v>
      </c>
      <c r="E12" s="30">
        <v>1.5</v>
      </c>
      <c r="F12" s="32"/>
      <c r="G12" s="33"/>
      <c r="H12" s="29" t="s">
        <v>242</v>
      </c>
      <c r="I12" s="30">
        <v>1.5</v>
      </c>
      <c r="J12" s="32"/>
      <c r="K12" s="33"/>
      <c r="L12" s="29" t="s">
        <v>242</v>
      </c>
      <c r="M12" s="30">
        <v>2</v>
      </c>
      <c r="N12" s="32"/>
      <c r="O12" s="33"/>
      <c r="P12" s="29" t="s">
        <v>242</v>
      </c>
      <c r="Q12" s="30">
        <v>2</v>
      </c>
      <c r="R12" s="32"/>
      <c r="S12" s="33"/>
      <c r="T12" s="29" t="s">
        <v>242</v>
      </c>
      <c r="U12" s="30">
        <v>6</v>
      </c>
      <c r="V12" s="32"/>
      <c r="W12" s="33"/>
      <c r="X12" s="29" t="s">
        <v>242</v>
      </c>
      <c r="Y12" s="30">
        <v>6</v>
      </c>
      <c r="Z12" s="32"/>
      <c r="AA12" s="33"/>
      <c r="AC12" s="153">
        <f t="shared" si="0"/>
        <v>9.5</v>
      </c>
    </row>
    <row r="13" spans="1:29" ht="18" customHeight="1" x14ac:dyDescent="0.25">
      <c r="A13" s="53" t="s">
        <v>109</v>
      </c>
      <c r="B13" s="47" t="s">
        <v>93</v>
      </c>
      <c r="C13" s="30"/>
      <c r="D13" s="29" t="s">
        <v>242</v>
      </c>
      <c r="E13" s="30">
        <v>1.5</v>
      </c>
      <c r="F13" s="32"/>
      <c r="G13" s="33"/>
      <c r="H13" s="29" t="s">
        <v>242</v>
      </c>
      <c r="I13" s="30">
        <v>1</v>
      </c>
      <c r="J13" s="32"/>
      <c r="K13" s="33"/>
      <c r="L13" s="29" t="s">
        <v>242</v>
      </c>
      <c r="M13" s="30">
        <v>1.5</v>
      </c>
      <c r="N13" s="32"/>
      <c r="O13" s="33"/>
      <c r="P13" s="29" t="s">
        <v>242</v>
      </c>
      <c r="Q13" s="30">
        <v>1</v>
      </c>
      <c r="R13" s="32"/>
      <c r="S13" s="33"/>
      <c r="T13" s="29" t="s">
        <v>242</v>
      </c>
      <c r="U13" s="30">
        <v>6</v>
      </c>
      <c r="V13" s="32"/>
      <c r="W13" s="33"/>
      <c r="X13" s="29" t="s">
        <v>242</v>
      </c>
      <c r="Y13" s="30">
        <v>5</v>
      </c>
      <c r="Z13" s="32"/>
      <c r="AA13" s="33"/>
      <c r="AC13" s="153">
        <f t="shared" si="0"/>
        <v>8</v>
      </c>
    </row>
    <row r="14" spans="1:29" ht="18" customHeight="1" x14ac:dyDescent="0.25">
      <c r="A14" s="101" t="s">
        <v>110</v>
      </c>
      <c r="B14" s="97" t="s">
        <v>94</v>
      </c>
      <c r="C14" s="89"/>
      <c r="D14" s="88"/>
      <c r="E14" s="89"/>
      <c r="F14" s="100"/>
      <c r="G14" s="99"/>
      <c r="H14" s="88"/>
      <c r="I14" s="89"/>
      <c r="J14" s="100"/>
      <c r="K14" s="99"/>
      <c r="L14" s="88"/>
      <c r="M14" s="89"/>
      <c r="N14" s="100"/>
      <c r="O14" s="99"/>
      <c r="P14" s="88"/>
      <c r="Q14" s="89"/>
      <c r="R14" s="100"/>
      <c r="S14" s="99"/>
      <c r="T14" s="88"/>
      <c r="U14" s="89"/>
      <c r="V14" s="100"/>
      <c r="W14" s="99"/>
      <c r="X14" s="88"/>
      <c r="Y14" s="89"/>
      <c r="Z14" s="100"/>
      <c r="AA14" s="99"/>
      <c r="AC14" s="154"/>
    </row>
    <row r="15" spans="1:29" ht="18" customHeight="1" x14ac:dyDescent="0.25">
      <c r="A15" s="53" t="s">
        <v>111</v>
      </c>
      <c r="B15" s="54" t="s">
        <v>95</v>
      </c>
      <c r="C15" s="30"/>
      <c r="D15" s="29" t="s">
        <v>243</v>
      </c>
      <c r="E15" s="87">
        <v>0</v>
      </c>
      <c r="F15" s="32"/>
      <c r="G15" s="33"/>
      <c r="H15" s="151" t="s">
        <v>243</v>
      </c>
      <c r="I15" s="87">
        <v>0</v>
      </c>
      <c r="J15" s="32"/>
      <c r="K15" s="33"/>
      <c r="L15" s="29" t="s">
        <v>242</v>
      </c>
      <c r="M15" s="30">
        <v>1.5</v>
      </c>
      <c r="N15" s="32"/>
      <c r="O15" s="33"/>
      <c r="P15" s="29" t="s">
        <v>242</v>
      </c>
      <c r="Q15" s="30">
        <v>1.5</v>
      </c>
      <c r="R15" s="32"/>
      <c r="S15" s="33"/>
      <c r="T15" s="29" t="s">
        <v>242</v>
      </c>
      <c r="U15" s="30">
        <v>5.5</v>
      </c>
      <c r="V15" s="32"/>
      <c r="W15" s="33"/>
      <c r="X15" s="29" t="s">
        <v>242</v>
      </c>
      <c r="Y15" s="30">
        <v>6</v>
      </c>
      <c r="Z15" s="32"/>
      <c r="AA15" s="33"/>
      <c r="AC15" s="153">
        <f t="shared" si="0"/>
        <v>7.25</v>
      </c>
    </row>
    <row r="16" spans="1:29" ht="18" customHeight="1" x14ac:dyDescent="0.25">
      <c r="A16" s="53" t="s">
        <v>112</v>
      </c>
      <c r="B16" s="54" t="s">
        <v>96</v>
      </c>
      <c r="C16" s="30"/>
      <c r="D16" s="29" t="s">
        <v>242</v>
      </c>
      <c r="E16" s="30">
        <v>1</v>
      </c>
      <c r="F16" s="32"/>
      <c r="G16" s="33"/>
      <c r="H16" s="29" t="s">
        <v>242</v>
      </c>
      <c r="I16" s="30">
        <v>1</v>
      </c>
      <c r="J16" s="32"/>
      <c r="K16" s="33"/>
      <c r="L16" s="29" t="s">
        <v>242</v>
      </c>
      <c r="M16" s="30">
        <v>1.5</v>
      </c>
      <c r="N16" s="32"/>
      <c r="O16" s="33"/>
      <c r="P16" s="29" t="s">
        <v>242</v>
      </c>
      <c r="Q16" s="30">
        <v>1</v>
      </c>
      <c r="R16" s="32"/>
      <c r="S16" s="33"/>
      <c r="T16" s="29" t="s">
        <v>242</v>
      </c>
      <c r="U16" s="30">
        <v>6</v>
      </c>
      <c r="V16" s="32"/>
      <c r="W16" s="33"/>
      <c r="X16" s="29" t="s">
        <v>242</v>
      </c>
      <c r="Y16" s="30">
        <v>6</v>
      </c>
      <c r="Z16" s="32"/>
      <c r="AA16" s="33"/>
      <c r="AC16" s="153">
        <f t="shared" si="0"/>
        <v>8.25</v>
      </c>
    </row>
    <row r="17" spans="1:29" ht="18" customHeight="1" x14ac:dyDescent="0.25">
      <c r="A17" s="101" t="s">
        <v>113</v>
      </c>
      <c r="B17" s="97" t="s">
        <v>97</v>
      </c>
      <c r="C17" s="89"/>
      <c r="D17" s="88"/>
      <c r="E17" s="89"/>
      <c r="F17" s="100"/>
      <c r="G17" s="99"/>
      <c r="H17" s="88"/>
      <c r="I17" s="89"/>
      <c r="J17" s="100"/>
      <c r="K17" s="99"/>
      <c r="L17" s="88"/>
      <c r="M17" s="89"/>
      <c r="N17" s="100"/>
      <c r="O17" s="99"/>
      <c r="P17" s="88"/>
      <c r="Q17" s="89"/>
      <c r="R17" s="100"/>
      <c r="S17" s="99"/>
      <c r="T17" s="88"/>
      <c r="U17" s="89"/>
      <c r="V17" s="100"/>
      <c r="W17" s="99"/>
      <c r="X17" s="88"/>
      <c r="Y17" s="89"/>
      <c r="Z17" s="100"/>
      <c r="AA17" s="99"/>
      <c r="AC17" s="154"/>
    </row>
    <row r="18" spans="1:29" ht="18" customHeight="1" x14ac:dyDescent="0.25">
      <c r="A18" s="101" t="s">
        <v>114</v>
      </c>
      <c r="B18" s="97" t="s">
        <v>98</v>
      </c>
      <c r="C18" s="89"/>
      <c r="D18" s="88"/>
      <c r="E18" s="89"/>
      <c r="F18" s="100"/>
      <c r="G18" s="110"/>
      <c r="H18" s="88"/>
      <c r="I18" s="89"/>
      <c r="J18" s="100"/>
      <c r="K18" s="99"/>
      <c r="L18" s="88"/>
      <c r="M18" s="89"/>
      <c r="N18" s="100"/>
      <c r="O18" s="99"/>
      <c r="P18" s="88"/>
      <c r="Q18" s="89"/>
      <c r="R18" s="100"/>
      <c r="S18" s="99"/>
      <c r="T18" s="88"/>
      <c r="U18" s="89"/>
      <c r="V18" s="100"/>
      <c r="W18" s="99"/>
      <c r="X18" s="88"/>
      <c r="Y18" s="89"/>
      <c r="Z18" s="100"/>
      <c r="AA18" s="99"/>
      <c r="AC18" s="154"/>
    </row>
    <row r="19" spans="1:29" ht="18" customHeight="1" x14ac:dyDescent="0.25">
      <c r="A19" s="53" t="s">
        <v>115</v>
      </c>
      <c r="B19" s="54" t="s">
        <v>99</v>
      </c>
      <c r="C19" s="30"/>
      <c r="D19" s="29" t="s">
        <v>242</v>
      </c>
      <c r="E19" s="108">
        <v>1.5</v>
      </c>
      <c r="F19" s="32"/>
      <c r="G19" s="33"/>
      <c r="H19" s="29" t="s">
        <v>242</v>
      </c>
      <c r="I19" s="30">
        <v>1</v>
      </c>
      <c r="J19" s="32"/>
      <c r="K19" s="33"/>
      <c r="L19" s="29" t="s">
        <v>242</v>
      </c>
      <c r="M19" s="30">
        <v>1.5</v>
      </c>
      <c r="N19" s="32"/>
      <c r="O19" s="33"/>
      <c r="P19" s="29" t="s">
        <v>242</v>
      </c>
      <c r="Q19" s="30">
        <v>1</v>
      </c>
      <c r="R19" s="32"/>
      <c r="S19" s="33"/>
      <c r="T19" s="29" t="s">
        <v>242</v>
      </c>
      <c r="U19" s="30">
        <v>4.5</v>
      </c>
      <c r="V19" s="32"/>
      <c r="W19" s="33"/>
      <c r="X19" s="29" t="s">
        <v>242</v>
      </c>
      <c r="Y19" s="30">
        <v>5</v>
      </c>
      <c r="Z19" s="32"/>
      <c r="AA19" s="33"/>
      <c r="AC19" s="153">
        <f t="shared" si="0"/>
        <v>7.25</v>
      </c>
    </row>
    <row r="20" spans="1:29" ht="18" customHeight="1" x14ac:dyDescent="0.25">
      <c r="A20" s="64" t="s">
        <v>116</v>
      </c>
      <c r="B20" s="64" t="s">
        <v>100</v>
      </c>
      <c r="C20" s="44"/>
      <c r="D20" s="43" t="s">
        <v>242</v>
      </c>
      <c r="E20" s="44">
        <v>1</v>
      </c>
      <c r="F20" s="35"/>
      <c r="G20" s="56"/>
      <c r="H20" s="43" t="s">
        <v>242</v>
      </c>
      <c r="I20" s="44">
        <v>1</v>
      </c>
      <c r="J20" s="35"/>
      <c r="K20" s="56"/>
      <c r="L20" s="43" t="s">
        <v>242</v>
      </c>
      <c r="M20" s="44">
        <v>1.5</v>
      </c>
      <c r="N20" s="35"/>
      <c r="O20" s="56"/>
      <c r="P20" s="43" t="s">
        <v>242</v>
      </c>
      <c r="Q20" s="44">
        <v>0.7</v>
      </c>
      <c r="R20" s="35"/>
      <c r="S20" s="56"/>
      <c r="T20" s="43" t="s">
        <v>242</v>
      </c>
      <c r="U20" s="44">
        <v>4.5</v>
      </c>
      <c r="V20" s="35"/>
      <c r="W20" s="56"/>
      <c r="X20" s="43" t="s">
        <v>242</v>
      </c>
      <c r="Y20" s="44">
        <v>5</v>
      </c>
      <c r="Z20" s="35"/>
      <c r="AA20" s="56"/>
      <c r="AC20" s="153">
        <f t="shared" si="0"/>
        <v>6.85</v>
      </c>
    </row>
    <row r="21" spans="1:29" ht="18" customHeight="1" x14ac:dyDescent="0.25">
      <c r="A21" s="64" t="s">
        <v>117</v>
      </c>
      <c r="B21" s="64" t="s">
        <v>101</v>
      </c>
      <c r="C21" s="44"/>
      <c r="D21" s="43" t="s">
        <v>242</v>
      </c>
      <c r="E21" s="44">
        <v>1.5</v>
      </c>
      <c r="F21" s="35"/>
      <c r="G21" s="56"/>
      <c r="H21" s="43" t="s">
        <v>242</v>
      </c>
      <c r="I21" s="44">
        <v>1</v>
      </c>
      <c r="J21" s="35"/>
      <c r="K21" s="56"/>
      <c r="L21" s="43" t="s">
        <v>242</v>
      </c>
      <c r="M21" s="44">
        <v>1.5</v>
      </c>
      <c r="N21" s="35"/>
      <c r="O21" s="56"/>
      <c r="P21" s="43" t="s">
        <v>242</v>
      </c>
      <c r="Q21" s="44">
        <v>2</v>
      </c>
      <c r="R21" s="35"/>
      <c r="S21" s="56"/>
      <c r="T21" s="43" t="s">
        <v>242</v>
      </c>
      <c r="U21" s="44">
        <v>5</v>
      </c>
      <c r="V21" s="35"/>
      <c r="W21" s="56"/>
      <c r="X21" s="43" t="s">
        <v>242</v>
      </c>
      <c r="Y21" s="44">
        <v>5</v>
      </c>
      <c r="Z21" s="35"/>
      <c r="AA21" s="56"/>
      <c r="AC21" s="153">
        <f t="shared" si="0"/>
        <v>8</v>
      </c>
    </row>
    <row r="22" spans="1:29" s="41" customFormat="1" ht="18" customHeight="1" x14ac:dyDescent="0.25">
      <c r="A22" s="64" t="s">
        <v>118</v>
      </c>
      <c r="B22" s="64" t="s">
        <v>102</v>
      </c>
      <c r="C22" s="44"/>
      <c r="D22" s="43" t="s">
        <v>242</v>
      </c>
      <c r="E22" s="44">
        <v>1</v>
      </c>
      <c r="F22" s="35"/>
      <c r="G22" s="45"/>
      <c r="H22" s="43" t="s">
        <v>242</v>
      </c>
      <c r="I22" s="44">
        <v>1</v>
      </c>
      <c r="J22" s="35"/>
      <c r="K22" s="56"/>
      <c r="L22" s="43" t="s">
        <v>242</v>
      </c>
      <c r="M22" s="44">
        <v>1.5</v>
      </c>
      <c r="N22" s="35"/>
      <c r="O22" s="56"/>
      <c r="P22" s="43" t="s">
        <v>242</v>
      </c>
      <c r="Q22" s="44">
        <v>1.5</v>
      </c>
      <c r="R22" s="35"/>
      <c r="S22" s="56"/>
      <c r="T22" s="43" t="s">
        <v>242</v>
      </c>
      <c r="U22" s="44">
        <v>6</v>
      </c>
      <c r="V22" s="35"/>
      <c r="W22" s="56"/>
      <c r="X22" s="43" t="s">
        <v>242</v>
      </c>
      <c r="Y22" s="44">
        <v>5</v>
      </c>
      <c r="Z22" s="35"/>
      <c r="AA22" s="56"/>
      <c r="AC22" s="153">
        <f t="shared" si="0"/>
        <v>8</v>
      </c>
    </row>
    <row r="23" spans="1:29" ht="18" customHeight="1" x14ac:dyDescent="0.25">
      <c r="A23" s="64" t="s">
        <v>119</v>
      </c>
      <c r="B23" s="67" t="s">
        <v>103</v>
      </c>
      <c r="C23" s="44"/>
      <c r="D23" s="43" t="s">
        <v>242</v>
      </c>
      <c r="E23" s="44">
        <v>1.5</v>
      </c>
      <c r="F23" s="35"/>
      <c r="G23" s="56"/>
      <c r="H23" s="43" t="s">
        <v>242</v>
      </c>
      <c r="I23" s="44">
        <v>1.5</v>
      </c>
      <c r="J23" s="35"/>
      <c r="K23" s="56"/>
      <c r="L23" s="43" t="s">
        <v>242</v>
      </c>
      <c r="M23" s="44">
        <v>2</v>
      </c>
      <c r="N23" s="35"/>
      <c r="O23" s="56"/>
      <c r="P23" s="43" t="s">
        <v>242</v>
      </c>
      <c r="Q23" s="44">
        <v>2</v>
      </c>
      <c r="R23" s="35"/>
      <c r="S23" s="56"/>
      <c r="T23" s="43" t="s">
        <v>242</v>
      </c>
      <c r="U23" s="44">
        <v>5</v>
      </c>
      <c r="V23" s="35"/>
      <c r="W23" s="56"/>
      <c r="X23" s="43" t="s">
        <v>242</v>
      </c>
      <c r="Y23" s="118">
        <v>0</v>
      </c>
      <c r="Z23" s="35"/>
      <c r="AA23" s="56"/>
      <c r="AC23" s="153">
        <f t="shared" si="0"/>
        <v>6</v>
      </c>
    </row>
    <row r="24" spans="1:29" ht="18" customHeight="1" x14ac:dyDescent="0.25">
      <c r="A24" s="101" t="s">
        <v>120</v>
      </c>
      <c r="B24" s="97" t="s">
        <v>104</v>
      </c>
      <c r="C24" s="111"/>
      <c r="D24" s="88"/>
      <c r="E24" s="89"/>
      <c r="F24" s="100"/>
      <c r="G24" s="99"/>
      <c r="H24" s="88"/>
      <c r="I24" s="89"/>
      <c r="J24" s="100"/>
      <c r="K24" s="99"/>
      <c r="L24" s="88"/>
      <c r="M24" s="89"/>
      <c r="N24" s="100"/>
      <c r="O24" s="99"/>
      <c r="P24" s="88"/>
      <c r="Q24" s="89"/>
      <c r="R24" s="100"/>
      <c r="S24" s="99"/>
      <c r="T24" s="88"/>
      <c r="U24" s="89"/>
      <c r="V24" s="100"/>
      <c r="W24" s="99"/>
      <c r="X24" s="88"/>
      <c r="Y24" s="89"/>
      <c r="Z24" s="100"/>
      <c r="AA24" s="99"/>
      <c r="AC24" s="154"/>
    </row>
    <row r="25" spans="1:29" ht="18" customHeight="1" x14ac:dyDescent="0.25">
      <c r="A25" s="64" t="s">
        <v>121</v>
      </c>
      <c r="B25" s="82" t="s">
        <v>105</v>
      </c>
      <c r="C25" s="30"/>
      <c r="D25" s="29" t="s">
        <v>242</v>
      </c>
      <c r="E25" s="30">
        <v>1</v>
      </c>
      <c r="F25" s="32"/>
      <c r="G25" s="33"/>
      <c r="H25" s="29" t="s">
        <v>242</v>
      </c>
      <c r="I25" s="30">
        <v>1</v>
      </c>
      <c r="J25" s="32"/>
      <c r="K25" s="33"/>
      <c r="L25" s="29" t="s">
        <v>242</v>
      </c>
      <c r="M25" s="30">
        <v>1.5</v>
      </c>
      <c r="N25" s="32"/>
      <c r="O25" s="33"/>
      <c r="P25" s="29" t="s">
        <v>242</v>
      </c>
      <c r="Q25" s="30">
        <v>0.7</v>
      </c>
      <c r="R25" s="32"/>
      <c r="S25" s="33"/>
      <c r="T25" s="29" t="s">
        <v>242</v>
      </c>
      <c r="U25" s="30">
        <v>6</v>
      </c>
      <c r="V25" s="32"/>
      <c r="W25" s="33"/>
      <c r="X25" s="29" t="s">
        <v>242</v>
      </c>
      <c r="Y25" s="30">
        <v>5</v>
      </c>
      <c r="Z25" s="32"/>
      <c r="AA25" s="33"/>
      <c r="AC25" s="153">
        <f t="shared" si="0"/>
        <v>7.6</v>
      </c>
    </row>
    <row r="26" spans="1:29" ht="18" customHeight="1" x14ac:dyDescent="0.2">
      <c r="A26" s="4"/>
      <c r="B26" s="14"/>
      <c r="C26" s="4"/>
      <c r="D26" s="15"/>
      <c r="E26" s="4"/>
      <c r="F26" s="16"/>
      <c r="G26" s="17"/>
      <c r="H26" s="15"/>
      <c r="I26" s="4"/>
      <c r="J26" s="16"/>
      <c r="K26" s="17"/>
      <c r="L26" s="15"/>
      <c r="M26" s="4"/>
      <c r="N26" s="16"/>
      <c r="O26" s="17"/>
      <c r="P26" s="15"/>
      <c r="Q26" s="4"/>
      <c r="R26" s="16"/>
      <c r="S26" s="17"/>
      <c r="T26" s="15"/>
      <c r="U26" s="4"/>
      <c r="V26" s="16"/>
      <c r="W26" s="17"/>
      <c r="X26" s="15"/>
      <c r="Y26" s="4"/>
      <c r="Z26" s="16"/>
      <c r="AA26" s="17"/>
    </row>
    <row r="27" spans="1:29" ht="18" customHeight="1" thickBot="1" x14ac:dyDescent="0.25">
      <c r="A27" s="24" t="str">
        <f ca="1">IFERROR(IF((($U$2&amp;"-"&amp;X27)=VLOOKUP($U$2&amp;"-"&amp;X27,#REF!,1,FALSE)),$U$2&amp;"-"&amp;X27,""),"")</f>
        <v/>
      </c>
      <c r="B27" s="25" t="str">
        <f t="shared" ref="B27" ca="1" si="1">IF(A27="","",VLOOKUP(A27,ETFtab2013,2))</f>
        <v/>
      </c>
      <c r="C27" s="24"/>
      <c r="D27" s="26"/>
      <c r="E27" s="24"/>
      <c r="F27" s="27"/>
      <c r="G27" s="28"/>
      <c r="H27" s="26"/>
      <c r="I27" s="24"/>
      <c r="J27" s="27"/>
      <c r="K27" s="28"/>
      <c r="L27" s="26"/>
      <c r="M27" s="24"/>
      <c r="N27" s="27"/>
      <c r="O27" s="28"/>
      <c r="P27" s="26"/>
      <c r="Q27" s="24"/>
      <c r="R27" s="27"/>
      <c r="S27" s="28"/>
      <c r="T27" s="26"/>
      <c r="U27" s="24"/>
      <c r="V27" s="27"/>
      <c r="W27" s="28"/>
      <c r="X27" s="26"/>
      <c r="Y27" s="24"/>
      <c r="Z27" s="27"/>
      <c r="AA27" s="28"/>
    </row>
    <row r="28" spans="1:29" ht="18" customHeight="1" thickTop="1" x14ac:dyDescent="0.2">
      <c r="A28" s="22"/>
      <c r="B28" s="23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19"/>
    </row>
    <row r="29" spans="1:29" ht="18" customHeight="1" x14ac:dyDescent="0.2">
      <c r="A29" s="22"/>
      <c r="B29" s="23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19"/>
    </row>
    <row r="30" spans="1:29" ht="18" customHeight="1" x14ac:dyDescent="0.2">
      <c r="A30" s="22"/>
      <c r="B30" s="23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19"/>
    </row>
    <row r="31" spans="1:29" ht="18" customHeight="1" x14ac:dyDescent="0.2">
      <c r="A31" s="22"/>
      <c r="B31" s="23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19"/>
    </row>
    <row r="32" spans="1:29" ht="18" customHeight="1" x14ac:dyDescent="0.2">
      <c r="A32" s="22"/>
      <c r="B32" s="23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19"/>
    </row>
    <row r="33" spans="1:24" ht="18" customHeight="1" x14ac:dyDescent="0.2">
      <c r="A33" s="22"/>
      <c r="B33" s="23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19"/>
    </row>
    <row r="34" spans="1:24" x14ac:dyDescent="0.2">
      <c r="A34" s="20"/>
      <c r="B34" s="20"/>
      <c r="C34" s="20"/>
      <c r="D34" s="20"/>
      <c r="E34" s="20"/>
      <c r="F34" s="20"/>
      <c r="G34" s="20"/>
      <c r="H34" s="21"/>
      <c r="I34" s="20"/>
      <c r="J34" s="20"/>
      <c r="K34" s="20"/>
      <c r="L34" s="21"/>
      <c r="M34" s="20"/>
      <c r="N34" s="20"/>
      <c r="O34" s="20"/>
      <c r="P34" s="20"/>
      <c r="Q34" s="20"/>
      <c r="R34" s="20"/>
      <c r="S34" s="20"/>
      <c r="T34" s="21"/>
      <c r="U34" s="20"/>
      <c r="V34" s="20"/>
      <c r="W34" s="20"/>
      <c r="X34" s="20"/>
    </row>
  </sheetData>
  <mergeCells count="19">
    <mergeCell ref="X7:AA7"/>
    <mergeCell ref="X8:AA8"/>
    <mergeCell ref="K1:M2"/>
    <mergeCell ref="U2:W4"/>
    <mergeCell ref="I4:O5"/>
    <mergeCell ref="T7:W7"/>
    <mergeCell ref="L8:O8"/>
    <mergeCell ref="P8:S8"/>
    <mergeCell ref="T8:W8"/>
    <mergeCell ref="A7:C7"/>
    <mergeCell ref="D7:G7"/>
    <mergeCell ref="H7:K7"/>
    <mergeCell ref="L7:O7"/>
    <mergeCell ref="P7:S7"/>
    <mergeCell ref="A8:A9"/>
    <mergeCell ref="B8:B9"/>
    <mergeCell ref="C8:C9"/>
    <mergeCell ref="D8:G8"/>
    <mergeCell ref="H8:K8"/>
  </mergeCells>
  <pageMargins left="0.78740157480314965" right="0.39370078740157483" top="0.39370078740157483" bottom="0.39370078740157483" header="0.31496062992125984" footer="0.31496062992125984"/>
  <pageSetup paperSize="9" scale="89" orientation="landscape" r:id="rId1"/>
  <headerFooter alignWithMargins="0"/>
  <colBreaks count="1" manualBreakCount="1">
    <brk id="27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33"/>
  <sheetViews>
    <sheetView view="pageBreakPreview" zoomScaleNormal="100" zoomScaleSheetLayoutView="100" workbookViewId="0">
      <selection activeCell="AC9" sqref="AC9"/>
    </sheetView>
  </sheetViews>
  <sheetFormatPr defaultRowHeight="12.75" x14ac:dyDescent="0.2"/>
  <cols>
    <col min="1" max="1" width="7.125" style="1" customWidth="1"/>
    <col min="2" max="2" width="21.625" style="1" customWidth="1"/>
    <col min="3" max="3" width="3.75" style="1" customWidth="1"/>
    <col min="4" max="4" width="5" style="1" customWidth="1"/>
    <col min="5" max="6" width="3.875" style="1" customWidth="1"/>
    <col min="7" max="7" width="5" style="1" customWidth="1"/>
    <col min="8" max="8" width="5" style="7" customWidth="1"/>
    <col min="9" max="10" width="3.875" style="1" customWidth="1"/>
    <col min="11" max="11" width="4.625" style="1" customWidth="1"/>
    <col min="12" max="12" width="5" style="7" customWidth="1"/>
    <col min="13" max="13" width="3.875" style="1" customWidth="1"/>
    <col min="14" max="14" width="4.125" style="1" customWidth="1"/>
    <col min="15" max="15" width="5.25" style="1" customWidth="1"/>
    <col min="16" max="16" width="5" style="1" customWidth="1"/>
    <col min="17" max="18" width="3.875" style="1" customWidth="1"/>
    <col min="19" max="19" width="4.625" style="1" customWidth="1"/>
    <col min="20" max="20" width="5" style="7" customWidth="1"/>
    <col min="21" max="22" width="3.875" style="1" customWidth="1"/>
    <col min="23" max="24" width="4.625" style="1" customWidth="1"/>
    <col min="25" max="25" width="4.125" style="1" customWidth="1"/>
    <col min="26" max="26" width="3.75" style="1" customWidth="1"/>
    <col min="27" max="27" width="4.25" style="1" customWidth="1"/>
    <col min="28" max="28" width="4" style="1" customWidth="1"/>
    <col min="29" max="255" width="9" style="1"/>
    <col min="256" max="256" width="5" style="1" customWidth="1"/>
    <col min="257" max="257" width="20.5" style="1" customWidth="1"/>
    <col min="258" max="258" width="2.375" style="1" customWidth="1"/>
    <col min="259" max="259" width="3.75" style="1" customWidth="1"/>
    <col min="260" max="261" width="5" style="1" customWidth="1"/>
    <col min="262" max="263" width="3.75" style="1" customWidth="1"/>
    <col min="264" max="265" width="5" style="1" customWidth="1"/>
    <col min="266" max="267" width="3.75" style="1" customWidth="1"/>
    <col min="268" max="269" width="5" style="1" customWidth="1"/>
    <col min="270" max="271" width="3.75" style="1" customWidth="1"/>
    <col min="272" max="273" width="5" style="1" customWidth="1"/>
    <col min="274" max="275" width="3.75" style="1" customWidth="1"/>
    <col min="276" max="277" width="5" style="1" customWidth="1"/>
    <col min="278" max="279" width="3.75" style="1" customWidth="1"/>
    <col min="280" max="280" width="3.5" style="1" customWidth="1"/>
    <col min="281" max="511" width="9" style="1"/>
    <col min="512" max="512" width="5" style="1" customWidth="1"/>
    <col min="513" max="513" width="20.5" style="1" customWidth="1"/>
    <col min="514" max="514" width="2.375" style="1" customWidth="1"/>
    <col min="515" max="515" width="3.75" style="1" customWidth="1"/>
    <col min="516" max="517" width="5" style="1" customWidth="1"/>
    <col min="518" max="519" width="3.75" style="1" customWidth="1"/>
    <col min="520" max="521" width="5" style="1" customWidth="1"/>
    <col min="522" max="523" width="3.75" style="1" customWidth="1"/>
    <col min="524" max="525" width="5" style="1" customWidth="1"/>
    <col min="526" max="527" width="3.75" style="1" customWidth="1"/>
    <col min="528" max="529" width="5" style="1" customWidth="1"/>
    <col min="530" max="531" width="3.75" style="1" customWidth="1"/>
    <col min="532" max="533" width="5" style="1" customWidth="1"/>
    <col min="534" max="535" width="3.75" style="1" customWidth="1"/>
    <col min="536" max="536" width="3.5" style="1" customWidth="1"/>
    <col min="537" max="767" width="9" style="1"/>
    <col min="768" max="768" width="5" style="1" customWidth="1"/>
    <col min="769" max="769" width="20.5" style="1" customWidth="1"/>
    <col min="770" max="770" width="2.375" style="1" customWidth="1"/>
    <col min="771" max="771" width="3.75" style="1" customWidth="1"/>
    <col min="772" max="773" width="5" style="1" customWidth="1"/>
    <col min="774" max="775" width="3.75" style="1" customWidth="1"/>
    <col min="776" max="777" width="5" style="1" customWidth="1"/>
    <col min="778" max="779" width="3.75" style="1" customWidth="1"/>
    <col min="780" max="781" width="5" style="1" customWidth="1"/>
    <col min="782" max="783" width="3.75" style="1" customWidth="1"/>
    <col min="784" max="785" width="5" style="1" customWidth="1"/>
    <col min="786" max="787" width="3.75" style="1" customWidth="1"/>
    <col min="788" max="789" width="5" style="1" customWidth="1"/>
    <col min="790" max="791" width="3.75" style="1" customWidth="1"/>
    <col min="792" max="792" width="3.5" style="1" customWidth="1"/>
    <col min="793" max="1023" width="9" style="1"/>
    <col min="1024" max="1024" width="5" style="1" customWidth="1"/>
    <col min="1025" max="1025" width="20.5" style="1" customWidth="1"/>
    <col min="1026" max="1026" width="2.375" style="1" customWidth="1"/>
    <col min="1027" max="1027" width="3.75" style="1" customWidth="1"/>
    <col min="1028" max="1029" width="5" style="1" customWidth="1"/>
    <col min="1030" max="1031" width="3.75" style="1" customWidth="1"/>
    <col min="1032" max="1033" width="5" style="1" customWidth="1"/>
    <col min="1034" max="1035" width="3.75" style="1" customWidth="1"/>
    <col min="1036" max="1037" width="5" style="1" customWidth="1"/>
    <col min="1038" max="1039" width="3.75" style="1" customWidth="1"/>
    <col min="1040" max="1041" width="5" style="1" customWidth="1"/>
    <col min="1042" max="1043" width="3.75" style="1" customWidth="1"/>
    <col min="1044" max="1045" width="5" style="1" customWidth="1"/>
    <col min="1046" max="1047" width="3.75" style="1" customWidth="1"/>
    <col min="1048" max="1048" width="3.5" style="1" customWidth="1"/>
    <col min="1049" max="1279" width="9" style="1"/>
    <col min="1280" max="1280" width="5" style="1" customWidth="1"/>
    <col min="1281" max="1281" width="20.5" style="1" customWidth="1"/>
    <col min="1282" max="1282" width="2.375" style="1" customWidth="1"/>
    <col min="1283" max="1283" width="3.75" style="1" customWidth="1"/>
    <col min="1284" max="1285" width="5" style="1" customWidth="1"/>
    <col min="1286" max="1287" width="3.75" style="1" customWidth="1"/>
    <col min="1288" max="1289" width="5" style="1" customWidth="1"/>
    <col min="1290" max="1291" width="3.75" style="1" customWidth="1"/>
    <col min="1292" max="1293" width="5" style="1" customWidth="1"/>
    <col min="1294" max="1295" width="3.75" style="1" customWidth="1"/>
    <col min="1296" max="1297" width="5" style="1" customWidth="1"/>
    <col min="1298" max="1299" width="3.75" style="1" customWidth="1"/>
    <col min="1300" max="1301" width="5" style="1" customWidth="1"/>
    <col min="1302" max="1303" width="3.75" style="1" customWidth="1"/>
    <col min="1304" max="1304" width="3.5" style="1" customWidth="1"/>
    <col min="1305" max="1535" width="9" style="1"/>
    <col min="1536" max="1536" width="5" style="1" customWidth="1"/>
    <col min="1537" max="1537" width="20.5" style="1" customWidth="1"/>
    <col min="1538" max="1538" width="2.375" style="1" customWidth="1"/>
    <col min="1539" max="1539" width="3.75" style="1" customWidth="1"/>
    <col min="1540" max="1541" width="5" style="1" customWidth="1"/>
    <col min="1542" max="1543" width="3.75" style="1" customWidth="1"/>
    <col min="1544" max="1545" width="5" style="1" customWidth="1"/>
    <col min="1546" max="1547" width="3.75" style="1" customWidth="1"/>
    <col min="1548" max="1549" width="5" style="1" customWidth="1"/>
    <col min="1550" max="1551" width="3.75" style="1" customWidth="1"/>
    <col min="1552" max="1553" width="5" style="1" customWidth="1"/>
    <col min="1554" max="1555" width="3.75" style="1" customWidth="1"/>
    <col min="1556" max="1557" width="5" style="1" customWidth="1"/>
    <col min="1558" max="1559" width="3.75" style="1" customWidth="1"/>
    <col min="1560" max="1560" width="3.5" style="1" customWidth="1"/>
    <col min="1561" max="1791" width="9" style="1"/>
    <col min="1792" max="1792" width="5" style="1" customWidth="1"/>
    <col min="1793" max="1793" width="20.5" style="1" customWidth="1"/>
    <col min="1794" max="1794" width="2.375" style="1" customWidth="1"/>
    <col min="1795" max="1795" width="3.75" style="1" customWidth="1"/>
    <col min="1796" max="1797" width="5" style="1" customWidth="1"/>
    <col min="1798" max="1799" width="3.75" style="1" customWidth="1"/>
    <col min="1800" max="1801" width="5" style="1" customWidth="1"/>
    <col min="1802" max="1803" width="3.75" style="1" customWidth="1"/>
    <col min="1804" max="1805" width="5" style="1" customWidth="1"/>
    <col min="1806" max="1807" width="3.75" style="1" customWidth="1"/>
    <col min="1808" max="1809" width="5" style="1" customWidth="1"/>
    <col min="1810" max="1811" width="3.75" style="1" customWidth="1"/>
    <col min="1812" max="1813" width="5" style="1" customWidth="1"/>
    <col min="1814" max="1815" width="3.75" style="1" customWidth="1"/>
    <col min="1816" max="1816" width="3.5" style="1" customWidth="1"/>
    <col min="1817" max="2047" width="9" style="1"/>
    <col min="2048" max="2048" width="5" style="1" customWidth="1"/>
    <col min="2049" max="2049" width="20.5" style="1" customWidth="1"/>
    <col min="2050" max="2050" width="2.375" style="1" customWidth="1"/>
    <col min="2051" max="2051" width="3.75" style="1" customWidth="1"/>
    <col min="2052" max="2053" width="5" style="1" customWidth="1"/>
    <col min="2054" max="2055" width="3.75" style="1" customWidth="1"/>
    <col min="2056" max="2057" width="5" style="1" customWidth="1"/>
    <col min="2058" max="2059" width="3.75" style="1" customWidth="1"/>
    <col min="2060" max="2061" width="5" style="1" customWidth="1"/>
    <col min="2062" max="2063" width="3.75" style="1" customWidth="1"/>
    <col min="2064" max="2065" width="5" style="1" customWidth="1"/>
    <col min="2066" max="2067" width="3.75" style="1" customWidth="1"/>
    <col min="2068" max="2069" width="5" style="1" customWidth="1"/>
    <col min="2070" max="2071" width="3.75" style="1" customWidth="1"/>
    <col min="2072" max="2072" width="3.5" style="1" customWidth="1"/>
    <col min="2073" max="2303" width="9" style="1"/>
    <col min="2304" max="2304" width="5" style="1" customWidth="1"/>
    <col min="2305" max="2305" width="20.5" style="1" customWidth="1"/>
    <col min="2306" max="2306" width="2.375" style="1" customWidth="1"/>
    <col min="2307" max="2307" width="3.75" style="1" customWidth="1"/>
    <col min="2308" max="2309" width="5" style="1" customWidth="1"/>
    <col min="2310" max="2311" width="3.75" style="1" customWidth="1"/>
    <col min="2312" max="2313" width="5" style="1" customWidth="1"/>
    <col min="2314" max="2315" width="3.75" style="1" customWidth="1"/>
    <col min="2316" max="2317" width="5" style="1" customWidth="1"/>
    <col min="2318" max="2319" width="3.75" style="1" customWidth="1"/>
    <col min="2320" max="2321" width="5" style="1" customWidth="1"/>
    <col min="2322" max="2323" width="3.75" style="1" customWidth="1"/>
    <col min="2324" max="2325" width="5" style="1" customWidth="1"/>
    <col min="2326" max="2327" width="3.75" style="1" customWidth="1"/>
    <col min="2328" max="2328" width="3.5" style="1" customWidth="1"/>
    <col min="2329" max="2559" width="9" style="1"/>
    <col min="2560" max="2560" width="5" style="1" customWidth="1"/>
    <col min="2561" max="2561" width="20.5" style="1" customWidth="1"/>
    <col min="2562" max="2562" width="2.375" style="1" customWidth="1"/>
    <col min="2563" max="2563" width="3.75" style="1" customWidth="1"/>
    <col min="2564" max="2565" width="5" style="1" customWidth="1"/>
    <col min="2566" max="2567" width="3.75" style="1" customWidth="1"/>
    <col min="2568" max="2569" width="5" style="1" customWidth="1"/>
    <col min="2570" max="2571" width="3.75" style="1" customWidth="1"/>
    <col min="2572" max="2573" width="5" style="1" customWidth="1"/>
    <col min="2574" max="2575" width="3.75" style="1" customWidth="1"/>
    <col min="2576" max="2577" width="5" style="1" customWidth="1"/>
    <col min="2578" max="2579" width="3.75" style="1" customWidth="1"/>
    <col min="2580" max="2581" width="5" style="1" customWidth="1"/>
    <col min="2582" max="2583" width="3.75" style="1" customWidth="1"/>
    <col min="2584" max="2584" width="3.5" style="1" customWidth="1"/>
    <col min="2585" max="2815" width="9" style="1"/>
    <col min="2816" max="2816" width="5" style="1" customWidth="1"/>
    <col min="2817" max="2817" width="20.5" style="1" customWidth="1"/>
    <col min="2818" max="2818" width="2.375" style="1" customWidth="1"/>
    <col min="2819" max="2819" width="3.75" style="1" customWidth="1"/>
    <col min="2820" max="2821" width="5" style="1" customWidth="1"/>
    <col min="2822" max="2823" width="3.75" style="1" customWidth="1"/>
    <col min="2824" max="2825" width="5" style="1" customWidth="1"/>
    <col min="2826" max="2827" width="3.75" style="1" customWidth="1"/>
    <col min="2828" max="2829" width="5" style="1" customWidth="1"/>
    <col min="2830" max="2831" width="3.75" style="1" customWidth="1"/>
    <col min="2832" max="2833" width="5" style="1" customWidth="1"/>
    <col min="2834" max="2835" width="3.75" style="1" customWidth="1"/>
    <col min="2836" max="2837" width="5" style="1" customWidth="1"/>
    <col min="2838" max="2839" width="3.75" style="1" customWidth="1"/>
    <col min="2840" max="2840" width="3.5" style="1" customWidth="1"/>
    <col min="2841" max="3071" width="9" style="1"/>
    <col min="3072" max="3072" width="5" style="1" customWidth="1"/>
    <col min="3073" max="3073" width="20.5" style="1" customWidth="1"/>
    <col min="3074" max="3074" width="2.375" style="1" customWidth="1"/>
    <col min="3075" max="3075" width="3.75" style="1" customWidth="1"/>
    <col min="3076" max="3077" width="5" style="1" customWidth="1"/>
    <col min="3078" max="3079" width="3.75" style="1" customWidth="1"/>
    <col min="3080" max="3081" width="5" style="1" customWidth="1"/>
    <col min="3082" max="3083" width="3.75" style="1" customWidth="1"/>
    <col min="3084" max="3085" width="5" style="1" customWidth="1"/>
    <col min="3086" max="3087" width="3.75" style="1" customWidth="1"/>
    <col min="3088" max="3089" width="5" style="1" customWidth="1"/>
    <col min="3090" max="3091" width="3.75" style="1" customWidth="1"/>
    <col min="3092" max="3093" width="5" style="1" customWidth="1"/>
    <col min="3094" max="3095" width="3.75" style="1" customWidth="1"/>
    <col min="3096" max="3096" width="3.5" style="1" customWidth="1"/>
    <col min="3097" max="3327" width="9" style="1"/>
    <col min="3328" max="3328" width="5" style="1" customWidth="1"/>
    <col min="3329" max="3329" width="20.5" style="1" customWidth="1"/>
    <col min="3330" max="3330" width="2.375" style="1" customWidth="1"/>
    <col min="3331" max="3331" width="3.75" style="1" customWidth="1"/>
    <col min="3332" max="3333" width="5" style="1" customWidth="1"/>
    <col min="3334" max="3335" width="3.75" style="1" customWidth="1"/>
    <col min="3336" max="3337" width="5" style="1" customWidth="1"/>
    <col min="3338" max="3339" width="3.75" style="1" customWidth="1"/>
    <col min="3340" max="3341" width="5" style="1" customWidth="1"/>
    <col min="3342" max="3343" width="3.75" style="1" customWidth="1"/>
    <col min="3344" max="3345" width="5" style="1" customWidth="1"/>
    <col min="3346" max="3347" width="3.75" style="1" customWidth="1"/>
    <col min="3348" max="3349" width="5" style="1" customWidth="1"/>
    <col min="3350" max="3351" width="3.75" style="1" customWidth="1"/>
    <col min="3352" max="3352" width="3.5" style="1" customWidth="1"/>
    <col min="3353" max="3583" width="9" style="1"/>
    <col min="3584" max="3584" width="5" style="1" customWidth="1"/>
    <col min="3585" max="3585" width="20.5" style="1" customWidth="1"/>
    <col min="3586" max="3586" width="2.375" style="1" customWidth="1"/>
    <col min="3587" max="3587" width="3.75" style="1" customWidth="1"/>
    <col min="3588" max="3589" width="5" style="1" customWidth="1"/>
    <col min="3590" max="3591" width="3.75" style="1" customWidth="1"/>
    <col min="3592" max="3593" width="5" style="1" customWidth="1"/>
    <col min="3594" max="3595" width="3.75" style="1" customWidth="1"/>
    <col min="3596" max="3597" width="5" style="1" customWidth="1"/>
    <col min="3598" max="3599" width="3.75" style="1" customWidth="1"/>
    <col min="3600" max="3601" width="5" style="1" customWidth="1"/>
    <col min="3602" max="3603" width="3.75" style="1" customWidth="1"/>
    <col min="3604" max="3605" width="5" style="1" customWidth="1"/>
    <col min="3606" max="3607" width="3.75" style="1" customWidth="1"/>
    <col min="3608" max="3608" width="3.5" style="1" customWidth="1"/>
    <col min="3609" max="3839" width="9" style="1"/>
    <col min="3840" max="3840" width="5" style="1" customWidth="1"/>
    <col min="3841" max="3841" width="20.5" style="1" customWidth="1"/>
    <col min="3842" max="3842" width="2.375" style="1" customWidth="1"/>
    <col min="3843" max="3843" width="3.75" style="1" customWidth="1"/>
    <col min="3844" max="3845" width="5" style="1" customWidth="1"/>
    <col min="3846" max="3847" width="3.75" style="1" customWidth="1"/>
    <col min="3848" max="3849" width="5" style="1" customWidth="1"/>
    <col min="3850" max="3851" width="3.75" style="1" customWidth="1"/>
    <col min="3852" max="3853" width="5" style="1" customWidth="1"/>
    <col min="3854" max="3855" width="3.75" style="1" customWidth="1"/>
    <col min="3856" max="3857" width="5" style="1" customWidth="1"/>
    <col min="3858" max="3859" width="3.75" style="1" customWidth="1"/>
    <col min="3860" max="3861" width="5" style="1" customWidth="1"/>
    <col min="3862" max="3863" width="3.75" style="1" customWidth="1"/>
    <col min="3864" max="3864" width="3.5" style="1" customWidth="1"/>
    <col min="3865" max="4095" width="9" style="1"/>
    <col min="4096" max="4096" width="5" style="1" customWidth="1"/>
    <col min="4097" max="4097" width="20.5" style="1" customWidth="1"/>
    <col min="4098" max="4098" width="2.375" style="1" customWidth="1"/>
    <col min="4099" max="4099" width="3.75" style="1" customWidth="1"/>
    <col min="4100" max="4101" width="5" style="1" customWidth="1"/>
    <col min="4102" max="4103" width="3.75" style="1" customWidth="1"/>
    <col min="4104" max="4105" width="5" style="1" customWidth="1"/>
    <col min="4106" max="4107" width="3.75" style="1" customWidth="1"/>
    <col min="4108" max="4109" width="5" style="1" customWidth="1"/>
    <col min="4110" max="4111" width="3.75" style="1" customWidth="1"/>
    <col min="4112" max="4113" width="5" style="1" customWidth="1"/>
    <col min="4114" max="4115" width="3.75" style="1" customWidth="1"/>
    <col min="4116" max="4117" width="5" style="1" customWidth="1"/>
    <col min="4118" max="4119" width="3.75" style="1" customWidth="1"/>
    <col min="4120" max="4120" width="3.5" style="1" customWidth="1"/>
    <col min="4121" max="4351" width="9" style="1"/>
    <col min="4352" max="4352" width="5" style="1" customWidth="1"/>
    <col min="4353" max="4353" width="20.5" style="1" customWidth="1"/>
    <col min="4354" max="4354" width="2.375" style="1" customWidth="1"/>
    <col min="4355" max="4355" width="3.75" style="1" customWidth="1"/>
    <col min="4356" max="4357" width="5" style="1" customWidth="1"/>
    <col min="4358" max="4359" width="3.75" style="1" customWidth="1"/>
    <col min="4360" max="4361" width="5" style="1" customWidth="1"/>
    <col min="4362" max="4363" width="3.75" style="1" customWidth="1"/>
    <col min="4364" max="4365" width="5" style="1" customWidth="1"/>
    <col min="4366" max="4367" width="3.75" style="1" customWidth="1"/>
    <col min="4368" max="4369" width="5" style="1" customWidth="1"/>
    <col min="4370" max="4371" width="3.75" style="1" customWidth="1"/>
    <col min="4372" max="4373" width="5" style="1" customWidth="1"/>
    <col min="4374" max="4375" width="3.75" style="1" customWidth="1"/>
    <col min="4376" max="4376" width="3.5" style="1" customWidth="1"/>
    <col min="4377" max="4607" width="9" style="1"/>
    <col min="4608" max="4608" width="5" style="1" customWidth="1"/>
    <col min="4609" max="4609" width="20.5" style="1" customWidth="1"/>
    <col min="4610" max="4610" width="2.375" style="1" customWidth="1"/>
    <col min="4611" max="4611" width="3.75" style="1" customWidth="1"/>
    <col min="4612" max="4613" width="5" style="1" customWidth="1"/>
    <col min="4614" max="4615" width="3.75" style="1" customWidth="1"/>
    <col min="4616" max="4617" width="5" style="1" customWidth="1"/>
    <col min="4618" max="4619" width="3.75" style="1" customWidth="1"/>
    <col min="4620" max="4621" width="5" style="1" customWidth="1"/>
    <col min="4622" max="4623" width="3.75" style="1" customWidth="1"/>
    <col min="4624" max="4625" width="5" style="1" customWidth="1"/>
    <col min="4626" max="4627" width="3.75" style="1" customWidth="1"/>
    <col min="4628" max="4629" width="5" style="1" customWidth="1"/>
    <col min="4630" max="4631" width="3.75" style="1" customWidth="1"/>
    <col min="4632" max="4632" width="3.5" style="1" customWidth="1"/>
    <col min="4633" max="4863" width="9" style="1"/>
    <col min="4864" max="4864" width="5" style="1" customWidth="1"/>
    <col min="4865" max="4865" width="20.5" style="1" customWidth="1"/>
    <col min="4866" max="4866" width="2.375" style="1" customWidth="1"/>
    <col min="4867" max="4867" width="3.75" style="1" customWidth="1"/>
    <col min="4868" max="4869" width="5" style="1" customWidth="1"/>
    <col min="4870" max="4871" width="3.75" style="1" customWidth="1"/>
    <col min="4872" max="4873" width="5" style="1" customWidth="1"/>
    <col min="4874" max="4875" width="3.75" style="1" customWidth="1"/>
    <col min="4876" max="4877" width="5" style="1" customWidth="1"/>
    <col min="4878" max="4879" width="3.75" style="1" customWidth="1"/>
    <col min="4880" max="4881" width="5" style="1" customWidth="1"/>
    <col min="4882" max="4883" width="3.75" style="1" customWidth="1"/>
    <col min="4884" max="4885" width="5" style="1" customWidth="1"/>
    <col min="4886" max="4887" width="3.75" style="1" customWidth="1"/>
    <col min="4888" max="4888" width="3.5" style="1" customWidth="1"/>
    <col min="4889" max="5119" width="9" style="1"/>
    <col min="5120" max="5120" width="5" style="1" customWidth="1"/>
    <col min="5121" max="5121" width="20.5" style="1" customWidth="1"/>
    <col min="5122" max="5122" width="2.375" style="1" customWidth="1"/>
    <col min="5123" max="5123" width="3.75" style="1" customWidth="1"/>
    <col min="5124" max="5125" width="5" style="1" customWidth="1"/>
    <col min="5126" max="5127" width="3.75" style="1" customWidth="1"/>
    <col min="5128" max="5129" width="5" style="1" customWidth="1"/>
    <col min="5130" max="5131" width="3.75" style="1" customWidth="1"/>
    <col min="5132" max="5133" width="5" style="1" customWidth="1"/>
    <col min="5134" max="5135" width="3.75" style="1" customWidth="1"/>
    <col min="5136" max="5137" width="5" style="1" customWidth="1"/>
    <col min="5138" max="5139" width="3.75" style="1" customWidth="1"/>
    <col min="5140" max="5141" width="5" style="1" customWidth="1"/>
    <col min="5142" max="5143" width="3.75" style="1" customWidth="1"/>
    <col min="5144" max="5144" width="3.5" style="1" customWidth="1"/>
    <col min="5145" max="5375" width="9" style="1"/>
    <col min="5376" max="5376" width="5" style="1" customWidth="1"/>
    <col min="5377" max="5377" width="20.5" style="1" customWidth="1"/>
    <col min="5378" max="5378" width="2.375" style="1" customWidth="1"/>
    <col min="5379" max="5379" width="3.75" style="1" customWidth="1"/>
    <col min="5380" max="5381" width="5" style="1" customWidth="1"/>
    <col min="5382" max="5383" width="3.75" style="1" customWidth="1"/>
    <col min="5384" max="5385" width="5" style="1" customWidth="1"/>
    <col min="5386" max="5387" width="3.75" style="1" customWidth="1"/>
    <col min="5388" max="5389" width="5" style="1" customWidth="1"/>
    <col min="5390" max="5391" width="3.75" style="1" customWidth="1"/>
    <col min="5392" max="5393" width="5" style="1" customWidth="1"/>
    <col min="5394" max="5395" width="3.75" style="1" customWidth="1"/>
    <col min="5396" max="5397" width="5" style="1" customWidth="1"/>
    <col min="5398" max="5399" width="3.75" style="1" customWidth="1"/>
    <col min="5400" max="5400" width="3.5" style="1" customWidth="1"/>
    <col min="5401" max="5631" width="9" style="1"/>
    <col min="5632" max="5632" width="5" style="1" customWidth="1"/>
    <col min="5633" max="5633" width="20.5" style="1" customWidth="1"/>
    <col min="5634" max="5634" width="2.375" style="1" customWidth="1"/>
    <col min="5635" max="5635" width="3.75" style="1" customWidth="1"/>
    <col min="5636" max="5637" width="5" style="1" customWidth="1"/>
    <col min="5638" max="5639" width="3.75" style="1" customWidth="1"/>
    <col min="5640" max="5641" width="5" style="1" customWidth="1"/>
    <col min="5642" max="5643" width="3.75" style="1" customWidth="1"/>
    <col min="5644" max="5645" width="5" style="1" customWidth="1"/>
    <col min="5646" max="5647" width="3.75" style="1" customWidth="1"/>
    <col min="5648" max="5649" width="5" style="1" customWidth="1"/>
    <col min="5650" max="5651" width="3.75" style="1" customWidth="1"/>
    <col min="5652" max="5653" width="5" style="1" customWidth="1"/>
    <col min="5654" max="5655" width="3.75" style="1" customWidth="1"/>
    <col min="5656" max="5656" width="3.5" style="1" customWidth="1"/>
    <col min="5657" max="5887" width="9" style="1"/>
    <col min="5888" max="5888" width="5" style="1" customWidth="1"/>
    <col min="5889" max="5889" width="20.5" style="1" customWidth="1"/>
    <col min="5890" max="5890" width="2.375" style="1" customWidth="1"/>
    <col min="5891" max="5891" width="3.75" style="1" customWidth="1"/>
    <col min="5892" max="5893" width="5" style="1" customWidth="1"/>
    <col min="5894" max="5895" width="3.75" style="1" customWidth="1"/>
    <col min="5896" max="5897" width="5" style="1" customWidth="1"/>
    <col min="5898" max="5899" width="3.75" style="1" customWidth="1"/>
    <col min="5900" max="5901" width="5" style="1" customWidth="1"/>
    <col min="5902" max="5903" width="3.75" style="1" customWidth="1"/>
    <col min="5904" max="5905" width="5" style="1" customWidth="1"/>
    <col min="5906" max="5907" width="3.75" style="1" customWidth="1"/>
    <col min="5908" max="5909" width="5" style="1" customWidth="1"/>
    <col min="5910" max="5911" width="3.75" style="1" customWidth="1"/>
    <col min="5912" max="5912" width="3.5" style="1" customWidth="1"/>
    <col min="5913" max="6143" width="9" style="1"/>
    <col min="6144" max="6144" width="5" style="1" customWidth="1"/>
    <col min="6145" max="6145" width="20.5" style="1" customWidth="1"/>
    <col min="6146" max="6146" width="2.375" style="1" customWidth="1"/>
    <col min="6147" max="6147" width="3.75" style="1" customWidth="1"/>
    <col min="6148" max="6149" width="5" style="1" customWidth="1"/>
    <col min="6150" max="6151" width="3.75" style="1" customWidth="1"/>
    <col min="6152" max="6153" width="5" style="1" customWidth="1"/>
    <col min="6154" max="6155" width="3.75" style="1" customWidth="1"/>
    <col min="6156" max="6157" width="5" style="1" customWidth="1"/>
    <col min="6158" max="6159" width="3.75" style="1" customWidth="1"/>
    <col min="6160" max="6161" width="5" style="1" customWidth="1"/>
    <col min="6162" max="6163" width="3.75" style="1" customWidth="1"/>
    <col min="6164" max="6165" width="5" style="1" customWidth="1"/>
    <col min="6166" max="6167" width="3.75" style="1" customWidth="1"/>
    <col min="6168" max="6168" width="3.5" style="1" customWidth="1"/>
    <col min="6169" max="6399" width="9" style="1"/>
    <col min="6400" max="6400" width="5" style="1" customWidth="1"/>
    <col min="6401" max="6401" width="20.5" style="1" customWidth="1"/>
    <col min="6402" max="6402" width="2.375" style="1" customWidth="1"/>
    <col min="6403" max="6403" width="3.75" style="1" customWidth="1"/>
    <col min="6404" max="6405" width="5" style="1" customWidth="1"/>
    <col min="6406" max="6407" width="3.75" style="1" customWidth="1"/>
    <col min="6408" max="6409" width="5" style="1" customWidth="1"/>
    <col min="6410" max="6411" width="3.75" style="1" customWidth="1"/>
    <col min="6412" max="6413" width="5" style="1" customWidth="1"/>
    <col min="6414" max="6415" width="3.75" style="1" customWidth="1"/>
    <col min="6416" max="6417" width="5" style="1" customWidth="1"/>
    <col min="6418" max="6419" width="3.75" style="1" customWidth="1"/>
    <col min="6420" max="6421" width="5" style="1" customWidth="1"/>
    <col min="6422" max="6423" width="3.75" style="1" customWidth="1"/>
    <col min="6424" max="6424" width="3.5" style="1" customWidth="1"/>
    <col min="6425" max="6655" width="9" style="1"/>
    <col min="6656" max="6656" width="5" style="1" customWidth="1"/>
    <col min="6657" max="6657" width="20.5" style="1" customWidth="1"/>
    <col min="6658" max="6658" width="2.375" style="1" customWidth="1"/>
    <col min="6659" max="6659" width="3.75" style="1" customWidth="1"/>
    <col min="6660" max="6661" width="5" style="1" customWidth="1"/>
    <col min="6662" max="6663" width="3.75" style="1" customWidth="1"/>
    <col min="6664" max="6665" width="5" style="1" customWidth="1"/>
    <col min="6666" max="6667" width="3.75" style="1" customWidth="1"/>
    <col min="6668" max="6669" width="5" style="1" customWidth="1"/>
    <col min="6670" max="6671" width="3.75" style="1" customWidth="1"/>
    <col min="6672" max="6673" width="5" style="1" customWidth="1"/>
    <col min="6674" max="6675" width="3.75" style="1" customWidth="1"/>
    <col min="6676" max="6677" width="5" style="1" customWidth="1"/>
    <col min="6678" max="6679" width="3.75" style="1" customWidth="1"/>
    <col min="6680" max="6680" width="3.5" style="1" customWidth="1"/>
    <col min="6681" max="6911" width="9" style="1"/>
    <col min="6912" max="6912" width="5" style="1" customWidth="1"/>
    <col min="6913" max="6913" width="20.5" style="1" customWidth="1"/>
    <col min="6914" max="6914" width="2.375" style="1" customWidth="1"/>
    <col min="6915" max="6915" width="3.75" style="1" customWidth="1"/>
    <col min="6916" max="6917" width="5" style="1" customWidth="1"/>
    <col min="6918" max="6919" width="3.75" style="1" customWidth="1"/>
    <col min="6920" max="6921" width="5" style="1" customWidth="1"/>
    <col min="6922" max="6923" width="3.75" style="1" customWidth="1"/>
    <col min="6924" max="6925" width="5" style="1" customWidth="1"/>
    <col min="6926" max="6927" width="3.75" style="1" customWidth="1"/>
    <col min="6928" max="6929" width="5" style="1" customWidth="1"/>
    <col min="6930" max="6931" width="3.75" style="1" customWidth="1"/>
    <col min="6932" max="6933" width="5" style="1" customWidth="1"/>
    <col min="6934" max="6935" width="3.75" style="1" customWidth="1"/>
    <col min="6936" max="6936" width="3.5" style="1" customWidth="1"/>
    <col min="6937" max="7167" width="9" style="1"/>
    <col min="7168" max="7168" width="5" style="1" customWidth="1"/>
    <col min="7169" max="7169" width="20.5" style="1" customWidth="1"/>
    <col min="7170" max="7170" width="2.375" style="1" customWidth="1"/>
    <col min="7171" max="7171" width="3.75" style="1" customWidth="1"/>
    <col min="7172" max="7173" width="5" style="1" customWidth="1"/>
    <col min="7174" max="7175" width="3.75" style="1" customWidth="1"/>
    <col min="7176" max="7177" width="5" style="1" customWidth="1"/>
    <col min="7178" max="7179" width="3.75" style="1" customWidth="1"/>
    <col min="7180" max="7181" width="5" style="1" customWidth="1"/>
    <col min="7182" max="7183" width="3.75" style="1" customWidth="1"/>
    <col min="7184" max="7185" width="5" style="1" customWidth="1"/>
    <col min="7186" max="7187" width="3.75" style="1" customWidth="1"/>
    <col min="7188" max="7189" width="5" style="1" customWidth="1"/>
    <col min="7190" max="7191" width="3.75" style="1" customWidth="1"/>
    <col min="7192" max="7192" width="3.5" style="1" customWidth="1"/>
    <col min="7193" max="7423" width="9" style="1"/>
    <col min="7424" max="7424" width="5" style="1" customWidth="1"/>
    <col min="7425" max="7425" width="20.5" style="1" customWidth="1"/>
    <col min="7426" max="7426" width="2.375" style="1" customWidth="1"/>
    <col min="7427" max="7427" width="3.75" style="1" customWidth="1"/>
    <col min="7428" max="7429" width="5" style="1" customWidth="1"/>
    <col min="7430" max="7431" width="3.75" style="1" customWidth="1"/>
    <col min="7432" max="7433" width="5" style="1" customWidth="1"/>
    <col min="7434" max="7435" width="3.75" style="1" customWidth="1"/>
    <col min="7436" max="7437" width="5" style="1" customWidth="1"/>
    <col min="7438" max="7439" width="3.75" style="1" customWidth="1"/>
    <col min="7440" max="7441" width="5" style="1" customWidth="1"/>
    <col min="7442" max="7443" width="3.75" style="1" customWidth="1"/>
    <col min="7444" max="7445" width="5" style="1" customWidth="1"/>
    <col min="7446" max="7447" width="3.75" style="1" customWidth="1"/>
    <col min="7448" max="7448" width="3.5" style="1" customWidth="1"/>
    <col min="7449" max="7679" width="9" style="1"/>
    <col min="7680" max="7680" width="5" style="1" customWidth="1"/>
    <col min="7681" max="7681" width="20.5" style="1" customWidth="1"/>
    <col min="7682" max="7682" width="2.375" style="1" customWidth="1"/>
    <col min="7683" max="7683" width="3.75" style="1" customWidth="1"/>
    <col min="7684" max="7685" width="5" style="1" customWidth="1"/>
    <col min="7686" max="7687" width="3.75" style="1" customWidth="1"/>
    <col min="7688" max="7689" width="5" style="1" customWidth="1"/>
    <col min="7690" max="7691" width="3.75" style="1" customWidth="1"/>
    <col min="7692" max="7693" width="5" style="1" customWidth="1"/>
    <col min="7694" max="7695" width="3.75" style="1" customWidth="1"/>
    <col min="7696" max="7697" width="5" style="1" customWidth="1"/>
    <col min="7698" max="7699" width="3.75" style="1" customWidth="1"/>
    <col min="7700" max="7701" width="5" style="1" customWidth="1"/>
    <col min="7702" max="7703" width="3.75" style="1" customWidth="1"/>
    <col min="7704" max="7704" width="3.5" style="1" customWidth="1"/>
    <col min="7705" max="7935" width="9" style="1"/>
    <col min="7936" max="7936" width="5" style="1" customWidth="1"/>
    <col min="7937" max="7937" width="20.5" style="1" customWidth="1"/>
    <col min="7938" max="7938" width="2.375" style="1" customWidth="1"/>
    <col min="7939" max="7939" width="3.75" style="1" customWidth="1"/>
    <col min="7940" max="7941" width="5" style="1" customWidth="1"/>
    <col min="7942" max="7943" width="3.75" style="1" customWidth="1"/>
    <col min="7944" max="7945" width="5" style="1" customWidth="1"/>
    <col min="7946" max="7947" width="3.75" style="1" customWidth="1"/>
    <col min="7948" max="7949" width="5" style="1" customWidth="1"/>
    <col min="7950" max="7951" width="3.75" style="1" customWidth="1"/>
    <col min="7952" max="7953" width="5" style="1" customWidth="1"/>
    <col min="7954" max="7955" width="3.75" style="1" customWidth="1"/>
    <col min="7956" max="7957" width="5" style="1" customWidth="1"/>
    <col min="7958" max="7959" width="3.75" style="1" customWidth="1"/>
    <col min="7960" max="7960" width="3.5" style="1" customWidth="1"/>
    <col min="7961" max="8191" width="9" style="1"/>
    <col min="8192" max="8192" width="5" style="1" customWidth="1"/>
    <col min="8193" max="8193" width="20.5" style="1" customWidth="1"/>
    <col min="8194" max="8194" width="2.375" style="1" customWidth="1"/>
    <col min="8195" max="8195" width="3.75" style="1" customWidth="1"/>
    <col min="8196" max="8197" width="5" style="1" customWidth="1"/>
    <col min="8198" max="8199" width="3.75" style="1" customWidth="1"/>
    <col min="8200" max="8201" width="5" style="1" customWidth="1"/>
    <col min="8202" max="8203" width="3.75" style="1" customWidth="1"/>
    <col min="8204" max="8205" width="5" style="1" customWidth="1"/>
    <col min="8206" max="8207" width="3.75" style="1" customWidth="1"/>
    <col min="8208" max="8209" width="5" style="1" customWidth="1"/>
    <col min="8210" max="8211" width="3.75" style="1" customWidth="1"/>
    <col min="8212" max="8213" width="5" style="1" customWidth="1"/>
    <col min="8214" max="8215" width="3.75" style="1" customWidth="1"/>
    <col min="8216" max="8216" width="3.5" style="1" customWidth="1"/>
    <col min="8217" max="8447" width="9" style="1"/>
    <col min="8448" max="8448" width="5" style="1" customWidth="1"/>
    <col min="8449" max="8449" width="20.5" style="1" customWidth="1"/>
    <col min="8450" max="8450" width="2.375" style="1" customWidth="1"/>
    <col min="8451" max="8451" width="3.75" style="1" customWidth="1"/>
    <col min="8452" max="8453" width="5" style="1" customWidth="1"/>
    <col min="8454" max="8455" width="3.75" style="1" customWidth="1"/>
    <col min="8456" max="8457" width="5" style="1" customWidth="1"/>
    <col min="8458" max="8459" width="3.75" style="1" customWidth="1"/>
    <col min="8460" max="8461" width="5" style="1" customWidth="1"/>
    <col min="8462" max="8463" width="3.75" style="1" customWidth="1"/>
    <col min="8464" max="8465" width="5" style="1" customWidth="1"/>
    <col min="8466" max="8467" width="3.75" style="1" customWidth="1"/>
    <col min="8468" max="8469" width="5" style="1" customWidth="1"/>
    <col min="8470" max="8471" width="3.75" style="1" customWidth="1"/>
    <col min="8472" max="8472" width="3.5" style="1" customWidth="1"/>
    <col min="8473" max="8703" width="9" style="1"/>
    <col min="8704" max="8704" width="5" style="1" customWidth="1"/>
    <col min="8705" max="8705" width="20.5" style="1" customWidth="1"/>
    <col min="8706" max="8706" width="2.375" style="1" customWidth="1"/>
    <col min="8707" max="8707" width="3.75" style="1" customWidth="1"/>
    <col min="8708" max="8709" width="5" style="1" customWidth="1"/>
    <col min="8710" max="8711" width="3.75" style="1" customWidth="1"/>
    <col min="8712" max="8713" width="5" style="1" customWidth="1"/>
    <col min="8714" max="8715" width="3.75" style="1" customWidth="1"/>
    <col min="8716" max="8717" width="5" style="1" customWidth="1"/>
    <col min="8718" max="8719" width="3.75" style="1" customWidth="1"/>
    <col min="8720" max="8721" width="5" style="1" customWidth="1"/>
    <col min="8722" max="8723" width="3.75" style="1" customWidth="1"/>
    <col min="8724" max="8725" width="5" style="1" customWidth="1"/>
    <col min="8726" max="8727" width="3.75" style="1" customWidth="1"/>
    <col min="8728" max="8728" width="3.5" style="1" customWidth="1"/>
    <col min="8729" max="8959" width="9" style="1"/>
    <col min="8960" max="8960" width="5" style="1" customWidth="1"/>
    <col min="8961" max="8961" width="20.5" style="1" customWidth="1"/>
    <col min="8962" max="8962" width="2.375" style="1" customWidth="1"/>
    <col min="8963" max="8963" width="3.75" style="1" customWidth="1"/>
    <col min="8964" max="8965" width="5" style="1" customWidth="1"/>
    <col min="8966" max="8967" width="3.75" style="1" customWidth="1"/>
    <col min="8968" max="8969" width="5" style="1" customWidth="1"/>
    <col min="8970" max="8971" width="3.75" style="1" customWidth="1"/>
    <col min="8972" max="8973" width="5" style="1" customWidth="1"/>
    <col min="8974" max="8975" width="3.75" style="1" customWidth="1"/>
    <col min="8976" max="8977" width="5" style="1" customWidth="1"/>
    <col min="8978" max="8979" width="3.75" style="1" customWidth="1"/>
    <col min="8980" max="8981" width="5" style="1" customWidth="1"/>
    <col min="8982" max="8983" width="3.75" style="1" customWidth="1"/>
    <col min="8984" max="8984" width="3.5" style="1" customWidth="1"/>
    <col min="8985" max="9215" width="9" style="1"/>
    <col min="9216" max="9216" width="5" style="1" customWidth="1"/>
    <col min="9217" max="9217" width="20.5" style="1" customWidth="1"/>
    <col min="9218" max="9218" width="2.375" style="1" customWidth="1"/>
    <col min="9219" max="9219" width="3.75" style="1" customWidth="1"/>
    <col min="9220" max="9221" width="5" style="1" customWidth="1"/>
    <col min="9222" max="9223" width="3.75" style="1" customWidth="1"/>
    <col min="9224" max="9225" width="5" style="1" customWidth="1"/>
    <col min="9226" max="9227" width="3.75" style="1" customWidth="1"/>
    <col min="9228" max="9229" width="5" style="1" customWidth="1"/>
    <col min="9230" max="9231" width="3.75" style="1" customWidth="1"/>
    <col min="9232" max="9233" width="5" style="1" customWidth="1"/>
    <col min="9234" max="9235" width="3.75" style="1" customWidth="1"/>
    <col min="9236" max="9237" width="5" style="1" customWidth="1"/>
    <col min="9238" max="9239" width="3.75" style="1" customWidth="1"/>
    <col min="9240" max="9240" width="3.5" style="1" customWidth="1"/>
    <col min="9241" max="9471" width="9" style="1"/>
    <col min="9472" max="9472" width="5" style="1" customWidth="1"/>
    <col min="9473" max="9473" width="20.5" style="1" customWidth="1"/>
    <col min="9474" max="9474" width="2.375" style="1" customWidth="1"/>
    <col min="9475" max="9475" width="3.75" style="1" customWidth="1"/>
    <col min="9476" max="9477" width="5" style="1" customWidth="1"/>
    <col min="9478" max="9479" width="3.75" style="1" customWidth="1"/>
    <col min="9480" max="9481" width="5" style="1" customWidth="1"/>
    <col min="9482" max="9483" width="3.75" style="1" customWidth="1"/>
    <col min="9484" max="9485" width="5" style="1" customWidth="1"/>
    <col min="9486" max="9487" width="3.75" style="1" customWidth="1"/>
    <col min="9488" max="9489" width="5" style="1" customWidth="1"/>
    <col min="9490" max="9491" width="3.75" style="1" customWidth="1"/>
    <col min="9492" max="9493" width="5" style="1" customWidth="1"/>
    <col min="9494" max="9495" width="3.75" style="1" customWidth="1"/>
    <col min="9496" max="9496" width="3.5" style="1" customWidth="1"/>
    <col min="9497" max="9727" width="9" style="1"/>
    <col min="9728" max="9728" width="5" style="1" customWidth="1"/>
    <col min="9729" max="9729" width="20.5" style="1" customWidth="1"/>
    <col min="9730" max="9730" width="2.375" style="1" customWidth="1"/>
    <col min="9731" max="9731" width="3.75" style="1" customWidth="1"/>
    <col min="9732" max="9733" width="5" style="1" customWidth="1"/>
    <col min="9734" max="9735" width="3.75" style="1" customWidth="1"/>
    <col min="9736" max="9737" width="5" style="1" customWidth="1"/>
    <col min="9738" max="9739" width="3.75" style="1" customWidth="1"/>
    <col min="9740" max="9741" width="5" style="1" customWidth="1"/>
    <col min="9742" max="9743" width="3.75" style="1" customWidth="1"/>
    <col min="9744" max="9745" width="5" style="1" customWidth="1"/>
    <col min="9746" max="9747" width="3.75" style="1" customWidth="1"/>
    <col min="9748" max="9749" width="5" style="1" customWidth="1"/>
    <col min="9750" max="9751" width="3.75" style="1" customWidth="1"/>
    <col min="9752" max="9752" width="3.5" style="1" customWidth="1"/>
    <col min="9753" max="9983" width="9" style="1"/>
    <col min="9984" max="9984" width="5" style="1" customWidth="1"/>
    <col min="9985" max="9985" width="20.5" style="1" customWidth="1"/>
    <col min="9986" max="9986" width="2.375" style="1" customWidth="1"/>
    <col min="9987" max="9987" width="3.75" style="1" customWidth="1"/>
    <col min="9988" max="9989" width="5" style="1" customWidth="1"/>
    <col min="9990" max="9991" width="3.75" style="1" customWidth="1"/>
    <col min="9992" max="9993" width="5" style="1" customWidth="1"/>
    <col min="9994" max="9995" width="3.75" style="1" customWidth="1"/>
    <col min="9996" max="9997" width="5" style="1" customWidth="1"/>
    <col min="9998" max="9999" width="3.75" style="1" customWidth="1"/>
    <col min="10000" max="10001" width="5" style="1" customWidth="1"/>
    <col min="10002" max="10003" width="3.75" style="1" customWidth="1"/>
    <col min="10004" max="10005" width="5" style="1" customWidth="1"/>
    <col min="10006" max="10007" width="3.75" style="1" customWidth="1"/>
    <col min="10008" max="10008" width="3.5" style="1" customWidth="1"/>
    <col min="10009" max="10239" width="9" style="1"/>
    <col min="10240" max="10240" width="5" style="1" customWidth="1"/>
    <col min="10241" max="10241" width="20.5" style="1" customWidth="1"/>
    <col min="10242" max="10242" width="2.375" style="1" customWidth="1"/>
    <col min="10243" max="10243" width="3.75" style="1" customWidth="1"/>
    <col min="10244" max="10245" width="5" style="1" customWidth="1"/>
    <col min="10246" max="10247" width="3.75" style="1" customWidth="1"/>
    <col min="10248" max="10249" width="5" style="1" customWidth="1"/>
    <col min="10250" max="10251" width="3.75" style="1" customWidth="1"/>
    <col min="10252" max="10253" width="5" style="1" customWidth="1"/>
    <col min="10254" max="10255" width="3.75" style="1" customWidth="1"/>
    <col min="10256" max="10257" width="5" style="1" customWidth="1"/>
    <col min="10258" max="10259" width="3.75" style="1" customWidth="1"/>
    <col min="10260" max="10261" width="5" style="1" customWidth="1"/>
    <col min="10262" max="10263" width="3.75" style="1" customWidth="1"/>
    <col min="10264" max="10264" width="3.5" style="1" customWidth="1"/>
    <col min="10265" max="10495" width="9" style="1"/>
    <col min="10496" max="10496" width="5" style="1" customWidth="1"/>
    <col min="10497" max="10497" width="20.5" style="1" customWidth="1"/>
    <col min="10498" max="10498" width="2.375" style="1" customWidth="1"/>
    <col min="10499" max="10499" width="3.75" style="1" customWidth="1"/>
    <col min="10500" max="10501" width="5" style="1" customWidth="1"/>
    <col min="10502" max="10503" width="3.75" style="1" customWidth="1"/>
    <col min="10504" max="10505" width="5" style="1" customWidth="1"/>
    <col min="10506" max="10507" width="3.75" style="1" customWidth="1"/>
    <col min="10508" max="10509" width="5" style="1" customWidth="1"/>
    <col min="10510" max="10511" width="3.75" style="1" customWidth="1"/>
    <col min="10512" max="10513" width="5" style="1" customWidth="1"/>
    <col min="10514" max="10515" width="3.75" style="1" customWidth="1"/>
    <col min="10516" max="10517" width="5" style="1" customWidth="1"/>
    <col min="10518" max="10519" width="3.75" style="1" customWidth="1"/>
    <col min="10520" max="10520" width="3.5" style="1" customWidth="1"/>
    <col min="10521" max="10751" width="9" style="1"/>
    <col min="10752" max="10752" width="5" style="1" customWidth="1"/>
    <col min="10753" max="10753" width="20.5" style="1" customWidth="1"/>
    <col min="10754" max="10754" width="2.375" style="1" customWidth="1"/>
    <col min="10755" max="10755" width="3.75" style="1" customWidth="1"/>
    <col min="10756" max="10757" width="5" style="1" customWidth="1"/>
    <col min="10758" max="10759" width="3.75" style="1" customWidth="1"/>
    <col min="10760" max="10761" width="5" style="1" customWidth="1"/>
    <col min="10762" max="10763" width="3.75" style="1" customWidth="1"/>
    <col min="10764" max="10765" width="5" style="1" customWidth="1"/>
    <col min="10766" max="10767" width="3.75" style="1" customWidth="1"/>
    <col min="10768" max="10769" width="5" style="1" customWidth="1"/>
    <col min="10770" max="10771" width="3.75" style="1" customWidth="1"/>
    <col min="10772" max="10773" width="5" style="1" customWidth="1"/>
    <col min="10774" max="10775" width="3.75" style="1" customWidth="1"/>
    <col min="10776" max="10776" width="3.5" style="1" customWidth="1"/>
    <col min="10777" max="11007" width="9" style="1"/>
    <col min="11008" max="11008" width="5" style="1" customWidth="1"/>
    <col min="11009" max="11009" width="20.5" style="1" customWidth="1"/>
    <col min="11010" max="11010" width="2.375" style="1" customWidth="1"/>
    <col min="11011" max="11011" width="3.75" style="1" customWidth="1"/>
    <col min="11012" max="11013" width="5" style="1" customWidth="1"/>
    <col min="11014" max="11015" width="3.75" style="1" customWidth="1"/>
    <col min="11016" max="11017" width="5" style="1" customWidth="1"/>
    <col min="11018" max="11019" width="3.75" style="1" customWidth="1"/>
    <col min="11020" max="11021" width="5" style="1" customWidth="1"/>
    <col min="11022" max="11023" width="3.75" style="1" customWidth="1"/>
    <col min="11024" max="11025" width="5" style="1" customWidth="1"/>
    <col min="11026" max="11027" width="3.75" style="1" customWidth="1"/>
    <col min="11028" max="11029" width="5" style="1" customWidth="1"/>
    <col min="11030" max="11031" width="3.75" style="1" customWidth="1"/>
    <col min="11032" max="11032" width="3.5" style="1" customWidth="1"/>
    <col min="11033" max="11263" width="9" style="1"/>
    <col min="11264" max="11264" width="5" style="1" customWidth="1"/>
    <col min="11265" max="11265" width="20.5" style="1" customWidth="1"/>
    <col min="11266" max="11266" width="2.375" style="1" customWidth="1"/>
    <col min="11267" max="11267" width="3.75" style="1" customWidth="1"/>
    <col min="11268" max="11269" width="5" style="1" customWidth="1"/>
    <col min="11270" max="11271" width="3.75" style="1" customWidth="1"/>
    <col min="11272" max="11273" width="5" style="1" customWidth="1"/>
    <col min="11274" max="11275" width="3.75" style="1" customWidth="1"/>
    <col min="11276" max="11277" width="5" style="1" customWidth="1"/>
    <col min="11278" max="11279" width="3.75" style="1" customWidth="1"/>
    <col min="11280" max="11281" width="5" style="1" customWidth="1"/>
    <col min="11282" max="11283" width="3.75" style="1" customWidth="1"/>
    <col min="11284" max="11285" width="5" style="1" customWidth="1"/>
    <col min="11286" max="11287" width="3.75" style="1" customWidth="1"/>
    <col min="11288" max="11288" width="3.5" style="1" customWidth="1"/>
    <col min="11289" max="11519" width="9" style="1"/>
    <col min="11520" max="11520" width="5" style="1" customWidth="1"/>
    <col min="11521" max="11521" width="20.5" style="1" customWidth="1"/>
    <col min="11522" max="11522" width="2.375" style="1" customWidth="1"/>
    <col min="11523" max="11523" width="3.75" style="1" customWidth="1"/>
    <col min="11524" max="11525" width="5" style="1" customWidth="1"/>
    <col min="11526" max="11527" width="3.75" style="1" customWidth="1"/>
    <col min="11528" max="11529" width="5" style="1" customWidth="1"/>
    <col min="11530" max="11531" width="3.75" style="1" customWidth="1"/>
    <col min="11532" max="11533" width="5" style="1" customWidth="1"/>
    <col min="11534" max="11535" width="3.75" style="1" customWidth="1"/>
    <col min="11536" max="11537" width="5" style="1" customWidth="1"/>
    <col min="11538" max="11539" width="3.75" style="1" customWidth="1"/>
    <col min="11540" max="11541" width="5" style="1" customWidth="1"/>
    <col min="11542" max="11543" width="3.75" style="1" customWidth="1"/>
    <col min="11544" max="11544" width="3.5" style="1" customWidth="1"/>
    <col min="11545" max="11775" width="9" style="1"/>
    <col min="11776" max="11776" width="5" style="1" customWidth="1"/>
    <col min="11777" max="11777" width="20.5" style="1" customWidth="1"/>
    <col min="11778" max="11778" width="2.375" style="1" customWidth="1"/>
    <col min="11779" max="11779" width="3.75" style="1" customWidth="1"/>
    <col min="11780" max="11781" width="5" style="1" customWidth="1"/>
    <col min="11782" max="11783" width="3.75" style="1" customWidth="1"/>
    <col min="11784" max="11785" width="5" style="1" customWidth="1"/>
    <col min="11786" max="11787" width="3.75" style="1" customWidth="1"/>
    <col min="11788" max="11789" width="5" style="1" customWidth="1"/>
    <col min="11790" max="11791" width="3.75" style="1" customWidth="1"/>
    <col min="11792" max="11793" width="5" style="1" customWidth="1"/>
    <col min="11794" max="11795" width="3.75" style="1" customWidth="1"/>
    <col min="11796" max="11797" width="5" style="1" customWidth="1"/>
    <col min="11798" max="11799" width="3.75" style="1" customWidth="1"/>
    <col min="11800" max="11800" width="3.5" style="1" customWidth="1"/>
    <col min="11801" max="12031" width="9" style="1"/>
    <col min="12032" max="12032" width="5" style="1" customWidth="1"/>
    <col min="12033" max="12033" width="20.5" style="1" customWidth="1"/>
    <col min="12034" max="12034" width="2.375" style="1" customWidth="1"/>
    <col min="12035" max="12035" width="3.75" style="1" customWidth="1"/>
    <col min="12036" max="12037" width="5" style="1" customWidth="1"/>
    <col min="12038" max="12039" width="3.75" style="1" customWidth="1"/>
    <col min="12040" max="12041" width="5" style="1" customWidth="1"/>
    <col min="12042" max="12043" width="3.75" style="1" customWidth="1"/>
    <col min="12044" max="12045" width="5" style="1" customWidth="1"/>
    <col min="12046" max="12047" width="3.75" style="1" customWidth="1"/>
    <col min="12048" max="12049" width="5" style="1" customWidth="1"/>
    <col min="12050" max="12051" width="3.75" style="1" customWidth="1"/>
    <col min="12052" max="12053" width="5" style="1" customWidth="1"/>
    <col min="12054" max="12055" width="3.75" style="1" customWidth="1"/>
    <col min="12056" max="12056" width="3.5" style="1" customWidth="1"/>
    <col min="12057" max="12287" width="9" style="1"/>
    <col min="12288" max="12288" width="5" style="1" customWidth="1"/>
    <col min="12289" max="12289" width="20.5" style="1" customWidth="1"/>
    <col min="12290" max="12290" width="2.375" style="1" customWidth="1"/>
    <col min="12291" max="12291" width="3.75" style="1" customWidth="1"/>
    <col min="12292" max="12293" width="5" style="1" customWidth="1"/>
    <col min="12294" max="12295" width="3.75" style="1" customWidth="1"/>
    <col min="12296" max="12297" width="5" style="1" customWidth="1"/>
    <col min="12298" max="12299" width="3.75" style="1" customWidth="1"/>
    <col min="12300" max="12301" width="5" style="1" customWidth="1"/>
    <col min="12302" max="12303" width="3.75" style="1" customWidth="1"/>
    <col min="12304" max="12305" width="5" style="1" customWidth="1"/>
    <col min="12306" max="12307" width="3.75" style="1" customWidth="1"/>
    <col min="12308" max="12309" width="5" style="1" customWidth="1"/>
    <col min="12310" max="12311" width="3.75" style="1" customWidth="1"/>
    <col min="12312" max="12312" width="3.5" style="1" customWidth="1"/>
    <col min="12313" max="12543" width="9" style="1"/>
    <col min="12544" max="12544" width="5" style="1" customWidth="1"/>
    <col min="12545" max="12545" width="20.5" style="1" customWidth="1"/>
    <col min="12546" max="12546" width="2.375" style="1" customWidth="1"/>
    <col min="12547" max="12547" width="3.75" style="1" customWidth="1"/>
    <col min="12548" max="12549" width="5" style="1" customWidth="1"/>
    <col min="12550" max="12551" width="3.75" style="1" customWidth="1"/>
    <col min="12552" max="12553" width="5" style="1" customWidth="1"/>
    <col min="12554" max="12555" width="3.75" style="1" customWidth="1"/>
    <col min="12556" max="12557" width="5" style="1" customWidth="1"/>
    <col min="12558" max="12559" width="3.75" style="1" customWidth="1"/>
    <col min="12560" max="12561" width="5" style="1" customWidth="1"/>
    <col min="12562" max="12563" width="3.75" style="1" customWidth="1"/>
    <col min="12564" max="12565" width="5" style="1" customWidth="1"/>
    <col min="12566" max="12567" width="3.75" style="1" customWidth="1"/>
    <col min="12568" max="12568" width="3.5" style="1" customWidth="1"/>
    <col min="12569" max="12799" width="9" style="1"/>
    <col min="12800" max="12800" width="5" style="1" customWidth="1"/>
    <col min="12801" max="12801" width="20.5" style="1" customWidth="1"/>
    <col min="12802" max="12802" width="2.375" style="1" customWidth="1"/>
    <col min="12803" max="12803" width="3.75" style="1" customWidth="1"/>
    <col min="12804" max="12805" width="5" style="1" customWidth="1"/>
    <col min="12806" max="12807" width="3.75" style="1" customWidth="1"/>
    <col min="12808" max="12809" width="5" style="1" customWidth="1"/>
    <col min="12810" max="12811" width="3.75" style="1" customWidth="1"/>
    <col min="12812" max="12813" width="5" style="1" customWidth="1"/>
    <col min="12814" max="12815" width="3.75" style="1" customWidth="1"/>
    <col min="12816" max="12817" width="5" style="1" customWidth="1"/>
    <col min="12818" max="12819" width="3.75" style="1" customWidth="1"/>
    <col min="12820" max="12821" width="5" style="1" customWidth="1"/>
    <col min="12822" max="12823" width="3.75" style="1" customWidth="1"/>
    <col min="12824" max="12824" width="3.5" style="1" customWidth="1"/>
    <col min="12825" max="13055" width="9" style="1"/>
    <col min="13056" max="13056" width="5" style="1" customWidth="1"/>
    <col min="13057" max="13057" width="20.5" style="1" customWidth="1"/>
    <col min="13058" max="13058" width="2.375" style="1" customWidth="1"/>
    <col min="13059" max="13059" width="3.75" style="1" customWidth="1"/>
    <col min="13060" max="13061" width="5" style="1" customWidth="1"/>
    <col min="13062" max="13063" width="3.75" style="1" customWidth="1"/>
    <col min="13064" max="13065" width="5" style="1" customWidth="1"/>
    <col min="13066" max="13067" width="3.75" style="1" customWidth="1"/>
    <col min="13068" max="13069" width="5" style="1" customWidth="1"/>
    <col min="13070" max="13071" width="3.75" style="1" customWidth="1"/>
    <col min="13072" max="13073" width="5" style="1" customWidth="1"/>
    <col min="13074" max="13075" width="3.75" style="1" customWidth="1"/>
    <col min="13076" max="13077" width="5" style="1" customWidth="1"/>
    <col min="13078" max="13079" width="3.75" style="1" customWidth="1"/>
    <col min="13080" max="13080" width="3.5" style="1" customWidth="1"/>
    <col min="13081" max="13311" width="9" style="1"/>
    <col min="13312" max="13312" width="5" style="1" customWidth="1"/>
    <col min="13313" max="13313" width="20.5" style="1" customWidth="1"/>
    <col min="13314" max="13314" width="2.375" style="1" customWidth="1"/>
    <col min="13315" max="13315" width="3.75" style="1" customWidth="1"/>
    <col min="13316" max="13317" width="5" style="1" customWidth="1"/>
    <col min="13318" max="13319" width="3.75" style="1" customWidth="1"/>
    <col min="13320" max="13321" width="5" style="1" customWidth="1"/>
    <col min="13322" max="13323" width="3.75" style="1" customWidth="1"/>
    <col min="13324" max="13325" width="5" style="1" customWidth="1"/>
    <col min="13326" max="13327" width="3.75" style="1" customWidth="1"/>
    <col min="13328" max="13329" width="5" style="1" customWidth="1"/>
    <col min="13330" max="13331" width="3.75" style="1" customWidth="1"/>
    <col min="13332" max="13333" width="5" style="1" customWidth="1"/>
    <col min="13334" max="13335" width="3.75" style="1" customWidth="1"/>
    <col min="13336" max="13336" width="3.5" style="1" customWidth="1"/>
    <col min="13337" max="13567" width="9" style="1"/>
    <col min="13568" max="13568" width="5" style="1" customWidth="1"/>
    <col min="13569" max="13569" width="20.5" style="1" customWidth="1"/>
    <col min="13570" max="13570" width="2.375" style="1" customWidth="1"/>
    <col min="13571" max="13571" width="3.75" style="1" customWidth="1"/>
    <col min="13572" max="13573" width="5" style="1" customWidth="1"/>
    <col min="13574" max="13575" width="3.75" style="1" customWidth="1"/>
    <col min="13576" max="13577" width="5" style="1" customWidth="1"/>
    <col min="13578" max="13579" width="3.75" style="1" customWidth="1"/>
    <col min="13580" max="13581" width="5" style="1" customWidth="1"/>
    <col min="13582" max="13583" width="3.75" style="1" customWidth="1"/>
    <col min="13584" max="13585" width="5" style="1" customWidth="1"/>
    <col min="13586" max="13587" width="3.75" style="1" customWidth="1"/>
    <col min="13588" max="13589" width="5" style="1" customWidth="1"/>
    <col min="13590" max="13591" width="3.75" style="1" customWidth="1"/>
    <col min="13592" max="13592" width="3.5" style="1" customWidth="1"/>
    <col min="13593" max="13823" width="9" style="1"/>
    <col min="13824" max="13824" width="5" style="1" customWidth="1"/>
    <col min="13825" max="13825" width="20.5" style="1" customWidth="1"/>
    <col min="13826" max="13826" width="2.375" style="1" customWidth="1"/>
    <col min="13827" max="13827" width="3.75" style="1" customWidth="1"/>
    <col min="13828" max="13829" width="5" style="1" customWidth="1"/>
    <col min="13830" max="13831" width="3.75" style="1" customWidth="1"/>
    <col min="13832" max="13833" width="5" style="1" customWidth="1"/>
    <col min="13834" max="13835" width="3.75" style="1" customWidth="1"/>
    <col min="13836" max="13837" width="5" style="1" customWidth="1"/>
    <col min="13838" max="13839" width="3.75" style="1" customWidth="1"/>
    <col min="13840" max="13841" width="5" style="1" customWidth="1"/>
    <col min="13842" max="13843" width="3.75" style="1" customWidth="1"/>
    <col min="13844" max="13845" width="5" style="1" customWidth="1"/>
    <col min="13846" max="13847" width="3.75" style="1" customWidth="1"/>
    <col min="13848" max="13848" width="3.5" style="1" customWidth="1"/>
    <col min="13849" max="14079" width="9" style="1"/>
    <col min="14080" max="14080" width="5" style="1" customWidth="1"/>
    <col min="14081" max="14081" width="20.5" style="1" customWidth="1"/>
    <col min="14082" max="14082" width="2.375" style="1" customWidth="1"/>
    <col min="14083" max="14083" width="3.75" style="1" customWidth="1"/>
    <col min="14084" max="14085" width="5" style="1" customWidth="1"/>
    <col min="14086" max="14087" width="3.75" style="1" customWidth="1"/>
    <col min="14088" max="14089" width="5" style="1" customWidth="1"/>
    <col min="14090" max="14091" width="3.75" style="1" customWidth="1"/>
    <col min="14092" max="14093" width="5" style="1" customWidth="1"/>
    <col min="14094" max="14095" width="3.75" style="1" customWidth="1"/>
    <col min="14096" max="14097" width="5" style="1" customWidth="1"/>
    <col min="14098" max="14099" width="3.75" style="1" customWidth="1"/>
    <col min="14100" max="14101" width="5" style="1" customWidth="1"/>
    <col min="14102" max="14103" width="3.75" style="1" customWidth="1"/>
    <col min="14104" max="14104" width="3.5" style="1" customWidth="1"/>
    <col min="14105" max="14335" width="9" style="1"/>
    <col min="14336" max="14336" width="5" style="1" customWidth="1"/>
    <col min="14337" max="14337" width="20.5" style="1" customWidth="1"/>
    <col min="14338" max="14338" width="2.375" style="1" customWidth="1"/>
    <col min="14339" max="14339" width="3.75" style="1" customWidth="1"/>
    <col min="14340" max="14341" width="5" style="1" customWidth="1"/>
    <col min="14342" max="14343" width="3.75" style="1" customWidth="1"/>
    <col min="14344" max="14345" width="5" style="1" customWidth="1"/>
    <col min="14346" max="14347" width="3.75" style="1" customWidth="1"/>
    <col min="14348" max="14349" width="5" style="1" customWidth="1"/>
    <col min="14350" max="14351" width="3.75" style="1" customWidth="1"/>
    <col min="14352" max="14353" width="5" style="1" customWidth="1"/>
    <col min="14354" max="14355" width="3.75" style="1" customWidth="1"/>
    <col min="14356" max="14357" width="5" style="1" customWidth="1"/>
    <col min="14358" max="14359" width="3.75" style="1" customWidth="1"/>
    <col min="14360" max="14360" width="3.5" style="1" customWidth="1"/>
    <col min="14361" max="14591" width="9" style="1"/>
    <col min="14592" max="14592" width="5" style="1" customWidth="1"/>
    <col min="14593" max="14593" width="20.5" style="1" customWidth="1"/>
    <col min="14594" max="14594" width="2.375" style="1" customWidth="1"/>
    <col min="14595" max="14595" width="3.75" style="1" customWidth="1"/>
    <col min="14596" max="14597" width="5" style="1" customWidth="1"/>
    <col min="14598" max="14599" width="3.75" style="1" customWidth="1"/>
    <col min="14600" max="14601" width="5" style="1" customWidth="1"/>
    <col min="14602" max="14603" width="3.75" style="1" customWidth="1"/>
    <col min="14604" max="14605" width="5" style="1" customWidth="1"/>
    <col min="14606" max="14607" width="3.75" style="1" customWidth="1"/>
    <col min="14608" max="14609" width="5" style="1" customWidth="1"/>
    <col min="14610" max="14611" width="3.75" style="1" customWidth="1"/>
    <col min="14612" max="14613" width="5" style="1" customWidth="1"/>
    <col min="14614" max="14615" width="3.75" style="1" customWidth="1"/>
    <col min="14616" max="14616" width="3.5" style="1" customWidth="1"/>
    <col min="14617" max="14847" width="9" style="1"/>
    <col min="14848" max="14848" width="5" style="1" customWidth="1"/>
    <col min="14849" max="14849" width="20.5" style="1" customWidth="1"/>
    <col min="14850" max="14850" width="2.375" style="1" customWidth="1"/>
    <col min="14851" max="14851" width="3.75" style="1" customWidth="1"/>
    <col min="14852" max="14853" width="5" style="1" customWidth="1"/>
    <col min="14854" max="14855" width="3.75" style="1" customWidth="1"/>
    <col min="14856" max="14857" width="5" style="1" customWidth="1"/>
    <col min="14858" max="14859" width="3.75" style="1" customWidth="1"/>
    <col min="14860" max="14861" width="5" style="1" customWidth="1"/>
    <col min="14862" max="14863" width="3.75" style="1" customWidth="1"/>
    <col min="14864" max="14865" width="5" style="1" customWidth="1"/>
    <col min="14866" max="14867" width="3.75" style="1" customWidth="1"/>
    <col min="14868" max="14869" width="5" style="1" customWidth="1"/>
    <col min="14870" max="14871" width="3.75" style="1" customWidth="1"/>
    <col min="14872" max="14872" width="3.5" style="1" customWidth="1"/>
    <col min="14873" max="15103" width="9" style="1"/>
    <col min="15104" max="15104" width="5" style="1" customWidth="1"/>
    <col min="15105" max="15105" width="20.5" style="1" customWidth="1"/>
    <col min="15106" max="15106" width="2.375" style="1" customWidth="1"/>
    <col min="15107" max="15107" width="3.75" style="1" customWidth="1"/>
    <col min="15108" max="15109" width="5" style="1" customWidth="1"/>
    <col min="15110" max="15111" width="3.75" style="1" customWidth="1"/>
    <col min="15112" max="15113" width="5" style="1" customWidth="1"/>
    <col min="15114" max="15115" width="3.75" style="1" customWidth="1"/>
    <col min="15116" max="15117" width="5" style="1" customWidth="1"/>
    <col min="15118" max="15119" width="3.75" style="1" customWidth="1"/>
    <col min="15120" max="15121" width="5" style="1" customWidth="1"/>
    <col min="15122" max="15123" width="3.75" style="1" customWidth="1"/>
    <col min="15124" max="15125" width="5" style="1" customWidth="1"/>
    <col min="15126" max="15127" width="3.75" style="1" customWidth="1"/>
    <col min="15128" max="15128" width="3.5" style="1" customWidth="1"/>
    <col min="15129" max="15359" width="9" style="1"/>
    <col min="15360" max="15360" width="5" style="1" customWidth="1"/>
    <col min="15361" max="15361" width="20.5" style="1" customWidth="1"/>
    <col min="15362" max="15362" width="2.375" style="1" customWidth="1"/>
    <col min="15363" max="15363" width="3.75" style="1" customWidth="1"/>
    <col min="15364" max="15365" width="5" style="1" customWidth="1"/>
    <col min="15366" max="15367" width="3.75" style="1" customWidth="1"/>
    <col min="15368" max="15369" width="5" style="1" customWidth="1"/>
    <col min="15370" max="15371" width="3.75" style="1" customWidth="1"/>
    <col min="15372" max="15373" width="5" style="1" customWidth="1"/>
    <col min="15374" max="15375" width="3.75" style="1" customWidth="1"/>
    <col min="15376" max="15377" width="5" style="1" customWidth="1"/>
    <col min="15378" max="15379" width="3.75" style="1" customWidth="1"/>
    <col min="15380" max="15381" width="5" style="1" customWidth="1"/>
    <col min="15382" max="15383" width="3.75" style="1" customWidth="1"/>
    <col min="15384" max="15384" width="3.5" style="1" customWidth="1"/>
    <col min="15385" max="15615" width="9" style="1"/>
    <col min="15616" max="15616" width="5" style="1" customWidth="1"/>
    <col min="15617" max="15617" width="20.5" style="1" customWidth="1"/>
    <col min="15618" max="15618" width="2.375" style="1" customWidth="1"/>
    <col min="15619" max="15619" width="3.75" style="1" customWidth="1"/>
    <col min="15620" max="15621" width="5" style="1" customWidth="1"/>
    <col min="15622" max="15623" width="3.75" style="1" customWidth="1"/>
    <col min="15624" max="15625" width="5" style="1" customWidth="1"/>
    <col min="15626" max="15627" width="3.75" style="1" customWidth="1"/>
    <col min="15628" max="15629" width="5" style="1" customWidth="1"/>
    <col min="15630" max="15631" width="3.75" style="1" customWidth="1"/>
    <col min="15632" max="15633" width="5" style="1" customWidth="1"/>
    <col min="15634" max="15635" width="3.75" style="1" customWidth="1"/>
    <col min="15636" max="15637" width="5" style="1" customWidth="1"/>
    <col min="15638" max="15639" width="3.75" style="1" customWidth="1"/>
    <col min="15640" max="15640" width="3.5" style="1" customWidth="1"/>
    <col min="15641" max="15871" width="9" style="1"/>
    <col min="15872" max="15872" width="5" style="1" customWidth="1"/>
    <col min="15873" max="15873" width="20.5" style="1" customWidth="1"/>
    <col min="15874" max="15874" width="2.375" style="1" customWidth="1"/>
    <col min="15875" max="15875" width="3.75" style="1" customWidth="1"/>
    <col min="15876" max="15877" width="5" style="1" customWidth="1"/>
    <col min="15878" max="15879" width="3.75" style="1" customWidth="1"/>
    <col min="15880" max="15881" width="5" style="1" customWidth="1"/>
    <col min="15882" max="15883" width="3.75" style="1" customWidth="1"/>
    <col min="15884" max="15885" width="5" style="1" customWidth="1"/>
    <col min="15886" max="15887" width="3.75" style="1" customWidth="1"/>
    <col min="15888" max="15889" width="5" style="1" customWidth="1"/>
    <col min="15890" max="15891" width="3.75" style="1" customWidth="1"/>
    <col min="15892" max="15893" width="5" style="1" customWidth="1"/>
    <col min="15894" max="15895" width="3.75" style="1" customWidth="1"/>
    <col min="15896" max="15896" width="3.5" style="1" customWidth="1"/>
    <col min="15897" max="16127" width="9" style="1"/>
    <col min="16128" max="16128" width="5" style="1" customWidth="1"/>
    <col min="16129" max="16129" width="20.5" style="1" customWidth="1"/>
    <col min="16130" max="16130" width="2.375" style="1" customWidth="1"/>
    <col min="16131" max="16131" width="3.75" style="1" customWidth="1"/>
    <col min="16132" max="16133" width="5" style="1" customWidth="1"/>
    <col min="16134" max="16135" width="3.75" style="1" customWidth="1"/>
    <col min="16136" max="16137" width="5" style="1" customWidth="1"/>
    <col min="16138" max="16139" width="3.75" style="1" customWidth="1"/>
    <col min="16140" max="16141" width="5" style="1" customWidth="1"/>
    <col min="16142" max="16143" width="3.75" style="1" customWidth="1"/>
    <col min="16144" max="16145" width="5" style="1" customWidth="1"/>
    <col min="16146" max="16147" width="3.75" style="1" customWidth="1"/>
    <col min="16148" max="16149" width="5" style="1" customWidth="1"/>
    <col min="16150" max="16151" width="3.75" style="1" customWidth="1"/>
    <col min="16152" max="16152" width="3.5" style="1" customWidth="1"/>
    <col min="16153" max="16383" width="9" style="1"/>
    <col min="16384" max="16384" width="9" style="1" customWidth="1"/>
  </cols>
  <sheetData>
    <row r="1" spans="1:29" x14ac:dyDescent="0.2">
      <c r="A1" s="2" t="s">
        <v>0</v>
      </c>
      <c r="K1" s="127" t="s">
        <v>23</v>
      </c>
      <c r="L1" s="127"/>
      <c r="M1" s="127"/>
    </row>
    <row r="2" spans="1:29" x14ac:dyDescent="0.2">
      <c r="A2" s="2" t="s">
        <v>18</v>
      </c>
      <c r="K2" s="127"/>
      <c r="L2" s="127"/>
      <c r="M2" s="127"/>
      <c r="U2" s="128" t="str">
        <f ca="1">Y2</f>
        <v>PE4</v>
      </c>
      <c r="V2" s="128"/>
      <c r="W2" s="128"/>
      <c r="Y2" s="5" t="str">
        <f ca="1">MID(CELL("filename",A1),FIND("]",CELL("filename",A1))+1,256)</f>
        <v>PE4</v>
      </c>
    </row>
    <row r="3" spans="1:29" x14ac:dyDescent="0.2">
      <c r="A3" s="2" t="s">
        <v>1</v>
      </c>
      <c r="U3" s="128"/>
      <c r="V3" s="128"/>
      <c r="W3" s="128"/>
    </row>
    <row r="4" spans="1:29" x14ac:dyDescent="0.2">
      <c r="A4" s="8" t="s">
        <v>19</v>
      </c>
      <c r="I4" s="127" t="s">
        <v>3</v>
      </c>
      <c r="J4" s="127"/>
      <c r="K4" s="127"/>
      <c r="L4" s="127"/>
      <c r="M4" s="127"/>
      <c r="N4" s="127"/>
      <c r="O4" s="127"/>
      <c r="U4" s="128"/>
      <c r="V4" s="128"/>
      <c r="W4" s="128"/>
    </row>
    <row r="5" spans="1:29" x14ac:dyDescent="0.2">
      <c r="A5" s="9" t="s">
        <v>21</v>
      </c>
      <c r="B5" s="2" t="s">
        <v>27</v>
      </c>
      <c r="I5" s="127"/>
      <c r="J5" s="127"/>
      <c r="K5" s="127"/>
      <c r="L5" s="127"/>
      <c r="M5" s="127"/>
      <c r="N5" s="127"/>
      <c r="O5" s="127"/>
    </row>
    <row r="6" spans="1:29" ht="13.5" thickBot="1" x14ac:dyDescent="0.25"/>
    <row r="7" spans="1:29" ht="15.95" customHeight="1" thickTop="1" thickBot="1" x14ac:dyDescent="0.25">
      <c r="A7" s="150" t="s">
        <v>4</v>
      </c>
      <c r="B7" s="130"/>
      <c r="C7" s="130"/>
      <c r="D7" s="131" t="s">
        <v>311</v>
      </c>
      <c r="E7" s="132"/>
      <c r="F7" s="133"/>
      <c r="G7" s="134"/>
      <c r="H7" s="131" t="s">
        <v>312</v>
      </c>
      <c r="I7" s="132"/>
      <c r="J7" s="133"/>
      <c r="K7" s="134"/>
      <c r="L7" s="131" t="s">
        <v>318</v>
      </c>
      <c r="M7" s="132"/>
      <c r="N7" s="133"/>
      <c r="O7" s="134"/>
      <c r="P7" s="131" t="s">
        <v>315</v>
      </c>
      <c r="Q7" s="132"/>
      <c r="R7" s="133"/>
      <c r="S7" s="134"/>
      <c r="T7" s="131"/>
      <c r="U7" s="132"/>
      <c r="V7" s="133"/>
      <c r="W7" s="134"/>
      <c r="X7" s="131"/>
      <c r="Y7" s="132"/>
      <c r="Z7" s="133"/>
      <c r="AA7" s="134"/>
    </row>
    <row r="8" spans="1:29" ht="15" customHeight="1" thickTop="1" x14ac:dyDescent="0.2">
      <c r="A8" s="147" t="s">
        <v>5</v>
      </c>
      <c r="B8" s="136" t="s">
        <v>6</v>
      </c>
      <c r="C8" s="142" t="s">
        <v>25</v>
      </c>
      <c r="D8" s="138" t="s">
        <v>7</v>
      </c>
      <c r="E8" s="139"/>
      <c r="F8" s="140"/>
      <c r="G8" s="141"/>
      <c r="H8" s="144" t="s">
        <v>8</v>
      </c>
      <c r="I8" s="145"/>
      <c r="J8" s="145"/>
      <c r="K8" s="146"/>
      <c r="L8" s="144" t="s">
        <v>9</v>
      </c>
      <c r="M8" s="145"/>
      <c r="N8" s="145"/>
      <c r="O8" s="146"/>
      <c r="P8" s="138" t="s">
        <v>10</v>
      </c>
      <c r="Q8" s="139"/>
      <c r="R8" s="140"/>
      <c r="S8" s="141"/>
      <c r="T8" s="138" t="s">
        <v>11</v>
      </c>
      <c r="U8" s="139"/>
      <c r="V8" s="140"/>
      <c r="W8" s="141"/>
      <c r="X8" s="138" t="s">
        <v>24</v>
      </c>
      <c r="Y8" s="139"/>
      <c r="Z8" s="140"/>
      <c r="AA8" s="141"/>
    </row>
    <row r="9" spans="1:29" s="3" customFormat="1" ht="67.5" customHeight="1" thickBot="1" x14ac:dyDescent="0.3">
      <c r="A9" s="148"/>
      <c r="B9" s="137"/>
      <c r="C9" s="149"/>
      <c r="D9" s="10" t="s">
        <v>12</v>
      </c>
      <c r="E9" s="11" t="s">
        <v>13</v>
      </c>
      <c r="F9" s="12" t="s">
        <v>14</v>
      </c>
      <c r="G9" s="13" t="s">
        <v>15</v>
      </c>
      <c r="H9" s="10" t="s">
        <v>12</v>
      </c>
      <c r="I9" s="11" t="s">
        <v>13</v>
      </c>
      <c r="J9" s="12" t="s">
        <v>14</v>
      </c>
      <c r="K9" s="13" t="s">
        <v>15</v>
      </c>
      <c r="L9" s="10" t="s">
        <v>12</v>
      </c>
      <c r="M9" s="11" t="s">
        <v>13</v>
      </c>
      <c r="N9" s="12" t="s">
        <v>14</v>
      </c>
      <c r="O9" s="13" t="s">
        <v>15</v>
      </c>
      <c r="P9" s="10" t="s">
        <v>12</v>
      </c>
      <c r="Q9" s="11" t="s">
        <v>13</v>
      </c>
      <c r="R9" s="12" t="s">
        <v>14</v>
      </c>
      <c r="S9" s="13" t="s">
        <v>15</v>
      </c>
      <c r="T9" s="10" t="s">
        <v>12</v>
      </c>
      <c r="U9" s="11" t="s">
        <v>13</v>
      </c>
      <c r="V9" s="12" t="s">
        <v>14</v>
      </c>
      <c r="W9" s="13" t="s">
        <v>15</v>
      </c>
      <c r="X9" s="10" t="s">
        <v>12</v>
      </c>
      <c r="Y9" s="11" t="s">
        <v>13</v>
      </c>
      <c r="Z9" s="12" t="s">
        <v>14</v>
      </c>
      <c r="AA9" s="13" t="s">
        <v>15</v>
      </c>
      <c r="AC9" s="152" t="s">
        <v>319</v>
      </c>
    </row>
    <row r="10" spans="1:29" ht="18" customHeight="1" thickTop="1" x14ac:dyDescent="0.25">
      <c r="A10" s="53" t="s">
        <v>213</v>
      </c>
      <c r="B10" s="54" t="s">
        <v>274</v>
      </c>
      <c r="C10" s="50"/>
      <c r="D10" s="49" t="s">
        <v>242</v>
      </c>
      <c r="E10" s="50">
        <v>1</v>
      </c>
      <c r="F10" s="52"/>
      <c r="G10" s="51"/>
      <c r="H10" s="49" t="s">
        <v>242</v>
      </c>
      <c r="I10" s="50">
        <v>1</v>
      </c>
      <c r="J10" s="52"/>
      <c r="K10" s="51"/>
      <c r="L10" s="49" t="s">
        <v>242</v>
      </c>
      <c r="M10" s="50">
        <v>1.5</v>
      </c>
      <c r="N10" s="52"/>
      <c r="O10" s="51"/>
      <c r="P10" s="49" t="s">
        <v>242</v>
      </c>
      <c r="Q10" s="50">
        <v>1.7</v>
      </c>
      <c r="R10" s="52"/>
      <c r="S10" s="51"/>
      <c r="T10" s="49" t="s">
        <v>242</v>
      </c>
      <c r="U10" s="50">
        <v>4</v>
      </c>
      <c r="V10" s="52"/>
      <c r="W10" s="51"/>
      <c r="X10" s="29" t="s">
        <v>242</v>
      </c>
      <c r="Y10" s="50">
        <v>4.5</v>
      </c>
      <c r="Z10" s="52"/>
      <c r="AA10" s="51"/>
      <c r="AC10" s="153">
        <f>(E10+I10+M10+Q10+U10+Y10)/2</f>
        <v>6.85</v>
      </c>
    </row>
    <row r="11" spans="1:29" s="3" customFormat="1" ht="18" customHeight="1" x14ac:dyDescent="0.25">
      <c r="A11" s="53" t="s">
        <v>214</v>
      </c>
      <c r="B11" s="54" t="s">
        <v>275</v>
      </c>
      <c r="C11" s="30"/>
      <c r="D11" s="29" t="s">
        <v>242</v>
      </c>
      <c r="E11" s="30">
        <v>1</v>
      </c>
      <c r="F11" s="32"/>
      <c r="G11" s="33"/>
      <c r="H11" s="29" t="s">
        <v>242</v>
      </c>
      <c r="I11" s="30">
        <v>1</v>
      </c>
      <c r="J11" s="32"/>
      <c r="K11" s="33"/>
      <c r="L11" s="29" t="s">
        <v>242</v>
      </c>
      <c r="M11" s="30">
        <v>1.5</v>
      </c>
      <c r="N11" s="32"/>
      <c r="O11" s="33"/>
      <c r="P11" s="29" t="s">
        <v>242</v>
      </c>
      <c r="Q11" s="30">
        <v>1.7</v>
      </c>
      <c r="R11" s="32"/>
      <c r="S11" s="33"/>
      <c r="T11" s="29" t="s">
        <v>242</v>
      </c>
      <c r="U11" s="30">
        <v>4</v>
      </c>
      <c r="V11" s="32"/>
      <c r="W11" s="33"/>
      <c r="X11" s="29" t="s">
        <v>242</v>
      </c>
      <c r="Y11" s="30">
        <v>4.5</v>
      </c>
      <c r="Z11" s="32"/>
      <c r="AA11" s="33"/>
      <c r="AC11" s="153">
        <f t="shared" ref="AC11:AC25" si="0">(E11+I11+M11+Q11+U11+Y11)/2</f>
        <v>6.85</v>
      </c>
    </row>
    <row r="12" spans="1:29" ht="18" customHeight="1" x14ac:dyDescent="0.25">
      <c r="A12" s="53" t="s">
        <v>215</v>
      </c>
      <c r="B12" s="54" t="s">
        <v>276</v>
      </c>
      <c r="C12" s="30"/>
      <c r="D12" s="29" t="s">
        <v>242</v>
      </c>
      <c r="E12" s="30">
        <v>1.5</v>
      </c>
      <c r="F12" s="32"/>
      <c r="G12" s="33"/>
      <c r="H12" s="29" t="s">
        <v>242</v>
      </c>
      <c r="I12" s="30">
        <v>1</v>
      </c>
      <c r="J12" s="32"/>
      <c r="K12" s="33"/>
      <c r="L12" s="29" t="s">
        <v>242</v>
      </c>
      <c r="M12" s="30">
        <v>1.5</v>
      </c>
      <c r="N12" s="32"/>
      <c r="O12" s="33"/>
      <c r="P12" s="29" t="s">
        <v>242</v>
      </c>
      <c r="Q12" s="30">
        <v>1.7</v>
      </c>
      <c r="R12" s="32"/>
      <c r="S12" s="33"/>
      <c r="T12" s="29" t="s">
        <v>242</v>
      </c>
      <c r="U12" s="30">
        <v>4.5</v>
      </c>
      <c r="V12" s="32"/>
      <c r="W12" s="33"/>
      <c r="X12" s="29" t="s">
        <v>242</v>
      </c>
      <c r="Y12" s="30">
        <v>4.5</v>
      </c>
      <c r="Z12" s="32"/>
      <c r="AA12" s="33"/>
      <c r="AC12" s="153">
        <f t="shared" si="0"/>
        <v>7.35</v>
      </c>
    </row>
    <row r="13" spans="1:29" ht="18" customHeight="1" x14ac:dyDescent="0.25">
      <c r="A13" s="53" t="s">
        <v>216</v>
      </c>
      <c r="B13" s="54" t="s">
        <v>277</v>
      </c>
      <c r="C13" s="30"/>
      <c r="D13" s="29" t="s">
        <v>242</v>
      </c>
      <c r="E13" s="30">
        <v>1.5</v>
      </c>
      <c r="F13" s="35"/>
      <c r="G13" s="33"/>
      <c r="H13" s="29" t="s">
        <v>242</v>
      </c>
      <c r="I13" s="30">
        <v>1</v>
      </c>
      <c r="J13" s="35"/>
      <c r="K13" s="33"/>
      <c r="L13" s="29" t="s">
        <v>242</v>
      </c>
      <c r="M13" s="30">
        <v>1.5</v>
      </c>
      <c r="N13" s="32"/>
      <c r="O13" s="33"/>
      <c r="P13" s="29" t="s">
        <v>242</v>
      </c>
      <c r="Q13" s="30">
        <v>1.2</v>
      </c>
      <c r="R13" s="32"/>
      <c r="S13" s="33"/>
      <c r="T13" s="29" t="s">
        <v>242</v>
      </c>
      <c r="U13" s="30">
        <v>5</v>
      </c>
      <c r="V13" s="32"/>
      <c r="W13" s="33"/>
      <c r="X13" s="29" t="s">
        <v>242</v>
      </c>
      <c r="Y13" s="30">
        <v>5.5</v>
      </c>
      <c r="Z13" s="32"/>
      <c r="AA13" s="33"/>
      <c r="AC13" s="153">
        <f t="shared" si="0"/>
        <v>7.85</v>
      </c>
    </row>
    <row r="14" spans="1:29" ht="18" customHeight="1" x14ac:dyDescent="0.25">
      <c r="A14" s="53" t="s">
        <v>217</v>
      </c>
      <c r="B14" s="53" t="s">
        <v>278</v>
      </c>
      <c r="C14" s="30"/>
      <c r="D14" s="29" t="s">
        <v>242</v>
      </c>
      <c r="E14" s="30">
        <v>1.5</v>
      </c>
      <c r="F14" s="32"/>
      <c r="G14" s="33"/>
      <c r="H14" s="29" t="s">
        <v>242</v>
      </c>
      <c r="I14" s="30">
        <v>1</v>
      </c>
      <c r="J14" s="32"/>
      <c r="K14" s="33"/>
      <c r="L14" s="29" t="s">
        <v>242</v>
      </c>
      <c r="M14" s="30">
        <v>1.5</v>
      </c>
      <c r="N14" s="32"/>
      <c r="O14" s="33"/>
      <c r="P14" s="29" t="s">
        <v>242</v>
      </c>
      <c r="Q14" s="30">
        <v>1.2</v>
      </c>
      <c r="R14" s="32"/>
      <c r="S14" s="33"/>
      <c r="T14" s="29" t="s">
        <v>242</v>
      </c>
      <c r="U14" s="30">
        <v>5</v>
      </c>
      <c r="V14" s="32"/>
      <c r="W14" s="33"/>
      <c r="X14" s="29" t="s">
        <v>242</v>
      </c>
      <c r="Y14" s="30">
        <v>5</v>
      </c>
      <c r="Z14" s="32"/>
      <c r="AA14" s="33"/>
      <c r="AC14" s="153">
        <f t="shared" si="0"/>
        <v>7.6</v>
      </c>
    </row>
    <row r="15" spans="1:29" ht="18" customHeight="1" x14ac:dyDescent="0.25">
      <c r="A15" s="101" t="s">
        <v>218</v>
      </c>
      <c r="B15" s="101" t="s">
        <v>279</v>
      </c>
      <c r="C15" s="89"/>
      <c r="D15" s="88"/>
      <c r="E15" s="89">
        <v>1.5</v>
      </c>
      <c r="F15" s="100"/>
      <c r="G15" s="99"/>
      <c r="H15" s="88"/>
      <c r="I15" s="89"/>
      <c r="J15" s="100"/>
      <c r="K15" s="99"/>
      <c r="L15" s="88"/>
      <c r="M15" s="89"/>
      <c r="N15" s="100"/>
      <c r="O15" s="99"/>
      <c r="P15" s="88"/>
      <c r="Q15" s="89"/>
      <c r="R15" s="100"/>
      <c r="S15" s="99"/>
      <c r="T15" s="88"/>
      <c r="U15" s="89"/>
      <c r="V15" s="100"/>
      <c r="W15" s="99"/>
      <c r="X15" s="88"/>
      <c r="Y15" s="89"/>
      <c r="Z15" s="100"/>
      <c r="AA15" s="99"/>
      <c r="AC15" s="154"/>
    </row>
    <row r="16" spans="1:29" ht="18" customHeight="1" x14ac:dyDescent="0.25">
      <c r="A16" s="53" t="s">
        <v>219</v>
      </c>
      <c r="B16" s="53" t="s">
        <v>280</v>
      </c>
      <c r="C16" s="30"/>
      <c r="D16" s="29" t="s">
        <v>242</v>
      </c>
      <c r="E16" s="30">
        <v>1</v>
      </c>
      <c r="F16" s="32"/>
      <c r="G16" s="33"/>
      <c r="H16" s="29" t="s">
        <v>242</v>
      </c>
      <c r="I16" s="30">
        <v>1</v>
      </c>
      <c r="J16" s="32"/>
      <c r="K16" s="33"/>
      <c r="L16" s="29" t="s">
        <v>242</v>
      </c>
      <c r="M16" s="30">
        <v>1.5</v>
      </c>
      <c r="N16" s="32"/>
      <c r="O16" s="33"/>
      <c r="P16" s="29" t="s">
        <v>242</v>
      </c>
      <c r="Q16" s="30">
        <v>1.2</v>
      </c>
      <c r="R16" s="32"/>
      <c r="S16" s="33"/>
      <c r="T16" s="29" t="s">
        <v>242</v>
      </c>
      <c r="U16" s="30">
        <v>6</v>
      </c>
      <c r="V16" s="32"/>
      <c r="W16" s="33"/>
      <c r="X16" s="29" t="s">
        <v>242</v>
      </c>
      <c r="Y16" s="30">
        <v>5</v>
      </c>
      <c r="Z16" s="32"/>
      <c r="AA16" s="33"/>
      <c r="AC16" s="153">
        <f t="shared" si="0"/>
        <v>7.85</v>
      </c>
    </row>
    <row r="17" spans="1:29" ht="18" customHeight="1" x14ac:dyDescent="0.25">
      <c r="A17" s="53" t="s">
        <v>220</v>
      </c>
      <c r="B17" s="47" t="s">
        <v>281</v>
      </c>
      <c r="C17" s="30"/>
      <c r="D17" s="29" t="s">
        <v>242</v>
      </c>
      <c r="E17" s="30">
        <v>1.5</v>
      </c>
      <c r="F17" s="32"/>
      <c r="G17" s="33"/>
      <c r="H17" s="29" t="s">
        <v>242</v>
      </c>
      <c r="I17" s="30">
        <v>1</v>
      </c>
      <c r="J17" s="32"/>
      <c r="K17" s="33"/>
      <c r="L17" s="29" t="s">
        <v>242</v>
      </c>
      <c r="M17" s="30">
        <v>1.5</v>
      </c>
      <c r="N17" s="32"/>
      <c r="O17" s="33"/>
      <c r="P17" s="29" t="s">
        <v>242</v>
      </c>
      <c r="Q17" s="30">
        <v>1.5</v>
      </c>
      <c r="R17" s="32"/>
      <c r="S17" s="33"/>
      <c r="T17" s="29" t="s">
        <v>242</v>
      </c>
      <c r="U17" s="30">
        <v>6</v>
      </c>
      <c r="V17" s="32"/>
      <c r="W17" s="33"/>
      <c r="X17" s="29" t="s">
        <v>242</v>
      </c>
      <c r="Y17" s="30">
        <v>5</v>
      </c>
      <c r="Z17" s="32"/>
      <c r="AA17" s="33"/>
      <c r="AC17" s="153">
        <f t="shared" si="0"/>
        <v>8.25</v>
      </c>
    </row>
    <row r="18" spans="1:29" ht="18" customHeight="1" x14ac:dyDescent="0.25">
      <c r="A18" s="53" t="s">
        <v>221</v>
      </c>
      <c r="B18" s="54" t="s">
        <v>282</v>
      </c>
      <c r="C18" s="30"/>
      <c r="D18" s="29" t="s">
        <v>242</v>
      </c>
      <c r="E18" s="30">
        <v>2</v>
      </c>
      <c r="F18" s="32"/>
      <c r="G18" s="33"/>
      <c r="H18" s="29" t="s">
        <v>242</v>
      </c>
      <c r="I18" s="30">
        <v>2</v>
      </c>
      <c r="J18" s="32"/>
      <c r="K18" s="33"/>
      <c r="L18" s="29" t="s">
        <v>242</v>
      </c>
      <c r="M18" s="30">
        <v>1.5</v>
      </c>
      <c r="N18" s="32"/>
      <c r="O18" s="33"/>
      <c r="P18" s="29" t="s">
        <v>242</v>
      </c>
      <c r="Q18" s="30">
        <v>1.2</v>
      </c>
      <c r="R18" s="32"/>
      <c r="S18" s="33"/>
      <c r="T18" s="29" t="s">
        <v>242</v>
      </c>
      <c r="U18" s="30">
        <v>4.5</v>
      </c>
      <c r="V18" s="32"/>
      <c r="W18" s="33"/>
      <c r="X18" s="29" t="s">
        <v>242</v>
      </c>
      <c r="Y18" s="30">
        <v>4.5</v>
      </c>
      <c r="Z18" s="32"/>
      <c r="AA18" s="33"/>
      <c r="AC18" s="153">
        <f t="shared" si="0"/>
        <v>7.85</v>
      </c>
    </row>
    <row r="19" spans="1:29" ht="18" customHeight="1" x14ac:dyDescent="0.25">
      <c r="A19" s="53" t="s">
        <v>222</v>
      </c>
      <c r="B19" s="54" t="s">
        <v>283</v>
      </c>
      <c r="C19" s="30"/>
      <c r="D19" s="29" t="s">
        <v>242</v>
      </c>
      <c r="E19" s="30">
        <v>1.5</v>
      </c>
      <c r="F19" s="32"/>
      <c r="G19" s="33"/>
      <c r="H19" s="29" t="s">
        <v>242</v>
      </c>
      <c r="I19" s="30">
        <v>1</v>
      </c>
      <c r="J19" s="32"/>
      <c r="K19" s="33"/>
      <c r="L19" s="29" t="s">
        <v>242</v>
      </c>
      <c r="M19" s="30">
        <v>1.5</v>
      </c>
      <c r="N19" s="32"/>
      <c r="O19" s="33"/>
      <c r="P19" s="29" t="s">
        <v>242</v>
      </c>
      <c r="Q19" s="30">
        <v>1</v>
      </c>
      <c r="R19" s="32"/>
      <c r="S19" s="33"/>
      <c r="T19" s="29" t="s">
        <v>242</v>
      </c>
      <c r="U19" s="30">
        <v>6</v>
      </c>
      <c r="V19" s="32"/>
      <c r="W19" s="33"/>
      <c r="X19" s="29" t="s">
        <v>242</v>
      </c>
      <c r="Y19" s="30">
        <v>5.5</v>
      </c>
      <c r="Z19" s="32"/>
      <c r="AA19" s="33"/>
      <c r="AC19" s="153">
        <f t="shared" si="0"/>
        <v>8.25</v>
      </c>
    </row>
    <row r="20" spans="1:29" ht="18" customHeight="1" x14ac:dyDescent="0.25">
      <c r="A20" s="64" t="s">
        <v>223</v>
      </c>
      <c r="B20" s="84" t="s">
        <v>284</v>
      </c>
      <c r="C20" s="44"/>
      <c r="D20" s="43" t="s">
        <v>242</v>
      </c>
      <c r="E20" s="44">
        <v>1.5</v>
      </c>
      <c r="F20" s="35"/>
      <c r="G20" s="56"/>
      <c r="H20" s="43" t="s">
        <v>242</v>
      </c>
      <c r="I20" s="44">
        <v>1</v>
      </c>
      <c r="J20" s="35"/>
      <c r="K20" s="56"/>
      <c r="L20" s="43" t="s">
        <v>242</v>
      </c>
      <c r="M20" s="30">
        <v>1.5</v>
      </c>
      <c r="N20" s="35"/>
      <c r="O20" s="56"/>
      <c r="P20" s="43" t="s">
        <v>242</v>
      </c>
      <c r="Q20" s="44">
        <v>1.5</v>
      </c>
      <c r="R20" s="35"/>
      <c r="S20" s="56"/>
      <c r="T20" s="43" t="s">
        <v>242</v>
      </c>
      <c r="U20" s="44">
        <v>5</v>
      </c>
      <c r="V20" s="35"/>
      <c r="W20" s="56"/>
      <c r="X20" s="43" t="s">
        <v>242</v>
      </c>
      <c r="Y20" s="44">
        <v>6</v>
      </c>
      <c r="Z20" s="35"/>
      <c r="AA20" s="56"/>
      <c r="AC20" s="153">
        <f t="shared" si="0"/>
        <v>8.25</v>
      </c>
    </row>
    <row r="21" spans="1:29" ht="18" customHeight="1" x14ac:dyDescent="0.25">
      <c r="A21" s="53" t="s">
        <v>224</v>
      </c>
      <c r="B21" s="79" t="s">
        <v>285</v>
      </c>
      <c r="C21" s="30"/>
      <c r="D21" s="29" t="s">
        <v>242</v>
      </c>
      <c r="E21" s="30">
        <v>1.5</v>
      </c>
      <c r="F21" s="32"/>
      <c r="G21" s="33"/>
      <c r="H21" s="29" t="s">
        <v>242</v>
      </c>
      <c r="I21" s="30">
        <v>1</v>
      </c>
      <c r="J21" s="32"/>
      <c r="K21" s="33"/>
      <c r="L21" s="29" t="s">
        <v>242</v>
      </c>
      <c r="M21" s="30">
        <v>1.5</v>
      </c>
      <c r="N21" s="32"/>
      <c r="O21" s="33"/>
      <c r="P21" s="29" t="s">
        <v>242</v>
      </c>
      <c r="Q21" s="30">
        <v>1</v>
      </c>
      <c r="R21" s="32"/>
      <c r="S21" s="33"/>
      <c r="T21" s="29" t="s">
        <v>242</v>
      </c>
      <c r="U21" s="30">
        <v>5.5</v>
      </c>
      <c r="V21" s="32"/>
      <c r="W21" s="33"/>
      <c r="X21" s="29" t="s">
        <v>242</v>
      </c>
      <c r="Y21" s="30">
        <v>6</v>
      </c>
      <c r="Z21" s="32"/>
      <c r="AA21" s="33"/>
      <c r="AC21" s="153">
        <f t="shared" si="0"/>
        <v>8.25</v>
      </c>
    </row>
    <row r="22" spans="1:29" ht="18" customHeight="1" x14ac:dyDescent="0.25">
      <c r="A22" s="53" t="s">
        <v>225</v>
      </c>
      <c r="B22" s="79" t="s">
        <v>286</v>
      </c>
      <c r="C22" s="30"/>
      <c r="D22" s="29" t="s">
        <v>242</v>
      </c>
      <c r="E22" s="30">
        <v>2</v>
      </c>
      <c r="F22" s="32"/>
      <c r="G22" s="33"/>
      <c r="H22" s="29" t="s">
        <v>242</v>
      </c>
      <c r="I22" s="30">
        <v>2</v>
      </c>
      <c r="J22" s="32"/>
      <c r="K22" s="33"/>
      <c r="L22" s="29" t="s">
        <v>242</v>
      </c>
      <c r="M22" s="30">
        <v>2</v>
      </c>
      <c r="N22" s="35"/>
      <c r="O22" s="33"/>
      <c r="P22" s="29" t="s">
        <v>242</v>
      </c>
      <c r="Q22" s="30">
        <v>2</v>
      </c>
      <c r="R22" s="32"/>
      <c r="S22" s="33"/>
      <c r="T22" s="29" t="s">
        <v>242</v>
      </c>
      <c r="U22" s="30">
        <v>6</v>
      </c>
      <c r="V22" s="32"/>
      <c r="W22" s="33"/>
      <c r="X22" s="29" t="s">
        <v>242</v>
      </c>
      <c r="Y22" s="30">
        <v>6</v>
      </c>
      <c r="Z22" s="32"/>
      <c r="AA22" s="33"/>
      <c r="AC22" s="153">
        <f t="shared" si="0"/>
        <v>10</v>
      </c>
    </row>
    <row r="23" spans="1:29" ht="18" customHeight="1" x14ac:dyDescent="0.25">
      <c r="A23" s="53" t="s">
        <v>226</v>
      </c>
      <c r="B23" s="81" t="s">
        <v>287</v>
      </c>
      <c r="C23" s="4"/>
      <c r="D23" s="15" t="s">
        <v>242</v>
      </c>
      <c r="E23" s="4">
        <v>1.5</v>
      </c>
      <c r="F23" s="16"/>
      <c r="G23" s="17"/>
      <c r="H23" s="15" t="s">
        <v>242</v>
      </c>
      <c r="I23" s="4">
        <v>1</v>
      </c>
      <c r="J23" s="16"/>
      <c r="K23" s="17"/>
      <c r="L23" s="15" t="s">
        <v>242</v>
      </c>
      <c r="M23" s="30">
        <v>1.5</v>
      </c>
      <c r="N23" s="16"/>
      <c r="O23" s="17"/>
      <c r="P23" s="15" t="s">
        <v>242</v>
      </c>
      <c r="Q23" s="4">
        <v>1</v>
      </c>
      <c r="R23" s="16"/>
      <c r="S23" s="17"/>
      <c r="T23" s="15" t="s">
        <v>242</v>
      </c>
      <c r="U23" s="4">
        <v>5.5</v>
      </c>
      <c r="V23" s="16"/>
      <c r="W23" s="17"/>
      <c r="X23" s="15" t="s">
        <v>242</v>
      </c>
      <c r="Y23" s="4">
        <v>6</v>
      </c>
      <c r="Z23" s="16"/>
      <c r="AA23" s="17"/>
      <c r="AC23" s="153">
        <f t="shared" si="0"/>
        <v>8.25</v>
      </c>
    </row>
    <row r="24" spans="1:29" ht="18" customHeight="1" x14ac:dyDescent="0.25">
      <c r="A24" s="53" t="s">
        <v>290</v>
      </c>
      <c r="B24" s="81" t="s">
        <v>288</v>
      </c>
      <c r="C24" s="4"/>
      <c r="D24" s="15" t="s">
        <v>242</v>
      </c>
      <c r="E24" s="4">
        <v>1.5</v>
      </c>
      <c r="F24" s="16"/>
      <c r="G24" s="17"/>
      <c r="H24" s="15" t="s">
        <v>242</v>
      </c>
      <c r="I24" s="4">
        <v>2</v>
      </c>
      <c r="J24" s="16"/>
      <c r="K24" s="17"/>
      <c r="L24" s="15" t="s">
        <v>242</v>
      </c>
      <c r="M24" s="30">
        <v>1.5</v>
      </c>
      <c r="N24" s="16"/>
      <c r="O24" s="17"/>
      <c r="P24" s="15" t="s">
        <v>242</v>
      </c>
      <c r="Q24" s="4">
        <v>1</v>
      </c>
      <c r="R24" s="16"/>
      <c r="S24" s="17"/>
      <c r="T24" s="15" t="s">
        <v>242</v>
      </c>
      <c r="U24" s="4">
        <v>6</v>
      </c>
      <c r="V24" s="16"/>
      <c r="W24" s="17"/>
      <c r="X24" s="15" t="s">
        <v>242</v>
      </c>
      <c r="Y24" s="4">
        <v>5.5</v>
      </c>
      <c r="Z24" s="16"/>
      <c r="AA24" s="17"/>
      <c r="AC24" s="153">
        <f t="shared" si="0"/>
        <v>8.75</v>
      </c>
    </row>
    <row r="25" spans="1:29" ht="18" customHeight="1" thickBot="1" x14ac:dyDescent="0.3">
      <c r="A25" s="64" t="s">
        <v>291</v>
      </c>
      <c r="B25" s="85" t="s">
        <v>289</v>
      </c>
      <c r="C25" s="24"/>
      <c r="D25" s="26" t="s">
        <v>242</v>
      </c>
      <c r="E25" s="24">
        <v>2</v>
      </c>
      <c r="F25" s="27"/>
      <c r="G25" s="28"/>
      <c r="H25" s="26" t="s">
        <v>242</v>
      </c>
      <c r="I25" s="24">
        <v>1.5</v>
      </c>
      <c r="J25" s="27"/>
      <c r="K25" s="28"/>
      <c r="L25" s="26" t="s">
        <v>242</v>
      </c>
      <c r="M25" s="30">
        <v>1.5</v>
      </c>
      <c r="N25" s="27"/>
      <c r="O25" s="28"/>
      <c r="P25" s="26" t="s">
        <v>242</v>
      </c>
      <c r="Q25" s="24">
        <v>1.5</v>
      </c>
      <c r="R25" s="27"/>
      <c r="S25" s="28"/>
      <c r="T25" s="26" t="s">
        <v>242</v>
      </c>
      <c r="U25" s="24">
        <v>5.5</v>
      </c>
      <c r="V25" s="27"/>
      <c r="W25" s="28"/>
      <c r="X25" s="26" t="s">
        <v>242</v>
      </c>
      <c r="Y25" s="24">
        <v>5.5</v>
      </c>
      <c r="Z25" s="27"/>
      <c r="AA25" s="28"/>
      <c r="AC25" s="153">
        <f t="shared" si="0"/>
        <v>8.75</v>
      </c>
    </row>
    <row r="26" spans="1:29" ht="18" customHeight="1" thickTop="1" x14ac:dyDescent="0.2">
      <c r="A26" s="22"/>
      <c r="B26" s="23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19"/>
      <c r="Y26" s="20"/>
    </row>
    <row r="27" spans="1:29" ht="18" customHeight="1" x14ac:dyDescent="0.2">
      <c r="A27" s="22"/>
      <c r="B27" s="23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19"/>
      <c r="Y27" s="20"/>
    </row>
    <row r="28" spans="1:29" ht="18" customHeight="1" x14ac:dyDescent="0.2">
      <c r="A28" s="22"/>
      <c r="B28" s="23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19"/>
      <c r="Y28" s="20"/>
    </row>
    <row r="29" spans="1:29" ht="18" customHeight="1" x14ac:dyDescent="0.2">
      <c r="A29" s="22"/>
      <c r="B29" s="23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19"/>
      <c r="Y29" s="20"/>
    </row>
    <row r="30" spans="1:29" ht="18" customHeight="1" x14ac:dyDescent="0.2">
      <c r="A30" s="22"/>
      <c r="B30" s="23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19"/>
      <c r="Y30" s="20"/>
    </row>
    <row r="31" spans="1:29" ht="18" customHeight="1" x14ac:dyDescent="0.2">
      <c r="A31" s="22"/>
      <c r="B31" s="23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19"/>
      <c r="Y31" s="20"/>
    </row>
    <row r="32" spans="1:29" x14ac:dyDescent="0.2">
      <c r="A32" s="20"/>
      <c r="B32" s="20"/>
      <c r="C32" s="20"/>
      <c r="D32" s="20"/>
      <c r="E32" s="20"/>
      <c r="F32" s="20"/>
      <c r="G32" s="20"/>
      <c r="H32" s="21"/>
      <c r="I32" s="20"/>
      <c r="J32" s="20"/>
      <c r="K32" s="20"/>
      <c r="L32" s="21"/>
      <c r="M32" s="20"/>
      <c r="N32" s="20"/>
      <c r="O32" s="20"/>
      <c r="P32" s="20"/>
      <c r="Q32" s="20"/>
      <c r="R32" s="20"/>
      <c r="S32" s="20"/>
      <c r="T32" s="21"/>
      <c r="U32" s="20"/>
      <c r="V32" s="20"/>
      <c r="W32" s="20"/>
      <c r="X32" s="20"/>
      <c r="Y32" s="20"/>
    </row>
    <row r="33" spans="1:25" x14ac:dyDescent="0.2">
      <c r="A33" s="20"/>
      <c r="B33" s="20"/>
      <c r="C33" s="20"/>
      <c r="D33" s="20"/>
      <c r="E33" s="20"/>
      <c r="F33" s="20"/>
      <c r="G33" s="20"/>
      <c r="H33" s="21"/>
      <c r="I33" s="20"/>
      <c r="J33" s="20"/>
      <c r="K33" s="20"/>
      <c r="L33" s="21"/>
      <c r="M33" s="20"/>
      <c r="N33" s="20"/>
      <c r="O33" s="20"/>
      <c r="P33" s="20"/>
      <c r="Q33" s="20"/>
      <c r="R33" s="20"/>
      <c r="S33" s="20"/>
      <c r="T33" s="21"/>
      <c r="U33" s="20"/>
      <c r="V33" s="20"/>
      <c r="W33" s="20"/>
      <c r="X33" s="20"/>
      <c r="Y33" s="20"/>
    </row>
  </sheetData>
  <mergeCells count="19">
    <mergeCell ref="X7:AA7"/>
    <mergeCell ref="X8:AA8"/>
    <mergeCell ref="L8:O8"/>
    <mergeCell ref="P8:S8"/>
    <mergeCell ref="T8:W8"/>
    <mergeCell ref="A8:A9"/>
    <mergeCell ref="B8:B9"/>
    <mergeCell ref="C8:C9"/>
    <mergeCell ref="D8:G8"/>
    <mergeCell ref="H8:K8"/>
    <mergeCell ref="K1:M2"/>
    <mergeCell ref="U2:W4"/>
    <mergeCell ref="I4:O5"/>
    <mergeCell ref="A7:C7"/>
    <mergeCell ref="D7:G7"/>
    <mergeCell ref="H7:K7"/>
    <mergeCell ref="L7:O7"/>
    <mergeCell ref="P7:S7"/>
    <mergeCell ref="T7:W7"/>
  </mergeCells>
  <pageMargins left="0.78740157480314965" right="0.39370078740157483" top="0.39370078740157483" bottom="0.39370078740157483" header="0.31496062992125984" footer="0.31496062992125984"/>
  <pageSetup paperSize="9" scale="89" orientation="landscape" r:id="rId1"/>
  <headerFooter alignWithMargins="0"/>
  <colBreaks count="1" manualBreakCount="1">
    <brk id="27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34"/>
  <sheetViews>
    <sheetView view="pageBreakPreview" topLeftCell="A3" zoomScaleNormal="100" zoomScaleSheetLayoutView="100" workbookViewId="0">
      <selection activeCell="C10" sqref="C10:C25"/>
    </sheetView>
  </sheetViews>
  <sheetFormatPr defaultRowHeight="12.75" x14ac:dyDescent="0.2"/>
  <cols>
    <col min="1" max="1" width="6.5" style="1" customWidth="1"/>
    <col min="2" max="2" width="21.625" style="1" customWidth="1"/>
    <col min="3" max="3" width="4" style="1" customWidth="1"/>
    <col min="4" max="4" width="5" style="1" customWidth="1"/>
    <col min="5" max="6" width="3.875" style="1" customWidth="1"/>
    <col min="7" max="7" width="4.625" style="1" customWidth="1"/>
    <col min="8" max="8" width="5" style="7" customWidth="1"/>
    <col min="9" max="10" width="3.875" style="1" customWidth="1"/>
    <col min="11" max="11" width="5.125" style="1" customWidth="1"/>
    <col min="12" max="12" width="5" style="7" customWidth="1"/>
    <col min="13" max="14" width="3.875" style="1" customWidth="1"/>
    <col min="15" max="15" width="5.625" style="1" customWidth="1"/>
    <col min="16" max="16" width="5" style="1" customWidth="1"/>
    <col min="17" max="18" width="3.875" style="1" customWidth="1"/>
    <col min="19" max="19" width="4.625" style="1" customWidth="1"/>
    <col min="20" max="20" width="5" style="7" customWidth="1"/>
    <col min="21" max="22" width="3.875" style="1" customWidth="1"/>
    <col min="23" max="23" width="4.625" style="1" customWidth="1"/>
    <col min="24" max="24" width="4.75" style="1" customWidth="1"/>
    <col min="25" max="25" width="4" style="1" customWidth="1"/>
    <col min="26" max="26" width="4.125" style="1" customWidth="1"/>
    <col min="27" max="27" width="4.25" style="1" customWidth="1"/>
    <col min="28" max="28" width="4" style="1" customWidth="1"/>
    <col min="29" max="255" width="9" style="1"/>
    <col min="256" max="256" width="5" style="1" customWidth="1"/>
    <col min="257" max="257" width="20.5" style="1" customWidth="1"/>
    <col min="258" max="258" width="2.375" style="1" customWidth="1"/>
    <col min="259" max="259" width="3.75" style="1" customWidth="1"/>
    <col min="260" max="261" width="5" style="1" customWidth="1"/>
    <col min="262" max="263" width="3.75" style="1" customWidth="1"/>
    <col min="264" max="265" width="5" style="1" customWidth="1"/>
    <col min="266" max="267" width="3.75" style="1" customWidth="1"/>
    <col min="268" max="269" width="5" style="1" customWidth="1"/>
    <col min="270" max="271" width="3.75" style="1" customWidth="1"/>
    <col min="272" max="273" width="5" style="1" customWidth="1"/>
    <col min="274" max="275" width="3.75" style="1" customWidth="1"/>
    <col min="276" max="277" width="5" style="1" customWidth="1"/>
    <col min="278" max="279" width="3.75" style="1" customWidth="1"/>
    <col min="280" max="280" width="3.5" style="1" customWidth="1"/>
    <col min="281" max="511" width="9" style="1"/>
    <col min="512" max="512" width="5" style="1" customWidth="1"/>
    <col min="513" max="513" width="20.5" style="1" customWidth="1"/>
    <col min="514" max="514" width="2.375" style="1" customWidth="1"/>
    <col min="515" max="515" width="3.75" style="1" customWidth="1"/>
    <col min="516" max="517" width="5" style="1" customWidth="1"/>
    <col min="518" max="519" width="3.75" style="1" customWidth="1"/>
    <col min="520" max="521" width="5" style="1" customWidth="1"/>
    <col min="522" max="523" width="3.75" style="1" customWidth="1"/>
    <col min="524" max="525" width="5" style="1" customWidth="1"/>
    <col min="526" max="527" width="3.75" style="1" customWidth="1"/>
    <col min="528" max="529" width="5" style="1" customWidth="1"/>
    <col min="530" max="531" width="3.75" style="1" customWidth="1"/>
    <col min="532" max="533" width="5" style="1" customWidth="1"/>
    <col min="534" max="535" width="3.75" style="1" customWidth="1"/>
    <col min="536" max="536" width="3.5" style="1" customWidth="1"/>
    <col min="537" max="767" width="9" style="1"/>
    <col min="768" max="768" width="5" style="1" customWidth="1"/>
    <col min="769" max="769" width="20.5" style="1" customWidth="1"/>
    <col min="770" max="770" width="2.375" style="1" customWidth="1"/>
    <col min="771" max="771" width="3.75" style="1" customWidth="1"/>
    <col min="772" max="773" width="5" style="1" customWidth="1"/>
    <col min="774" max="775" width="3.75" style="1" customWidth="1"/>
    <col min="776" max="777" width="5" style="1" customWidth="1"/>
    <col min="778" max="779" width="3.75" style="1" customWidth="1"/>
    <col min="780" max="781" width="5" style="1" customWidth="1"/>
    <col min="782" max="783" width="3.75" style="1" customWidth="1"/>
    <col min="784" max="785" width="5" style="1" customWidth="1"/>
    <col min="786" max="787" width="3.75" style="1" customWidth="1"/>
    <col min="788" max="789" width="5" style="1" customWidth="1"/>
    <col min="790" max="791" width="3.75" style="1" customWidth="1"/>
    <col min="792" max="792" width="3.5" style="1" customWidth="1"/>
    <col min="793" max="1023" width="9" style="1"/>
    <col min="1024" max="1024" width="5" style="1" customWidth="1"/>
    <col min="1025" max="1025" width="20.5" style="1" customWidth="1"/>
    <col min="1026" max="1026" width="2.375" style="1" customWidth="1"/>
    <col min="1027" max="1027" width="3.75" style="1" customWidth="1"/>
    <col min="1028" max="1029" width="5" style="1" customWidth="1"/>
    <col min="1030" max="1031" width="3.75" style="1" customWidth="1"/>
    <col min="1032" max="1033" width="5" style="1" customWidth="1"/>
    <col min="1034" max="1035" width="3.75" style="1" customWidth="1"/>
    <col min="1036" max="1037" width="5" style="1" customWidth="1"/>
    <col min="1038" max="1039" width="3.75" style="1" customWidth="1"/>
    <col min="1040" max="1041" width="5" style="1" customWidth="1"/>
    <col min="1042" max="1043" width="3.75" style="1" customWidth="1"/>
    <col min="1044" max="1045" width="5" style="1" customWidth="1"/>
    <col min="1046" max="1047" width="3.75" style="1" customWidth="1"/>
    <col min="1048" max="1048" width="3.5" style="1" customWidth="1"/>
    <col min="1049" max="1279" width="9" style="1"/>
    <col min="1280" max="1280" width="5" style="1" customWidth="1"/>
    <col min="1281" max="1281" width="20.5" style="1" customWidth="1"/>
    <col min="1282" max="1282" width="2.375" style="1" customWidth="1"/>
    <col min="1283" max="1283" width="3.75" style="1" customWidth="1"/>
    <col min="1284" max="1285" width="5" style="1" customWidth="1"/>
    <col min="1286" max="1287" width="3.75" style="1" customWidth="1"/>
    <col min="1288" max="1289" width="5" style="1" customWidth="1"/>
    <col min="1290" max="1291" width="3.75" style="1" customWidth="1"/>
    <col min="1292" max="1293" width="5" style="1" customWidth="1"/>
    <col min="1294" max="1295" width="3.75" style="1" customWidth="1"/>
    <col min="1296" max="1297" width="5" style="1" customWidth="1"/>
    <col min="1298" max="1299" width="3.75" style="1" customWidth="1"/>
    <col min="1300" max="1301" width="5" style="1" customWidth="1"/>
    <col min="1302" max="1303" width="3.75" style="1" customWidth="1"/>
    <col min="1304" max="1304" width="3.5" style="1" customWidth="1"/>
    <col min="1305" max="1535" width="9" style="1"/>
    <col min="1536" max="1536" width="5" style="1" customWidth="1"/>
    <col min="1537" max="1537" width="20.5" style="1" customWidth="1"/>
    <col min="1538" max="1538" width="2.375" style="1" customWidth="1"/>
    <col min="1539" max="1539" width="3.75" style="1" customWidth="1"/>
    <col min="1540" max="1541" width="5" style="1" customWidth="1"/>
    <col min="1542" max="1543" width="3.75" style="1" customWidth="1"/>
    <col min="1544" max="1545" width="5" style="1" customWidth="1"/>
    <col min="1546" max="1547" width="3.75" style="1" customWidth="1"/>
    <col min="1548" max="1549" width="5" style="1" customWidth="1"/>
    <col min="1550" max="1551" width="3.75" style="1" customWidth="1"/>
    <col min="1552" max="1553" width="5" style="1" customWidth="1"/>
    <col min="1554" max="1555" width="3.75" style="1" customWidth="1"/>
    <col min="1556" max="1557" width="5" style="1" customWidth="1"/>
    <col min="1558" max="1559" width="3.75" style="1" customWidth="1"/>
    <col min="1560" max="1560" width="3.5" style="1" customWidth="1"/>
    <col min="1561" max="1791" width="9" style="1"/>
    <col min="1792" max="1792" width="5" style="1" customWidth="1"/>
    <col min="1793" max="1793" width="20.5" style="1" customWidth="1"/>
    <col min="1794" max="1794" width="2.375" style="1" customWidth="1"/>
    <col min="1795" max="1795" width="3.75" style="1" customWidth="1"/>
    <col min="1796" max="1797" width="5" style="1" customWidth="1"/>
    <col min="1798" max="1799" width="3.75" style="1" customWidth="1"/>
    <col min="1800" max="1801" width="5" style="1" customWidth="1"/>
    <col min="1802" max="1803" width="3.75" style="1" customWidth="1"/>
    <col min="1804" max="1805" width="5" style="1" customWidth="1"/>
    <col min="1806" max="1807" width="3.75" style="1" customWidth="1"/>
    <col min="1808" max="1809" width="5" style="1" customWidth="1"/>
    <col min="1810" max="1811" width="3.75" style="1" customWidth="1"/>
    <col min="1812" max="1813" width="5" style="1" customWidth="1"/>
    <col min="1814" max="1815" width="3.75" style="1" customWidth="1"/>
    <col min="1816" max="1816" width="3.5" style="1" customWidth="1"/>
    <col min="1817" max="2047" width="9" style="1"/>
    <col min="2048" max="2048" width="5" style="1" customWidth="1"/>
    <col min="2049" max="2049" width="20.5" style="1" customWidth="1"/>
    <col min="2050" max="2050" width="2.375" style="1" customWidth="1"/>
    <col min="2051" max="2051" width="3.75" style="1" customWidth="1"/>
    <col min="2052" max="2053" width="5" style="1" customWidth="1"/>
    <col min="2054" max="2055" width="3.75" style="1" customWidth="1"/>
    <col min="2056" max="2057" width="5" style="1" customWidth="1"/>
    <col min="2058" max="2059" width="3.75" style="1" customWidth="1"/>
    <col min="2060" max="2061" width="5" style="1" customWidth="1"/>
    <col min="2062" max="2063" width="3.75" style="1" customWidth="1"/>
    <col min="2064" max="2065" width="5" style="1" customWidth="1"/>
    <col min="2066" max="2067" width="3.75" style="1" customWidth="1"/>
    <col min="2068" max="2069" width="5" style="1" customWidth="1"/>
    <col min="2070" max="2071" width="3.75" style="1" customWidth="1"/>
    <col min="2072" max="2072" width="3.5" style="1" customWidth="1"/>
    <col min="2073" max="2303" width="9" style="1"/>
    <col min="2304" max="2304" width="5" style="1" customWidth="1"/>
    <col min="2305" max="2305" width="20.5" style="1" customWidth="1"/>
    <col min="2306" max="2306" width="2.375" style="1" customWidth="1"/>
    <col min="2307" max="2307" width="3.75" style="1" customWidth="1"/>
    <col min="2308" max="2309" width="5" style="1" customWidth="1"/>
    <col min="2310" max="2311" width="3.75" style="1" customWidth="1"/>
    <col min="2312" max="2313" width="5" style="1" customWidth="1"/>
    <col min="2314" max="2315" width="3.75" style="1" customWidth="1"/>
    <col min="2316" max="2317" width="5" style="1" customWidth="1"/>
    <col min="2318" max="2319" width="3.75" style="1" customWidth="1"/>
    <col min="2320" max="2321" width="5" style="1" customWidth="1"/>
    <col min="2322" max="2323" width="3.75" style="1" customWidth="1"/>
    <col min="2324" max="2325" width="5" style="1" customWidth="1"/>
    <col min="2326" max="2327" width="3.75" style="1" customWidth="1"/>
    <col min="2328" max="2328" width="3.5" style="1" customWidth="1"/>
    <col min="2329" max="2559" width="9" style="1"/>
    <col min="2560" max="2560" width="5" style="1" customWidth="1"/>
    <col min="2561" max="2561" width="20.5" style="1" customWidth="1"/>
    <col min="2562" max="2562" width="2.375" style="1" customWidth="1"/>
    <col min="2563" max="2563" width="3.75" style="1" customWidth="1"/>
    <col min="2564" max="2565" width="5" style="1" customWidth="1"/>
    <col min="2566" max="2567" width="3.75" style="1" customWidth="1"/>
    <col min="2568" max="2569" width="5" style="1" customWidth="1"/>
    <col min="2570" max="2571" width="3.75" style="1" customWidth="1"/>
    <col min="2572" max="2573" width="5" style="1" customWidth="1"/>
    <col min="2574" max="2575" width="3.75" style="1" customWidth="1"/>
    <col min="2576" max="2577" width="5" style="1" customWidth="1"/>
    <col min="2578" max="2579" width="3.75" style="1" customWidth="1"/>
    <col min="2580" max="2581" width="5" style="1" customWidth="1"/>
    <col min="2582" max="2583" width="3.75" style="1" customWidth="1"/>
    <col min="2584" max="2584" width="3.5" style="1" customWidth="1"/>
    <col min="2585" max="2815" width="9" style="1"/>
    <col min="2816" max="2816" width="5" style="1" customWidth="1"/>
    <col min="2817" max="2817" width="20.5" style="1" customWidth="1"/>
    <col min="2818" max="2818" width="2.375" style="1" customWidth="1"/>
    <col min="2819" max="2819" width="3.75" style="1" customWidth="1"/>
    <col min="2820" max="2821" width="5" style="1" customWidth="1"/>
    <col min="2822" max="2823" width="3.75" style="1" customWidth="1"/>
    <col min="2824" max="2825" width="5" style="1" customWidth="1"/>
    <col min="2826" max="2827" width="3.75" style="1" customWidth="1"/>
    <col min="2828" max="2829" width="5" style="1" customWidth="1"/>
    <col min="2830" max="2831" width="3.75" style="1" customWidth="1"/>
    <col min="2832" max="2833" width="5" style="1" customWidth="1"/>
    <col min="2834" max="2835" width="3.75" style="1" customWidth="1"/>
    <col min="2836" max="2837" width="5" style="1" customWidth="1"/>
    <col min="2838" max="2839" width="3.75" style="1" customWidth="1"/>
    <col min="2840" max="2840" width="3.5" style="1" customWidth="1"/>
    <col min="2841" max="3071" width="9" style="1"/>
    <col min="3072" max="3072" width="5" style="1" customWidth="1"/>
    <col min="3073" max="3073" width="20.5" style="1" customWidth="1"/>
    <col min="3074" max="3074" width="2.375" style="1" customWidth="1"/>
    <col min="3075" max="3075" width="3.75" style="1" customWidth="1"/>
    <col min="3076" max="3077" width="5" style="1" customWidth="1"/>
    <col min="3078" max="3079" width="3.75" style="1" customWidth="1"/>
    <col min="3080" max="3081" width="5" style="1" customWidth="1"/>
    <col min="3082" max="3083" width="3.75" style="1" customWidth="1"/>
    <col min="3084" max="3085" width="5" style="1" customWidth="1"/>
    <col min="3086" max="3087" width="3.75" style="1" customWidth="1"/>
    <col min="3088" max="3089" width="5" style="1" customWidth="1"/>
    <col min="3090" max="3091" width="3.75" style="1" customWidth="1"/>
    <col min="3092" max="3093" width="5" style="1" customWidth="1"/>
    <col min="3094" max="3095" width="3.75" style="1" customWidth="1"/>
    <col min="3096" max="3096" width="3.5" style="1" customWidth="1"/>
    <col min="3097" max="3327" width="9" style="1"/>
    <col min="3328" max="3328" width="5" style="1" customWidth="1"/>
    <col min="3329" max="3329" width="20.5" style="1" customWidth="1"/>
    <col min="3330" max="3330" width="2.375" style="1" customWidth="1"/>
    <col min="3331" max="3331" width="3.75" style="1" customWidth="1"/>
    <col min="3332" max="3333" width="5" style="1" customWidth="1"/>
    <col min="3334" max="3335" width="3.75" style="1" customWidth="1"/>
    <col min="3336" max="3337" width="5" style="1" customWidth="1"/>
    <col min="3338" max="3339" width="3.75" style="1" customWidth="1"/>
    <col min="3340" max="3341" width="5" style="1" customWidth="1"/>
    <col min="3342" max="3343" width="3.75" style="1" customWidth="1"/>
    <col min="3344" max="3345" width="5" style="1" customWidth="1"/>
    <col min="3346" max="3347" width="3.75" style="1" customWidth="1"/>
    <col min="3348" max="3349" width="5" style="1" customWidth="1"/>
    <col min="3350" max="3351" width="3.75" style="1" customWidth="1"/>
    <col min="3352" max="3352" width="3.5" style="1" customWidth="1"/>
    <col min="3353" max="3583" width="9" style="1"/>
    <col min="3584" max="3584" width="5" style="1" customWidth="1"/>
    <col min="3585" max="3585" width="20.5" style="1" customWidth="1"/>
    <col min="3586" max="3586" width="2.375" style="1" customWidth="1"/>
    <col min="3587" max="3587" width="3.75" style="1" customWidth="1"/>
    <col min="3588" max="3589" width="5" style="1" customWidth="1"/>
    <col min="3590" max="3591" width="3.75" style="1" customWidth="1"/>
    <col min="3592" max="3593" width="5" style="1" customWidth="1"/>
    <col min="3594" max="3595" width="3.75" style="1" customWidth="1"/>
    <col min="3596" max="3597" width="5" style="1" customWidth="1"/>
    <col min="3598" max="3599" width="3.75" style="1" customWidth="1"/>
    <col min="3600" max="3601" width="5" style="1" customWidth="1"/>
    <col min="3602" max="3603" width="3.75" style="1" customWidth="1"/>
    <col min="3604" max="3605" width="5" style="1" customWidth="1"/>
    <col min="3606" max="3607" width="3.75" style="1" customWidth="1"/>
    <col min="3608" max="3608" width="3.5" style="1" customWidth="1"/>
    <col min="3609" max="3839" width="9" style="1"/>
    <col min="3840" max="3840" width="5" style="1" customWidth="1"/>
    <col min="3841" max="3841" width="20.5" style="1" customWidth="1"/>
    <col min="3842" max="3842" width="2.375" style="1" customWidth="1"/>
    <col min="3843" max="3843" width="3.75" style="1" customWidth="1"/>
    <col min="3844" max="3845" width="5" style="1" customWidth="1"/>
    <col min="3846" max="3847" width="3.75" style="1" customWidth="1"/>
    <col min="3848" max="3849" width="5" style="1" customWidth="1"/>
    <col min="3850" max="3851" width="3.75" style="1" customWidth="1"/>
    <col min="3852" max="3853" width="5" style="1" customWidth="1"/>
    <col min="3854" max="3855" width="3.75" style="1" customWidth="1"/>
    <col min="3856" max="3857" width="5" style="1" customWidth="1"/>
    <col min="3858" max="3859" width="3.75" style="1" customWidth="1"/>
    <col min="3860" max="3861" width="5" style="1" customWidth="1"/>
    <col min="3862" max="3863" width="3.75" style="1" customWidth="1"/>
    <col min="3864" max="3864" width="3.5" style="1" customWidth="1"/>
    <col min="3865" max="4095" width="9" style="1"/>
    <col min="4096" max="4096" width="5" style="1" customWidth="1"/>
    <col min="4097" max="4097" width="20.5" style="1" customWidth="1"/>
    <col min="4098" max="4098" width="2.375" style="1" customWidth="1"/>
    <col min="4099" max="4099" width="3.75" style="1" customWidth="1"/>
    <col min="4100" max="4101" width="5" style="1" customWidth="1"/>
    <col min="4102" max="4103" width="3.75" style="1" customWidth="1"/>
    <col min="4104" max="4105" width="5" style="1" customWidth="1"/>
    <col min="4106" max="4107" width="3.75" style="1" customWidth="1"/>
    <col min="4108" max="4109" width="5" style="1" customWidth="1"/>
    <col min="4110" max="4111" width="3.75" style="1" customWidth="1"/>
    <col min="4112" max="4113" width="5" style="1" customWidth="1"/>
    <col min="4114" max="4115" width="3.75" style="1" customWidth="1"/>
    <col min="4116" max="4117" width="5" style="1" customWidth="1"/>
    <col min="4118" max="4119" width="3.75" style="1" customWidth="1"/>
    <col min="4120" max="4120" width="3.5" style="1" customWidth="1"/>
    <col min="4121" max="4351" width="9" style="1"/>
    <col min="4352" max="4352" width="5" style="1" customWidth="1"/>
    <col min="4353" max="4353" width="20.5" style="1" customWidth="1"/>
    <col min="4354" max="4354" width="2.375" style="1" customWidth="1"/>
    <col min="4355" max="4355" width="3.75" style="1" customWidth="1"/>
    <col min="4356" max="4357" width="5" style="1" customWidth="1"/>
    <col min="4358" max="4359" width="3.75" style="1" customWidth="1"/>
    <col min="4360" max="4361" width="5" style="1" customWidth="1"/>
    <col min="4362" max="4363" width="3.75" style="1" customWidth="1"/>
    <col min="4364" max="4365" width="5" style="1" customWidth="1"/>
    <col min="4366" max="4367" width="3.75" style="1" customWidth="1"/>
    <col min="4368" max="4369" width="5" style="1" customWidth="1"/>
    <col min="4370" max="4371" width="3.75" style="1" customWidth="1"/>
    <col min="4372" max="4373" width="5" style="1" customWidth="1"/>
    <col min="4374" max="4375" width="3.75" style="1" customWidth="1"/>
    <col min="4376" max="4376" width="3.5" style="1" customWidth="1"/>
    <col min="4377" max="4607" width="9" style="1"/>
    <col min="4608" max="4608" width="5" style="1" customWidth="1"/>
    <col min="4609" max="4609" width="20.5" style="1" customWidth="1"/>
    <col min="4610" max="4610" width="2.375" style="1" customWidth="1"/>
    <col min="4611" max="4611" width="3.75" style="1" customWidth="1"/>
    <col min="4612" max="4613" width="5" style="1" customWidth="1"/>
    <col min="4614" max="4615" width="3.75" style="1" customWidth="1"/>
    <col min="4616" max="4617" width="5" style="1" customWidth="1"/>
    <col min="4618" max="4619" width="3.75" style="1" customWidth="1"/>
    <col min="4620" max="4621" width="5" style="1" customWidth="1"/>
    <col min="4622" max="4623" width="3.75" style="1" customWidth="1"/>
    <col min="4624" max="4625" width="5" style="1" customWidth="1"/>
    <col min="4626" max="4627" width="3.75" style="1" customWidth="1"/>
    <col min="4628" max="4629" width="5" style="1" customWidth="1"/>
    <col min="4630" max="4631" width="3.75" style="1" customWidth="1"/>
    <col min="4632" max="4632" width="3.5" style="1" customWidth="1"/>
    <col min="4633" max="4863" width="9" style="1"/>
    <col min="4864" max="4864" width="5" style="1" customWidth="1"/>
    <col min="4865" max="4865" width="20.5" style="1" customWidth="1"/>
    <col min="4866" max="4866" width="2.375" style="1" customWidth="1"/>
    <col min="4867" max="4867" width="3.75" style="1" customWidth="1"/>
    <col min="4868" max="4869" width="5" style="1" customWidth="1"/>
    <col min="4870" max="4871" width="3.75" style="1" customWidth="1"/>
    <col min="4872" max="4873" width="5" style="1" customWidth="1"/>
    <col min="4874" max="4875" width="3.75" style="1" customWidth="1"/>
    <col min="4876" max="4877" width="5" style="1" customWidth="1"/>
    <col min="4878" max="4879" width="3.75" style="1" customWidth="1"/>
    <col min="4880" max="4881" width="5" style="1" customWidth="1"/>
    <col min="4882" max="4883" width="3.75" style="1" customWidth="1"/>
    <col min="4884" max="4885" width="5" style="1" customWidth="1"/>
    <col min="4886" max="4887" width="3.75" style="1" customWidth="1"/>
    <col min="4888" max="4888" width="3.5" style="1" customWidth="1"/>
    <col min="4889" max="5119" width="9" style="1"/>
    <col min="5120" max="5120" width="5" style="1" customWidth="1"/>
    <col min="5121" max="5121" width="20.5" style="1" customWidth="1"/>
    <col min="5122" max="5122" width="2.375" style="1" customWidth="1"/>
    <col min="5123" max="5123" width="3.75" style="1" customWidth="1"/>
    <col min="5124" max="5125" width="5" style="1" customWidth="1"/>
    <col min="5126" max="5127" width="3.75" style="1" customWidth="1"/>
    <col min="5128" max="5129" width="5" style="1" customWidth="1"/>
    <col min="5130" max="5131" width="3.75" style="1" customWidth="1"/>
    <col min="5132" max="5133" width="5" style="1" customWidth="1"/>
    <col min="5134" max="5135" width="3.75" style="1" customWidth="1"/>
    <col min="5136" max="5137" width="5" style="1" customWidth="1"/>
    <col min="5138" max="5139" width="3.75" style="1" customWidth="1"/>
    <col min="5140" max="5141" width="5" style="1" customWidth="1"/>
    <col min="5142" max="5143" width="3.75" style="1" customWidth="1"/>
    <col min="5144" max="5144" width="3.5" style="1" customWidth="1"/>
    <col min="5145" max="5375" width="9" style="1"/>
    <col min="5376" max="5376" width="5" style="1" customWidth="1"/>
    <col min="5377" max="5377" width="20.5" style="1" customWidth="1"/>
    <col min="5378" max="5378" width="2.375" style="1" customWidth="1"/>
    <col min="5379" max="5379" width="3.75" style="1" customWidth="1"/>
    <col min="5380" max="5381" width="5" style="1" customWidth="1"/>
    <col min="5382" max="5383" width="3.75" style="1" customWidth="1"/>
    <col min="5384" max="5385" width="5" style="1" customWidth="1"/>
    <col min="5386" max="5387" width="3.75" style="1" customWidth="1"/>
    <col min="5388" max="5389" width="5" style="1" customWidth="1"/>
    <col min="5390" max="5391" width="3.75" style="1" customWidth="1"/>
    <col min="5392" max="5393" width="5" style="1" customWidth="1"/>
    <col min="5394" max="5395" width="3.75" style="1" customWidth="1"/>
    <col min="5396" max="5397" width="5" style="1" customWidth="1"/>
    <col min="5398" max="5399" width="3.75" style="1" customWidth="1"/>
    <col min="5400" max="5400" width="3.5" style="1" customWidth="1"/>
    <col min="5401" max="5631" width="9" style="1"/>
    <col min="5632" max="5632" width="5" style="1" customWidth="1"/>
    <col min="5633" max="5633" width="20.5" style="1" customWidth="1"/>
    <col min="5634" max="5634" width="2.375" style="1" customWidth="1"/>
    <col min="5635" max="5635" width="3.75" style="1" customWidth="1"/>
    <col min="5636" max="5637" width="5" style="1" customWidth="1"/>
    <col min="5638" max="5639" width="3.75" style="1" customWidth="1"/>
    <col min="5640" max="5641" width="5" style="1" customWidth="1"/>
    <col min="5642" max="5643" width="3.75" style="1" customWidth="1"/>
    <col min="5644" max="5645" width="5" style="1" customWidth="1"/>
    <col min="5646" max="5647" width="3.75" style="1" customWidth="1"/>
    <col min="5648" max="5649" width="5" style="1" customWidth="1"/>
    <col min="5650" max="5651" width="3.75" style="1" customWidth="1"/>
    <col min="5652" max="5653" width="5" style="1" customWidth="1"/>
    <col min="5654" max="5655" width="3.75" style="1" customWidth="1"/>
    <col min="5656" max="5656" width="3.5" style="1" customWidth="1"/>
    <col min="5657" max="5887" width="9" style="1"/>
    <col min="5888" max="5888" width="5" style="1" customWidth="1"/>
    <col min="5889" max="5889" width="20.5" style="1" customWidth="1"/>
    <col min="5890" max="5890" width="2.375" style="1" customWidth="1"/>
    <col min="5891" max="5891" width="3.75" style="1" customWidth="1"/>
    <col min="5892" max="5893" width="5" style="1" customWidth="1"/>
    <col min="5894" max="5895" width="3.75" style="1" customWidth="1"/>
    <col min="5896" max="5897" width="5" style="1" customWidth="1"/>
    <col min="5898" max="5899" width="3.75" style="1" customWidth="1"/>
    <col min="5900" max="5901" width="5" style="1" customWidth="1"/>
    <col min="5902" max="5903" width="3.75" style="1" customWidth="1"/>
    <col min="5904" max="5905" width="5" style="1" customWidth="1"/>
    <col min="5906" max="5907" width="3.75" style="1" customWidth="1"/>
    <col min="5908" max="5909" width="5" style="1" customWidth="1"/>
    <col min="5910" max="5911" width="3.75" style="1" customWidth="1"/>
    <col min="5912" max="5912" width="3.5" style="1" customWidth="1"/>
    <col min="5913" max="6143" width="9" style="1"/>
    <col min="6144" max="6144" width="5" style="1" customWidth="1"/>
    <col min="6145" max="6145" width="20.5" style="1" customWidth="1"/>
    <col min="6146" max="6146" width="2.375" style="1" customWidth="1"/>
    <col min="6147" max="6147" width="3.75" style="1" customWidth="1"/>
    <col min="6148" max="6149" width="5" style="1" customWidth="1"/>
    <col min="6150" max="6151" width="3.75" style="1" customWidth="1"/>
    <col min="6152" max="6153" width="5" style="1" customWidth="1"/>
    <col min="6154" max="6155" width="3.75" style="1" customWidth="1"/>
    <col min="6156" max="6157" width="5" style="1" customWidth="1"/>
    <col min="6158" max="6159" width="3.75" style="1" customWidth="1"/>
    <col min="6160" max="6161" width="5" style="1" customWidth="1"/>
    <col min="6162" max="6163" width="3.75" style="1" customWidth="1"/>
    <col min="6164" max="6165" width="5" style="1" customWidth="1"/>
    <col min="6166" max="6167" width="3.75" style="1" customWidth="1"/>
    <col min="6168" max="6168" width="3.5" style="1" customWidth="1"/>
    <col min="6169" max="6399" width="9" style="1"/>
    <col min="6400" max="6400" width="5" style="1" customWidth="1"/>
    <col min="6401" max="6401" width="20.5" style="1" customWidth="1"/>
    <col min="6402" max="6402" width="2.375" style="1" customWidth="1"/>
    <col min="6403" max="6403" width="3.75" style="1" customWidth="1"/>
    <col min="6404" max="6405" width="5" style="1" customWidth="1"/>
    <col min="6406" max="6407" width="3.75" style="1" customWidth="1"/>
    <col min="6408" max="6409" width="5" style="1" customWidth="1"/>
    <col min="6410" max="6411" width="3.75" style="1" customWidth="1"/>
    <col min="6412" max="6413" width="5" style="1" customWidth="1"/>
    <col min="6414" max="6415" width="3.75" style="1" customWidth="1"/>
    <col min="6416" max="6417" width="5" style="1" customWidth="1"/>
    <col min="6418" max="6419" width="3.75" style="1" customWidth="1"/>
    <col min="6420" max="6421" width="5" style="1" customWidth="1"/>
    <col min="6422" max="6423" width="3.75" style="1" customWidth="1"/>
    <col min="6424" max="6424" width="3.5" style="1" customWidth="1"/>
    <col min="6425" max="6655" width="9" style="1"/>
    <col min="6656" max="6656" width="5" style="1" customWidth="1"/>
    <col min="6657" max="6657" width="20.5" style="1" customWidth="1"/>
    <col min="6658" max="6658" width="2.375" style="1" customWidth="1"/>
    <col min="6659" max="6659" width="3.75" style="1" customWidth="1"/>
    <col min="6660" max="6661" width="5" style="1" customWidth="1"/>
    <col min="6662" max="6663" width="3.75" style="1" customWidth="1"/>
    <col min="6664" max="6665" width="5" style="1" customWidth="1"/>
    <col min="6666" max="6667" width="3.75" style="1" customWidth="1"/>
    <col min="6668" max="6669" width="5" style="1" customWidth="1"/>
    <col min="6670" max="6671" width="3.75" style="1" customWidth="1"/>
    <col min="6672" max="6673" width="5" style="1" customWidth="1"/>
    <col min="6674" max="6675" width="3.75" style="1" customWidth="1"/>
    <col min="6676" max="6677" width="5" style="1" customWidth="1"/>
    <col min="6678" max="6679" width="3.75" style="1" customWidth="1"/>
    <col min="6680" max="6680" width="3.5" style="1" customWidth="1"/>
    <col min="6681" max="6911" width="9" style="1"/>
    <col min="6912" max="6912" width="5" style="1" customWidth="1"/>
    <col min="6913" max="6913" width="20.5" style="1" customWidth="1"/>
    <col min="6914" max="6914" width="2.375" style="1" customWidth="1"/>
    <col min="6915" max="6915" width="3.75" style="1" customWidth="1"/>
    <col min="6916" max="6917" width="5" style="1" customWidth="1"/>
    <col min="6918" max="6919" width="3.75" style="1" customWidth="1"/>
    <col min="6920" max="6921" width="5" style="1" customWidth="1"/>
    <col min="6922" max="6923" width="3.75" style="1" customWidth="1"/>
    <col min="6924" max="6925" width="5" style="1" customWidth="1"/>
    <col min="6926" max="6927" width="3.75" style="1" customWidth="1"/>
    <col min="6928" max="6929" width="5" style="1" customWidth="1"/>
    <col min="6930" max="6931" width="3.75" style="1" customWidth="1"/>
    <col min="6932" max="6933" width="5" style="1" customWidth="1"/>
    <col min="6934" max="6935" width="3.75" style="1" customWidth="1"/>
    <col min="6936" max="6936" width="3.5" style="1" customWidth="1"/>
    <col min="6937" max="7167" width="9" style="1"/>
    <col min="7168" max="7168" width="5" style="1" customWidth="1"/>
    <col min="7169" max="7169" width="20.5" style="1" customWidth="1"/>
    <col min="7170" max="7170" width="2.375" style="1" customWidth="1"/>
    <col min="7171" max="7171" width="3.75" style="1" customWidth="1"/>
    <col min="7172" max="7173" width="5" style="1" customWidth="1"/>
    <col min="7174" max="7175" width="3.75" style="1" customWidth="1"/>
    <col min="7176" max="7177" width="5" style="1" customWidth="1"/>
    <col min="7178" max="7179" width="3.75" style="1" customWidth="1"/>
    <col min="7180" max="7181" width="5" style="1" customWidth="1"/>
    <col min="7182" max="7183" width="3.75" style="1" customWidth="1"/>
    <col min="7184" max="7185" width="5" style="1" customWidth="1"/>
    <col min="7186" max="7187" width="3.75" style="1" customWidth="1"/>
    <col min="7188" max="7189" width="5" style="1" customWidth="1"/>
    <col min="7190" max="7191" width="3.75" style="1" customWidth="1"/>
    <col min="7192" max="7192" width="3.5" style="1" customWidth="1"/>
    <col min="7193" max="7423" width="9" style="1"/>
    <col min="7424" max="7424" width="5" style="1" customWidth="1"/>
    <col min="7425" max="7425" width="20.5" style="1" customWidth="1"/>
    <col min="7426" max="7426" width="2.375" style="1" customWidth="1"/>
    <col min="7427" max="7427" width="3.75" style="1" customWidth="1"/>
    <col min="7428" max="7429" width="5" style="1" customWidth="1"/>
    <col min="7430" max="7431" width="3.75" style="1" customWidth="1"/>
    <col min="7432" max="7433" width="5" style="1" customWidth="1"/>
    <col min="7434" max="7435" width="3.75" style="1" customWidth="1"/>
    <col min="7436" max="7437" width="5" style="1" customWidth="1"/>
    <col min="7438" max="7439" width="3.75" style="1" customWidth="1"/>
    <col min="7440" max="7441" width="5" style="1" customWidth="1"/>
    <col min="7442" max="7443" width="3.75" style="1" customWidth="1"/>
    <col min="7444" max="7445" width="5" style="1" customWidth="1"/>
    <col min="7446" max="7447" width="3.75" style="1" customWidth="1"/>
    <col min="7448" max="7448" width="3.5" style="1" customWidth="1"/>
    <col min="7449" max="7679" width="9" style="1"/>
    <col min="7680" max="7680" width="5" style="1" customWidth="1"/>
    <col min="7681" max="7681" width="20.5" style="1" customWidth="1"/>
    <col min="7682" max="7682" width="2.375" style="1" customWidth="1"/>
    <col min="7683" max="7683" width="3.75" style="1" customWidth="1"/>
    <col min="7684" max="7685" width="5" style="1" customWidth="1"/>
    <col min="7686" max="7687" width="3.75" style="1" customWidth="1"/>
    <col min="7688" max="7689" width="5" style="1" customWidth="1"/>
    <col min="7690" max="7691" width="3.75" style="1" customWidth="1"/>
    <col min="7692" max="7693" width="5" style="1" customWidth="1"/>
    <col min="7694" max="7695" width="3.75" style="1" customWidth="1"/>
    <col min="7696" max="7697" width="5" style="1" customWidth="1"/>
    <col min="7698" max="7699" width="3.75" style="1" customWidth="1"/>
    <col min="7700" max="7701" width="5" style="1" customWidth="1"/>
    <col min="7702" max="7703" width="3.75" style="1" customWidth="1"/>
    <col min="7704" max="7704" width="3.5" style="1" customWidth="1"/>
    <col min="7705" max="7935" width="9" style="1"/>
    <col min="7936" max="7936" width="5" style="1" customWidth="1"/>
    <col min="7937" max="7937" width="20.5" style="1" customWidth="1"/>
    <col min="7938" max="7938" width="2.375" style="1" customWidth="1"/>
    <col min="7939" max="7939" width="3.75" style="1" customWidth="1"/>
    <col min="7940" max="7941" width="5" style="1" customWidth="1"/>
    <col min="7942" max="7943" width="3.75" style="1" customWidth="1"/>
    <col min="7944" max="7945" width="5" style="1" customWidth="1"/>
    <col min="7946" max="7947" width="3.75" style="1" customWidth="1"/>
    <col min="7948" max="7949" width="5" style="1" customWidth="1"/>
    <col min="7950" max="7951" width="3.75" style="1" customWidth="1"/>
    <col min="7952" max="7953" width="5" style="1" customWidth="1"/>
    <col min="7954" max="7955" width="3.75" style="1" customWidth="1"/>
    <col min="7956" max="7957" width="5" style="1" customWidth="1"/>
    <col min="7958" max="7959" width="3.75" style="1" customWidth="1"/>
    <col min="7960" max="7960" width="3.5" style="1" customWidth="1"/>
    <col min="7961" max="8191" width="9" style="1"/>
    <col min="8192" max="8192" width="5" style="1" customWidth="1"/>
    <col min="8193" max="8193" width="20.5" style="1" customWidth="1"/>
    <col min="8194" max="8194" width="2.375" style="1" customWidth="1"/>
    <col min="8195" max="8195" width="3.75" style="1" customWidth="1"/>
    <col min="8196" max="8197" width="5" style="1" customWidth="1"/>
    <col min="8198" max="8199" width="3.75" style="1" customWidth="1"/>
    <col min="8200" max="8201" width="5" style="1" customWidth="1"/>
    <col min="8202" max="8203" width="3.75" style="1" customWidth="1"/>
    <col min="8204" max="8205" width="5" style="1" customWidth="1"/>
    <col min="8206" max="8207" width="3.75" style="1" customWidth="1"/>
    <col min="8208" max="8209" width="5" style="1" customWidth="1"/>
    <col min="8210" max="8211" width="3.75" style="1" customWidth="1"/>
    <col min="8212" max="8213" width="5" style="1" customWidth="1"/>
    <col min="8214" max="8215" width="3.75" style="1" customWidth="1"/>
    <col min="8216" max="8216" width="3.5" style="1" customWidth="1"/>
    <col min="8217" max="8447" width="9" style="1"/>
    <col min="8448" max="8448" width="5" style="1" customWidth="1"/>
    <col min="8449" max="8449" width="20.5" style="1" customWidth="1"/>
    <col min="8450" max="8450" width="2.375" style="1" customWidth="1"/>
    <col min="8451" max="8451" width="3.75" style="1" customWidth="1"/>
    <col min="8452" max="8453" width="5" style="1" customWidth="1"/>
    <col min="8454" max="8455" width="3.75" style="1" customWidth="1"/>
    <col min="8456" max="8457" width="5" style="1" customWidth="1"/>
    <col min="8458" max="8459" width="3.75" style="1" customWidth="1"/>
    <col min="8460" max="8461" width="5" style="1" customWidth="1"/>
    <col min="8462" max="8463" width="3.75" style="1" customWidth="1"/>
    <col min="8464" max="8465" width="5" style="1" customWidth="1"/>
    <col min="8466" max="8467" width="3.75" style="1" customWidth="1"/>
    <col min="8468" max="8469" width="5" style="1" customWidth="1"/>
    <col min="8470" max="8471" width="3.75" style="1" customWidth="1"/>
    <col min="8472" max="8472" width="3.5" style="1" customWidth="1"/>
    <col min="8473" max="8703" width="9" style="1"/>
    <col min="8704" max="8704" width="5" style="1" customWidth="1"/>
    <col min="8705" max="8705" width="20.5" style="1" customWidth="1"/>
    <col min="8706" max="8706" width="2.375" style="1" customWidth="1"/>
    <col min="8707" max="8707" width="3.75" style="1" customWidth="1"/>
    <col min="8708" max="8709" width="5" style="1" customWidth="1"/>
    <col min="8710" max="8711" width="3.75" style="1" customWidth="1"/>
    <col min="8712" max="8713" width="5" style="1" customWidth="1"/>
    <col min="8714" max="8715" width="3.75" style="1" customWidth="1"/>
    <col min="8716" max="8717" width="5" style="1" customWidth="1"/>
    <col min="8718" max="8719" width="3.75" style="1" customWidth="1"/>
    <col min="8720" max="8721" width="5" style="1" customWidth="1"/>
    <col min="8722" max="8723" width="3.75" style="1" customWidth="1"/>
    <col min="8724" max="8725" width="5" style="1" customWidth="1"/>
    <col min="8726" max="8727" width="3.75" style="1" customWidth="1"/>
    <col min="8728" max="8728" width="3.5" style="1" customWidth="1"/>
    <col min="8729" max="8959" width="9" style="1"/>
    <col min="8960" max="8960" width="5" style="1" customWidth="1"/>
    <col min="8961" max="8961" width="20.5" style="1" customWidth="1"/>
    <col min="8962" max="8962" width="2.375" style="1" customWidth="1"/>
    <col min="8963" max="8963" width="3.75" style="1" customWidth="1"/>
    <col min="8964" max="8965" width="5" style="1" customWidth="1"/>
    <col min="8966" max="8967" width="3.75" style="1" customWidth="1"/>
    <col min="8968" max="8969" width="5" style="1" customWidth="1"/>
    <col min="8970" max="8971" width="3.75" style="1" customWidth="1"/>
    <col min="8972" max="8973" width="5" style="1" customWidth="1"/>
    <col min="8974" max="8975" width="3.75" style="1" customWidth="1"/>
    <col min="8976" max="8977" width="5" style="1" customWidth="1"/>
    <col min="8978" max="8979" width="3.75" style="1" customWidth="1"/>
    <col min="8980" max="8981" width="5" style="1" customWidth="1"/>
    <col min="8982" max="8983" width="3.75" style="1" customWidth="1"/>
    <col min="8984" max="8984" width="3.5" style="1" customWidth="1"/>
    <col min="8985" max="9215" width="9" style="1"/>
    <col min="9216" max="9216" width="5" style="1" customWidth="1"/>
    <col min="9217" max="9217" width="20.5" style="1" customWidth="1"/>
    <col min="9218" max="9218" width="2.375" style="1" customWidth="1"/>
    <col min="9219" max="9219" width="3.75" style="1" customWidth="1"/>
    <col min="9220" max="9221" width="5" style="1" customWidth="1"/>
    <col min="9222" max="9223" width="3.75" style="1" customWidth="1"/>
    <col min="9224" max="9225" width="5" style="1" customWidth="1"/>
    <col min="9226" max="9227" width="3.75" style="1" customWidth="1"/>
    <col min="9228" max="9229" width="5" style="1" customWidth="1"/>
    <col min="9230" max="9231" width="3.75" style="1" customWidth="1"/>
    <col min="9232" max="9233" width="5" style="1" customWidth="1"/>
    <col min="9234" max="9235" width="3.75" style="1" customWidth="1"/>
    <col min="9236" max="9237" width="5" style="1" customWidth="1"/>
    <col min="9238" max="9239" width="3.75" style="1" customWidth="1"/>
    <col min="9240" max="9240" width="3.5" style="1" customWidth="1"/>
    <col min="9241" max="9471" width="9" style="1"/>
    <col min="9472" max="9472" width="5" style="1" customWidth="1"/>
    <col min="9473" max="9473" width="20.5" style="1" customWidth="1"/>
    <col min="9474" max="9474" width="2.375" style="1" customWidth="1"/>
    <col min="9475" max="9475" width="3.75" style="1" customWidth="1"/>
    <col min="9476" max="9477" width="5" style="1" customWidth="1"/>
    <col min="9478" max="9479" width="3.75" style="1" customWidth="1"/>
    <col min="9480" max="9481" width="5" style="1" customWidth="1"/>
    <col min="9482" max="9483" width="3.75" style="1" customWidth="1"/>
    <col min="9484" max="9485" width="5" style="1" customWidth="1"/>
    <col min="9486" max="9487" width="3.75" style="1" customWidth="1"/>
    <col min="9488" max="9489" width="5" style="1" customWidth="1"/>
    <col min="9490" max="9491" width="3.75" style="1" customWidth="1"/>
    <col min="9492" max="9493" width="5" style="1" customWidth="1"/>
    <col min="9494" max="9495" width="3.75" style="1" customWidth="1"/>
    <col min="9496" max="9496" width="3.5" style="1" customWidth="1"/>
    <col min="9497" max="9727" width="9" style="1"/>
    <col min="9728" max="9728" width="5" style="1" customWidth="1"/>
    <col min="9729" max="9729" width="20.5" style="1" customWidth="1"/>
    <col min="9730" max="9730" width="2.375" style="1" customWidth="1"/>
    <col min="9731" max="9731" width="3.75" style="1" customWidth="1"/>
    <col min="9732" max="9733" width="5" style="1" customWidth="1"/>
    <col min="9734" max="9735" width="3.75" style="1" customWidth="1"/>
    <col min="9736" max="9737" width="5" style="1" customWidth="1"/>
    <col min="9738" max="9739" width="3.75" style="1" customWidth="1"/>
    <col min="9740" max="9741" width="5" style="1" customWidth="1"/>
    <col min="9742" max="9743" width="3.75" style="1" customWidth="1"/>
    <col min="9744" max="9745" width="5" style="1" customWidth="1"/>
    <col min="9746" max="9747" width="3.75" style="1" customWidth="1"/>
    <col min="9748" max="9749" width="5" style="1" customWidth="1"/>
    <col min="9750" max="9751" width="3.75" style="1" customWidth="1"/>
    <col min="9752" max="9752" width="3.5" style="1" customWidth="1"/>
    <col min="9753" max="9983" width="9" style="1"/>
    <col min="9984" max="9984" width="5" style="1" customWidth="1"/>
    <col min="9985" max="9985" width="20.5" style="1" customWidth="1"/>
    <col min="9986" max="9986" width="2.375" style="1" customWidth="1"/>
    <col min="9987" max="9987" width="3.75" style="1" customWidth="1"/>
    <col min="9988" max="9989" width="5" style="1" customWidth="1"/>
    <col min="9990" max="9991" width="3.75" style="1" customWidth="1"/>
    <col min="9992" max="9993" width="5" style="1" customWidth="1"/>
    <col min="9994" max="9995" width="3.75" style="1" customWidth="1"/>
    <col min="9996" max="9997" width="5" style="1" customWidth="1"/>
    <col min="9998" max="9999" width="3.75" style="1" customWidth="1"/>
    <col min="10000" max="10001" width="5" style="1" customWidth="1"/>
    <col min="10002" max="10003" width="3.75" style="1" customWidth="1"/>
    <col min="10004" max="10005" width="5" style="1" customWidth="1"/>
    <col min="10006" max="10007" width="3.75" style="1" customWidth="1"/>
    <col min="10008" max="10008" width="3.5" style="1" customWidth="1"/>
    <col min="10009" max="10239" width="9" style="1"/>
    <col min="10240" max="10240" width="5" style="1" customWidth="1"/>
    <col min="10241" max="10241" width="20.5" style="1" customWidth="1"/>
    <col min="10242" max="10242" width="2.375" style="1" customWidth="1"/>
    <col min="10243" max="10243" width="3.75" style="1" customWidth="1"/>
    <col min="10244" max="10245" width="5" style="1" customWidth="1"/>
    <col min="10246" max="10247" width="3.75" style="1" customWidth="1"/>
    <col min="10248" max="10249" width="5" style="1" customWidth="1"/>
    <col min="10250" max="10251" width="3.75" style="1" customWidth="1"/>
    <col min="10252" max="10253" width="5" style="1" customWidth="1"/>
    <col min="10254" max="10255" width="3.75" style="1" customWidth="1"/>
    <col min="10256" max="10257" width="5" style="1" customWidth="1"/>
    <col min="10258" max="10259" width="3.75" style="1" customWidth="1"/>
    <col min="10260" max="10261" width="5" style="1" customWidth="1"/>
    <col min="10262" max="10263" width="3.75" style="1" customWidth="1"/>
    <col min="10264" max="10264" width="3.5" style="1" customWidth="1"/>
    <col min="10265" max="10495" width="9" style="1"/>
    <col min="10496" max="10496" width="5" style="1" customWidth="1"/>
    <col min="10497" max="10497" width="20.5" style="1" customWidth="1"/>
    <col min="10498" max="10498" width="2.375" style="1" customWidth="1"/>
    <col min="10499" max="10499" width="3.75" style="1" customWidth="1"/>
    <col min="10500" max="10501" width="5" style="1" customWidth="1"/>
    <col min="10502" max="10503" width="3.75" style="1" customWidth="1"/>
    <col min="10504" max="10505" width="5" style="1" customWidth="1"/>
    <col min="10506" max="10507" width="3.75" style="1" customWidth="1"/>
    <col min="10508" max="10509" width="5" style="1" customWidth="1"/>
    <col min="10510" max="10511" width="3.75" style="1" customWidth="1"/>
    <col min="10512" max="10513" width="5" style="1" customWidth="1"/>
    <col min="10514" max="10515" width="3.75" style="1" customWidth="1"/>
    <col min="10516" max="10517" width="5" style="1" customWidth="1"/>
    <col min="10518" max="10519" width="3.75" style="1" customWidth="1"/>
    <col min="10520" max="10520" width="3.5" style="1" customWidth="1"/>
    <col min="10521" max="10751" width="9" style="1"/>
    <col min="10752" max="10752" width="5" style="1" customWidth="1"/>
    <col min="10753" max="10753" width="20.5" style="1" customWidth="1"/>
    <col min="10754" max="10754" width="2.375" style="1" customWidth="1"/>
    <col min="10755" max="10755" width="3.75" style="1" customWidth="1"/>
    <col min="10756" max="10757" width="5" style="1" customWidth="1"/>
    <col min="10758" max="10759" width="3.75" style="1" customWidth="1"/>
    <col min="10760" max="10761" width="5" style="1" customWidth="1"/>
    <col min="10762" max="10763" width="3.75" style="1" customWidth="1"/>
    <col min="10764" max="10765" width="5" style="1" customWidth="1"/>
    <col min="10766" max="10767" width="3.75" style="1" customWidth="1"/>
    <col min="10768" max="10769" width="5" style="1" customWidth="1"/>
    <col min="10770" max="10771" width="3.75" style="1" customWidth="1"/>
    <col min="10772" max="10773" width="5" style="1" customWidth="1"/>
    <col min="10774" max="10775" width="3.75" style="1" customWidth="1"/>
    <col min="10776" max="10776" width="3.5" style="1" customWidth="1"/>
    <col min="10777" max="11007" width="9" style="1"/>
    <col min="11008" max="11008" width="5" style="1" customWidth="1"/>
    <col min="11009" max="11009" width="20.5" style="1" customWidth="1"/>
    <col min="11010" max="11010" width="2.375" style="1" customWidth="1"/>
    <col min="11011" max="11011" width="3.75" style="1" customWidth="1"/>
    <col min="11012" max="11013" width="5" style="1" customWidth="1"/>
    <col min="11014" max="11015" width="3.75" style="1" customWidth="1"/>
    <col min="11016" max="11017" width="5" style="1" customWidth="1"/>
    <col min="11018" max="11019" width="3.75" style="1" customWidth="1"/>
    <col min="11020" max="11021" width="5" style="1" customWidth="1"/>
    <col min="11022" max="11023" width="3.75" style="1" customWidth="1"/>
    <col min="11024" max="11025" width="5" style="1" customWidth="1"/>
    <col min="11026" max="11027" width="3.75" style="1" customWidth="1"/>
    <col min="11028" max="11029" width="5" style="1" customWidth="1"/>
    <col min="11030" max="11031" width="3.75" style="1" customWidth="1"/>
    <col min="11032" max="11032" width="3.5" style="1" customWidth="1"/>
    <col min="11033" max="11263" width="9" style="1"/>
    <col min="11264" max="11264" width="5" style="1" customWidth="1"/>
    <col min="11265" max="11265" width="20.5" style="1" customWidth="1"/>
    <col min="11266" max="11266" width="2.375" style="1" customWidth="1"/>
    <col min="11267" max="11267" width="3.75" style="1" customWidth="1"/>
    <col min="11268" max="11269" width="5" style="1" customWidth="1"/>
    <col min="11270" max="11271" width="3.75" style="1" customWidth="1"/>
    <col min="11272" max="11273" width="5" style="1" customWidth="1"/>
    <col min="11274" max="11275" width="3.75" style="1" customWidth="1"/>
    <col min="11276" max="11277" width="5" style="1" customWidth="1"/>
    <col min="11278" max="11279" width="3.75" style="1" customWidth="1"/>
    <col min="11280" max="11281" width="5" style="1" customWidth="1"/>
    <col min="11282" max="11283" width="3.75" style="1" customWidth="1"/>
    <col min="11284" max="11285" width="5" style="1" customWidth="1"/>
    <col min="11286" max="11287" width="3.75" style="1" customWidth="1"/>
    <col min="11288" max="11288" width="3.5" style="1" customWidth="1"/>
    <col min="11289" max="11519" width="9" style="1"/>
    <col min="11520" max="11520" width="5" style="1" customWidth="1"/>
    <col min="11521" max="11521" width="20.5" style="1" customWidth="1"/>
    <col min="11522" max="11522" width="2.375" style="1" customWidth="1"/>
    <col min="11523" max="11523" width="3.75" style="1" customWidth="1"/>
    <col min="11524" max="11525" width="5" style="1" customWidth="1"/>
    <col min="11526" max="11527" width="3.75" style="1" customWidth="1"/>
    <col min="11528" max="11529" width="5" style="1" customWidth="1"/>
    <col min="11530" max="11531" width="3.75" style="1" customWidth="1"/>
    <col min="11532" max="11533" width="5" style="1" customWidth="1"/>
    <col min="11534" max="11535" width="3.75" style="1" customWidth="1"/>
    <col min="11536" max="11537" width="5" style="1" customWidth="1"/>
    <col min="11538" max="11539" width="3.75" style="1" customWidth="1"/>
    <col min="11540" max="11541" width="5" style="1" customWidth="1"/>
    <col min="11542" max="11543" width="3.75" style="1" customWidth="1"/>
    <col min="11544" max="11544" width="3.5" style="1" customWidth="1"/>
    <col min="11545" max="11775" width="9" style="1"/>
    <col min="11776" max="11776" width="5" style="1" customWidth="1"/>
    <col min="11777" max="11777" width="20.5" style="1" customWidth="1"/>
    <col min="11778" max="11778" width="2.375" style="1" customWidth="1"/>
    <col min="11779" max="11779" width="3.75" style="1" customWidth="1"/>
    <col min="11780" max="11781" width="5" style="1" customWidth="1"/>
    <col min="11782" max="11783" width="3.75" style="1" customWidth="1"/>
    <col min="11784" max="11785" width="5" style="1" customWidth="1"/>
    <col min="11786" max="11787" width="3.75" style="1" customWidth="1"/>
    <col min="11788" max="11789" width="5" style="1" customWidth="1"/>
    <col min="11790" max="11791" width="3.75" style="1" customWidth="1"/>
    <col min="11792" max="11793" width="5" style="1" customWidth="1"/>
    <col min="11794" max="11795" width="3.75" style="1" customWidth="1"/>
    <col min="11796" max="11797" width="5" style="1" customWidth="1"/>
    <col min="11798" max="11799" width="3.75" style="1" customWidth="1"/>
    <col min="11800" max="11800" width="3.5" style="1" customWidth="1"/>
    <col min="11801" max="12031" width="9" style="1"/>
    <col min="12032" max="12032" width="5" style="1" customWidth="1"/>
    <col min="12033" max="12033" width="20.5" style="1" customWidth="1"/>
    <col min="12034" max="12034" width="2.375" style="1" customWidth="1"/>
    <col min="12035" max="12035" width="3.75" style="1" customWidth="1"/>
    <col min="12036" max="12037" width="5" style="1" customWidth="1"/>
    <col min="12038" max="12039" width="3.75" style="1" customWidth="1"/>
    <col min="12040" max="12041" width="5" style="1" customWidth="1"/>
    <col min="12042" max="12043" width="3.75" style="1" customWidth="1"/>
    <col min="12044" max="12045" width="5" style="1" customWidth="1"/>
    <col min="12046" max="12047" width="3.75" style="1" customWidth="1"/>
    <col min="12048" max="12049" width="5" style="1" customWidth="1"/>
    <col min="12050" max="12051" width="3.75" style="1" customWidth="1"/>
    <col min="12052" max="12053" width="5" style="1" customWidth="1"/>
    <col min="12054" max="12055" width="3.75" style="1" customWidth="1"/>
    <col min="12056" max="12056" width="3.5" style="1" customWidth="1"/>
    <col min="12057" max="12287" width="9" style="1"/>
    <col min="12288" max="12288" width="5" style="1" customWidth="1"/>
    <col min="12289" max="12289" width="20.5" style="1" customWidth="1"/>
    <col min="12290" max="12290" width="2.375" style="1" customWidth="1"/>
    <col min="12291" max="12291" width="3.75" style="1" customWidth="1"/>
    <col min="12292" max="12293" width="5" style="1" customWidth="1"/>
    <col min="12294" max="12295" width="3.75" style="1" customWidth="1"/>
    <col min="12296" max="12297" width="5" style="1" customWidth="1"/>
    <col min="12298" max="12299" width="3.75" style="1" customWidth="1"/>
    <col min="12300" max="12301" width="5" style="1" customWidth="1"/>
    <col min="12302" max="12303" width="3.75" style="1" customWidth="1"/>
    <col min="12304" max="12305" width="5" style="1" customWidth="1"/>
    <col min="12306" max="12307" width="3.75" style="1" customWidth="1"/>
    <col min="12308" max="12309" width="5" style="1" customWidth="1"/>
    <col min="12310" max="12311" width="3.75" style="1" customWidth="1"/>
    <col min="12312" max="12312" width="3.5" style="1" customWidth="1"/>
    <col min="12313" max="12543" width="9" style="1"/>
    <col min="12544" max="12544" width="5" style="1" customWidth="1"/>
    <col min="12545" max="12545" width="20.5" style="1" customWidth="1"/>
    <col min="12546" max="12546" width="2.375" style="1" customWidth="1"/>
    <col min="12547" max="12547" width="3.75" style="1" customWidth="1"/>
    <col min="12548" max="12549" width="5" style="1" customWidth="1"/>
    <col min="12550" max="12551" width="3.75" style="1" customWidth="1"/>
    <col min="12552" max="12553" width="5" style="1" customWidth="1"/>
    <col min="12554" max="12555" width="3.75" style="1" customWidth="1"/>
    <col min="12556" max="12557" width="5" style="1" customWidth="1"/>
    <col min="12558" max="12559" width="3.75" style="1" customWidth="1"/>
    <col min="12560" max="12561" width="5" style="1" customWidth="1"/>
    <col min="12562" max="12563" width="3.75" style="1" customWidth="1"/>
    <col min="12564" max="12565" width="5" style="1" customWidth="1"/>
    <col min="12566" max="12567" width="3.75" style="1" customWidth="1"/>
    <col min="12568" max="12568" width="3.5" style="1" customWidth="1"/>
    <col min="12569" max="12799" width="9" style="1"/>
    <col min="12800" max="12800" width="5" style="1" customWidth="1"/>
    <col min="12801" max="12801" width="20.5" style="1" customWidth="1"/>
    <col min="12802" max="12802" width="2.375" style="1" customWidth="1"/>
    <col min="12803" max="12803" width="3.75" style="1" customWidth="1"/>
    <col min="12804" max="12805" width="5" style="1" customWidth="1"/>
    <col min="12806" max="12807" width="3.75" style="1" customWidth="1"/>
    <col min="12808" max="12809" width="5" style="1" customWidth="1"/>
    <col min="12810" max="12811" width="3.75" style="1" customWidth="1"/>
    <col min="12812" max="12813" width="5" style="1" customWidth="1"/>
    <col min="12814" max="12815" width="3.75" style="1" customWidth="1"/>
    <col min="12816" max="12817" width="5" style="1" customWidth="1"/>
    <col min="12818" max="12819" width="3.75" style="1" customWidth="1"/>
    <col min="12820" max="12821" width="5" style="1" customWidth="1"/>
    <col min="12822" max="12823" width="3.75" style="1" customWidth="1"/>
    <col min="12824" max="12824" width="3.5" style="1" customWidth="1"/>
    <col min="12825" max="13055" width="9" style="1"/>
    <col min="13056" max="13056" width="5" style="1" customWidth="1"/>
    <col min="13057" max="13057" width="20.5" style="1" customWidth="1"/>
    <col min="13058" max="13058" width="2.375" style="1" customWidth="1"/>
    <col min="13059" max="13059" width="3.75" style="1" customWidth="1"/>
    <col min="13060" max="13061" width="5" style="1" customWidth="1"/>
    <col min="13062" max="13063" width="3.75" style="1" customWidth="1"/>
    <col min="13064" max="13065" width="5" style="1" customWidth="1"/>
    <col min="13066" max="13067" width="3.75" style="1" customWidth="1"/>
    <col min="13068" max="13069" width="5" style="1" customWidth="1"/>
    <col min="13070" max="13071" width="3.75" style="1" customWidth="1"/>
    <col min="13072" max="13073" width="5" style="1" customWidth="1"/>
    <col min="13074" max="13075" width="3.75" style="1" customWidth="1"/>
    <col min="13076" max="13077" width="5" style="1" customWidth="1"/>
    <col min="13078" max="13079" width="3.75" style="1" customWidth="1"/>
    <col min="13080" max="13080" width="3.5" style="1" customWidth="1"/>
    <col min="13081" max="13311" width="9" style="1"/>
    <col min="13312" max="13312" width="5" style="1" customWidth="1"/>
    <col min="13313" max="13313" width="20.5" style="1" customWidth="1"/>
    <col min="13314" max="13314" width="2.375" style="1" customWidth="1"/>
    <col min="13315" max="13315" width="3.75" style="1" customWidth="1"/>
    <col min="13316" max="13317" width="5" style="1" customWidth="1"/>
    <col min="13318" max="13319" width="3.75" style="1" customWidth="1"/>
    <col min="13320" max="13321" width="5" style="1" customWidth="1"/>
    <col min="13322" max="13323" width="3.75" style="1" customWidth="1"/>
    <col min="13324" max="13325" width="5" style="1" customWidth="1"/>
    <col min="13326" max="13327" width="3.75" style="1" customWidth="1"/>
    <col min="13328" max="13329" width="5" style="1" customWidth="1"/>
    <col min="13330" max="13331" width="3.75" style="1" customWidth="1"/>
    <col min="13332" max="13333" width="5" style="1" customWidth="1"/>
    <col min="13334" max="13335" width="3.75" style="1" customWidth="1"/>
    <col min="13336" max="13336" width="3.5" style="1" customWidth="1"/>
    <col min="13337" max="13567" width="9" style="1"/>
    <col min="13568" max="13568" width="5" style="1" customWidth="1"/>
    <col min="13569" max="13569" width="20.5" style="1" customWidth="1"/>
    <col min="13570" max="13570" width="2.375" style="1" customWidth="1"/>
    <col min="13571" max="13571" width="3.75" style="1" customWidth="1"/>
    <col min="13572" max="13573" width="5" style="1" customWidth="1"/>
    <col min="13574" max="13575" width="3.75" style="1" customWidth="1"/>
    <col min="13576" max="13577" width="5" style="1" customWidth="1"/>
    <col min="13578" max="13579" width="3.75" style="1" customWidth="1"/>
    <col min="13580" max="13581" width="5" style="1" customWidth="1"/>
    <col min="13582" max="13583" width="3.75" style="1" customWidth="1"/>
    <col min="13584" max="13585" width="5" style="1" customWidth="1"/>
    <col min="13586" max="13587" width="3.75" style="1" customWidth="1"/>
    <col min="13588" max="13589" width="5" style="1" customWidth="1"/>
    <col min="13590" max="13591" width="3.75" style="1" customWidth="1"/>
    <col min="13592" max="13592" width="3.5" style="1" customWidth="1"/>
    <col min="13593" max="13823" width="9" style="1"/>
    <col min="13824" max="13824" width="5" style="1" customWidth="1"/>
    <col min="13825" max="13825" width="20.5" style="1" customWidth="1"/>
    <col min="13826" max="13826" width="2.375" style="1" customWidth="1"/>
    <col min="13827" max="13827" width="3.75" style="1" customWidth="1"/>
    <col min="13828" max="13829" width="5" style="1" customWidth="1"/>
    <col min="13830" max="13831" width="3.75" style="1" customWidth="1"/>
    <col min="13832" max="13833" width="5" style="1" customWidth="1"/>
    <col min="13834" max="13835" width="3.75" style="1" customWidth="1"/>
    <col min="13836" max="13837" width="5" style="1" customWidth="1"/>
    <col min="13838" max="13839" width="3.75" style="1" customWidth="1"/>
    <col min="13840" max="13841" width="5" style="1" customWidth="1"/>
    <col min="13842" max="13843" width="3.75" style="1" customWidth="1"/>
    <col min="13844" max="13845" width="5" style="1" customWidth="1"/>
    <col min="13846" max="13847" width="3.75" style="1" customWidth="1"/>
    <col min="13848" max="13848" width="3.5" style="1" customWidth="1"/>
    <col min="13849" max="14079" width="9" style="1"/>
    <col min="14080" max="14080" width="5" style="1" customWidth="1"/>
    <col min="14081" max="14081" width="20.5" style="1" customWidth="1"/>
    <col min="14082" max="14082" width="2.375" style="1" customWidth="1"/>
    <col min="14083" max="14083" width="3.75" style="1" customWidth="1"/>
    <col min="14084" max="14085" width="5" style="1" customWidth="1"/>
    <col min="14086" max="14087" width="3.75" style="1" customWidth="1"/>
    <col min="14088" max="14089" width="5" style="1" customWidth="1"/>
    <col min="14090" max="14091" width="3.75" style="1" customWidth="1"/>
    <col min="14092" max="14093" width="5" style="1" customWidth="1"/>
    <col min="14094" max="14095" width="3.75" style="1" customWidth="1"/>
    <col min="14096" max="14097" width="5" style="1" customWidth="1"/>
    <col min="14098" max="14099" width="3.75" style="1" customWidth="1"/>
    <col min="14100" max="14101" width="5" style="1" customWidth="1"/>
    <col min="14102" max="14103" width="3.75" style="1" customWidth="1"/>
    <col min="14104" max="14104" width="3.5" style="1" customWidth="1"/>
    <col min="14105" max="14335" width="9" style="1"/>
    <col min="14336" max="14336" width="5" style="1" customWidth="1"/>
    <col min="14337" max="14337" width="20.5" style="1" customWidth="1"/>
    <col min="14338" max="14338" width="2.375" style="1" customWidth="1"/>
    <col min="14339" max="14339" width="3.75" style="1" customWidth="1"/>
    <col min="14340" max="14341" width="5" style="1" customWidth="1"/>
    <col min="14342" max="14343" width="3.75" style="1" customWidth="1"/>
    <col min="14344" max="14345" width="5" style="1" customWidth="1"/>
    <col min="14346" max="14347" width="3.75" style="1" customWidth="1"/>
    <col min="14348" max="14349" width="5" style="1" customWidth="1"/>
    <col min="14350" max="14351" width="3.75" style="1" customWidth="1"/>
    <col min="14352" max="14353" width="5" style="1" customWidth="1"/>
    <col min="14354" max="14355" width="3.75" style="1" customWidth="1"/>
    <col min="14356" max="14357" width="5" style="1" customWidth="1"/>
    <col min="14358" max="14359" width="3.75" style="1" customWidth="1"/>
    <col min="14360" max="14360" width="3.5" style="1" customWidth="1"/>
    <col min="14361" max="14591" width="9" style="1"/>
    <col min="14592" max="14592" width="5" style="1" customWidth="1"/>
    <col min="14593" max="14593" width="20.5" style="1" customWidth="1"/>
    <col min="14594" max="14594" width="2.375" style="1" customWidth="1"/>
    <col min="14595" max="14595" width="3.75" style="1" customWidth="1"/>
    <col min="14596" max="14597" width="5" style="1" customWidth="1"/>
    <col min="14598" max="14599" width="3.75" style="1" customWidth="1"/>
    <col min="14600" max="14601" width="5" style="1" customWidth="1"/>
    <col min="14602" max="14603" width="3.75" style="1" customWidth="1"/>
    <col min="14604" max="14605" width="5" style="1" customWidth="1"/>
    <col min="14606" max="14607" width="3.75" style="1" customWidth="1"/>
    <col min="14608" max="14609" width="5" style="1" customWidth="1"/>
    <col min="14610" max="14611" width="3.75" style="1" customWidth="1"/>
    <col min="14612" max="14613" width="5" style="1" customWidth="1"/>
    <col min="14614" max="14615" width="3.75" style="1" customWidth="1"/>
    <col min="14616" max="14616" width="3.5" style="1" customWidth="1"/>
    <col min="14617" max="14847" width="9" style="1"/>
    <col min="14848" max="14848" width="5" style="1" customWidth="1"/>
    <col min="14849" max="14849" width="20.5" style="1" customWidth="1"/>
    <col min="14850" max="14850" width="2.375" style="1" customWidth="1"/>
    <col min="14851" max="14851" width="3.75" style="1" customWidth="1"/>
    <col min="14852" max="14853" width="5" style="1" customWidth="1"/>
    <col min="14854" max="14855" width="3.75" style="1" customWidth="1"/>
    <col min="14856" max="14857" width="5" style="1" customWidth="1"/>
    <col min="14858" max="14859" width="3.75" style="1" customWidth="1"/>
    <col min="14860" max="14861" width="5" style="1" customWidth="1"/>
    <col min="14862" max="14863" width="3.75" style="1" customWidth="1"/>
    <col min="14864" max="14865" width="5" style="1" customWidth="1"/>
    <col min="14866" max="14867" width="3.75" style="1" customWidth="1"/>
    <col min="14868" max="14869" width="5" style="1" customWidth="1"/>
    <col min="14870" max="14871" width="3.75" style="1" customWidth="1"/>
    <col min="14872" max="14872" width="3.5" style="1" customWidth="1"/>
    <col min="14873" max="15103" width="9" style="1"/>
    <col min="15104" max="15104" width="5" style="1" customWidth="1"/>
    <col min="15105" max="15105" width="20.5" style="1" customWidth="1"/>
    <col min="15106" max="15106" width="2.375" style="1" customWidth="1"/>
    <col min="15107" max="15107" width="3.75" style="1" customWidth="1"/>
    <col min="15108" max="15109" width="5" style="1" customWidth="1"/>
    <col min="15110" max="15111" width="3.75" style="1" customWidth="1"/>
    <col min="15112" max="15113" width="5" style="1" customWidth="1"/>
    <col min="15114" max="15115" width="3.75" style="1" customWidth="1"/>
    <col min="15116" max="15117" width="5" style="1" customWidth="1"/>
    <col min="15118" max="15119" width="3.75" style="1" customWidth="1"/>
    <col min="15120" max="15121" width="5" style="1" customWidth="1"/>
    <col min="15122" max="15123" width="3.75" style="1" customWidth="1"/>
    <col min="15124" max="15125" width="5" style="1" customWidth="1"/>
    <col min="15126" max="15127" width="3.75" style="1" customWidth="1"/>
    <col min="15128" max="15128" width="3.5" style="1" customWidth="1"/>
    <col min="15129" max="15359" width="9" style="1"/>
    <col min="15360" max="15360" width="5" style="1" customWidth="1"/>
    <col min="15361" max="15361" width="20.5" style="1" customWidth="1"/>
    <col min="15362" max="15362" width="2.375" style="1" customWidth="1"/>
    <col min="15363" max="15363" width="3.75" style="1" customWidth="1"/>
    <col min="15364" max="15365" width="5" style="1" customWidth="1"/>
    <col min="15366" max="15367" width="3.75" style="1" customWidth="1"/>
    <col min="15368" max="15369" width="5" style="1" customWidth="1"/>
    <col min="15370" max="15371" width="3.75" style="1" customWidth="1"/>
    <col min="15372" max="15373" width="5" style="1" customWidth="1"/>
    <col min="15374" max="15375" width="3.75" style="1" customWidth="1"/>
    <col min="15376" max="15377" width="5" style="1" customWidth="1"/>
    <col min="15378" max="15379" width="3.75" style="1" customWidth="1"/>
    <col min="15380" max="15381" width="5" style="1" customWidth="1"/>
    <col min="15382" max="15383" width="3.75" style="1" customWidth="1"/>
    <col min="15384" max="15384" width="3.5" style="1" customWidth="1"/>
    <col min="15385" max="15615" width="9" style="1"/>
    <col min="15616" max="15616" width="5" style="1" customWidth="1"/>
    <col min="15617" max="15617" width="20.5" style="1" customWidth="1"/>
    <col min="15618" max="15618" width="2.375" style="1" customWidth="1"/>
    <col min="15619" max="15619" width="3.75" style="1" customWidth="1"/>
    <col min="15620" max="15621" width="5" style="1" customWidth="1"/>
    <col min="15622" max="15623" width="3.75" style="1" customWidth="1"/>
    <col min="15624" max="15625" width="5" style="1" customWidth="1"/>
    <col min="15626" max="15627" width="3.75" style="1" customWidth="1"/>
    <col min="15628" max="15629" width="5" style="1" customWidth="1"/>
    <col min="15630" max="15631" width="3.75" style="1" customWidth="1"/>
    <col min="15632" max="15633" width="5" style="1" customWidth="1"/>
    <col min="15634" max="15635" width="3.75" style="1" customWidth="1"/>
    <col min="15636" max="15637" width="5" style="1" customWidth="1"/>
    <col min="15638" max="15639" width="3.75" style="1" customWidth="1"/>
    <col min="15640" max="15640" width="3.5" style="1" customWidth="1"/>
    <col min="15641" max="15871" width="9" style="1"/>
    <col min="15872" max="15872" width="5" style="1" customWidth="1"/>
    <col min="15873" max="15873" width="20.5" style="1" customWidth="1"/>
    <col min="15874" max="15874" width="2.375" style="1" customWidth="1"/>
    <col min="15875" max="15875" width="3.75" style="1" customWidth="1"/>
    <col min="15876" max="15877" width="5" style="1" customWidth="1"/>
    <col min="15878" max="15879" width="3.75" style="1" customWidth="1"/>
    <col min="15880" max="15881" width="5" style="1" customWidth="1"/>
    <col min="15882" max="15883" width="3.75" style="1" customWidth="1"/>
    <col min="15884" max="15885" width="5" style="1" customWidth="1"/>
    <col min="15886" max="15887" width="3.75" style="1" customWidth="1"/>
    <col min="15888" max="15889" width="5" style="1" customWidth="1"/>
    <col min="15890" max="15891" width="3.75" style="1" customWidth="1"/>
    <col min="15892" max="15893" width="5" style="1" customWidth="1"/>
    <col min="15894" max="15895" width="3.75" style="1" customWidth="1"/>
    <col min="15896" max="15896" width="3.5" style="1" customWidth="1"/>
    <col min="15897" max="16127" width="9" style="1"/>
    <col min="16128" max="16128" width="5" style="1" customWidth="1"/>
    <col min="16129" max="16129" width="20.5" style="1" customWidth="1"/>
    <col min="16130" max="16130" width="2.375" style="1" customWidth="1"/>
    <col min="16131" max="16131" width="3.75" style="1" customWidth="1"/>
    <col min="16132" max="16133" width="5" style="1" customWidth="1"/>
    <col min="16134" max="16135" width="3.75" style="1" customWidth="1"/>
    <col min="16136" max="16137" width="5" style="1" customWidth="1"/>
    <col min="16138" max="16139" width="3.75" style="1" customWidth="1"/>
    <col min="16140" max="16141" width="5" style="1" customWidth="1"/>
    <col min="16142" max="16143" width="3.75" style="1" customWidth="1"/>
    <col min="16144" max="16145" width="5" style="1" customWidth="1"/>
    <col min="16146" max="16147" width="3.75" style="1" customWidth="1"/>
    <col min="16148" max="16149" width="5" style="1" customWidth="1"/>
    <col min="16150" max="16151" width="3.75" style="1" customWidth="1"/>
    <col min="16152" max="16152" width="3.5" style="1" customWidth="1"/>
    <col min="16153" max="16383" width="9" style="1"/>
    <col min="16384" max="16384" width="9" style="1" customWidth="1"/>
  </cols>
  <sheetData>
    <row r="1" spans="1:29" x14ac:dyDescent="0.2">
      <c r="A1" s="2" t="s">
        <v>0</v>
      </c>
      <c r="K1" s="127" t="s">
        <v>23</v>
      </c>
      <c r="L1" s="127"/>
      <c r="M1" s="127"/>
    </row>
    <row r="2" spans="1:29" x14ac:dyDescent="0.2">
      <c r="A2" s="2" t="s">
        <v>18</v>
      </c>
      <c r="K2" s="127"/>
      <c r="L2" s="127"/>
      <c r="M2" s="127"/>
      <c r="U2" s="128" t="str">
        <f ca="1">Y2</f>
        <v>PE5</v>
      </c>
      <c r="V2" s="128"/>
      <c r="W2" s="128"/>
      <c r="Y2" s="5" t="str">
        <f ca="1">MID(CELL("filename",A1),FIND("]",CELL("filename",A1))+1,256)</f>
        <v>PE5</v>
      </c>
    </row>
    <row r="3" spans="1:29" x14ac:dyDescent="0.2">
      <c r="A3" s="2" t="s">
        <v>1</v>
      </c>
      <c r="U3" s="128"/>
      <c r="V3" s="128"/>
      <c r="W3" s="128"/>
    </row>
    <row r="4" spans="1:29" x14ac:dyDescent="0.2">
      <c r="A4" s="8" t="s">
        <v>19</v>
      </c>
      <c r="I4" s="127" t="s">
        <v>3</v>
      </c>
      <c r="J4" s="127"/>
      <c r="K4" s="127"/>
      <c r="L4" s="127"/>
      <c r="M4" s="127"/>
      <c r="N4" s="127"/>
      <c r="O4" s="127"/>
      <c r="U4" s="128"/>
      <c r="V4" s="128"/>
      <c r="W4" s="128"/>
    </row>
    <row r="5" spans="1:29" x14ac:dyDescent="0.2">
      <c r="A5" s="9" t="s">
        <v>21</v>
      </c>
      <c r="B5" s="2" t="s">
        <v>27</v>
      </c>
      <c r="I5" s="127"/>
      <c r="J5" s="127"/>
      <c r="K5" s="127"/>
      <c r="L5" s="127"/>
      <c r="M5" s="127"/>
      <c r="N5" s="127"/>
      <c r="O5" s="127"/>
    </row>
    <row r="6" spans="1:29" ht="13.5" thickBot="1" x14ac:dyDescent="0.25"/>
    <row r="7" spans="1:29" ht="15.95" customHeight="1" thickTop="1" thickBot="1" x14ac:dyDescent="0.25">
      <c r="A7" s="150" t="s">
        <v>4</v>
      </c>
      <c r="B7" s="130"/>
      <c r="C7" s="130"/>
      <c r="D7" s="131" t="s">
        <v>311</v>
      </c>
      <c r="E7" s="132"/>
      <c r="F7" s="133"/>
      <c r="G7" s="134"/>
      <c r="H7" s="131" t="s">
        <v>312</v>
      </c>
      <c r="I7" s="132"/>
      <c r="J7" s="133"/>
      <c r="K7" s="134"/>
      <c r="L7" s="131" t="s">
        <v>318</v>
      </c>
      <c r="M7" s="132"/>
      <c r="N7" s="133"/>
      <c r="O7" s="134"/>
      <c r="P7" s="131" t="s">
        <v>315</v>
      </c>
      <c r="Q7" s="132"/>
      <c r="R7" s="133"/>
      <c r="S7" s="134"/>
      <c r="T7" s="131"/>
      <c r="U7" s="132"/>
      <c r="V7" s="133"/>
      <c r="W7" s="134"/>
      <c r="X7" s="131"/>
      <c r="Y7" s="132"/>
      <c r="Z7" s="133"/>
      <c r="AA7" s="134"/>
    </row>
    <row r="8" spans="1:29" ht="15" customHeight="1" thickTop="1" x14ac:dyDescent="0.2">
      <c r="A8" s="147" t="s">
        <v>5</v>
      </c>
      <c r="B8" s="136" t="s">
        <v>6</v>
      </c>
      <c r="C8" s="142" t="s">
        <v>25</v>
      </c>
      <c r="D8" s="138" t="s">
        <v>7</v>
      </c>
      <c r="E8" s="139"/>
      <c r="F8" s="140"/>
      <c r="G8" s="141"/>
      <c r="H8" s="144" t="s">
        <v>8</v>
      </c>
      <c r="I8" s="145"/>
      <c r="J8" s="145"/>
      <c r="K8" s="146"/>
      <c r="L8" s="144" t="s">
        <v>9</v>
      </c>
      <c r="M8" s="145"/>
      <c r="N8" s="145"/>
      <c r="O8" s="146"/>
      <c r="P8" s="138" t="s">
        <v>10</v>
      </c>
      <c r="Q8" s="139"/>
      <c r="R8" s="140"/>
      <c r="S8" s="141"/>
      <c r="T8" s="138" t="s">
        <v>11</v>
      </c>
      <c r="U8" s="139"/>
      <c r="V8" s="140"/>
      <c r="W8" s="141"/>
      <c r="X8" s="138" t="s">
        <v>24</v>
      </c>
      <c r="Y8" s="139"/>
      <c r="Z8" s="140"/>
      <c r="AA8" s="141"/>
    </row>
    <row r="9" spans="1:29" s="3" customFormat="1" ht="67.5" customHeight="1" thickBot="1" x14ac:dyDescent="0.3">
      <c r="A9" s="148"/>
      <c r="B9" s="137"/>
      <c r="C9" s="149"/>
      <c r="D9" s="10" t="s">
        <v>12</v>
      </c>
      <c r="E9" s="11" t="s">
        <v>13</v>
      </c>
      <c r="F9" s="12" t="s">
        <v>14</v>
      </c>
      <c r="G9" s="13" t="s">
        <v>15</v>
      </c>
      <c r="H9" s="10" t="s">
        <v>12</v>
      </c>
      <c r="I9" s="11" t="s">
        <v>13</v>
      </c>
      <c r="J9" s="12" t="s">
        <v>14</v>
      </c>
      <c r="K9" s="13" t="s">
        <v>15</v>
      </c>
      <c r="L9" s="10" t="s">
        <v>12</v>
      </c>
      <c r="M9" s="11" t="s">
        <v>13</v>
      </c>
      <c r="N9" s="12" t="s">
        <v>14</v>
      </c>
      <c r="O9" s="13" t="s">
        <v>15</v>
      </c>
      <c r="P9" s="10" t="s">
        <v>12</v>
      </c>
      <c r="Q9" s="11" t="s">
        <v>13</v>
      </c>
      <c r="R9" s="12" t="s">
        <v>14</v>
      </c>
      <c r="S9" s="13" t="s">
        <v>15</v>
      </c>
      <c r="T9" s="10" t="s">
        <v>12</v>
      </c>
      <c r="U9" s="11" t="s">
        <v>13</v>
      </c>
      <c r="V9" s="12" t="s">
        <v>14</v>
      </c>
      <c r="W9" s="13" t="s">
        <v>15</v>
      </c>
      <c r="X9" s="10" t="s">
        <v>12</v>
      </c>
      <c r="Y9" s="11" t="s">
        <v>13</v>
      </c>
      <c r="Z9" s="12" t="s">
        <v>14</v>
      </c>
      <c r="AA9" s="13" t="s">
        <v>15</v>
      </c>
      <c r="AC9" s="152" t="s">
        <v>319</v>
      </c>
    </row>
    <row r="10" spans="1:29" ht="18" customHeight="1" thickTop="1" x14ac:dyDescent="0.25">
      <c r="A10" s="53" t="s">
        <v>28</v>
      </c>
      <c r="B10" s="53" t="s">
        <v>42</v>
      </c>
      <c r="C10" s="50"/>
      <c r="D10" s="49" t="s">
        <v>242</v>
      </c>
      <c r="E10" s="50">
        <v>1.5</v>
      </c>
      <c r="F10" s="52"/>
      <c r="G10" s="51"/>
      <c r="H10" s="49" t="s">
        <v>242</v>
      </c>
      <c r="I10" s="50">
        <v>1</v>
      </c>
      <c r="J10" s="52"/>
      <c r="K10" s="51"/>
      <c r="L10" s="49" t="s">
        <v>242</v>
      </c>
      <c r="M10" s="50">
        <v>1.5</v>
      </c>
      <c r="N10" s="52"/>
      <c r="O10" s="51"/>
      <c r="P10" s="49" t="s">
        <v>242</v>
      </c>
      <c r="Q10" s="50">
        <v>1.5</v>
      </c>
      <c r="R10" s="52"/>
      <c r="S10" s="51"/>
      <c r="T10" s="49" t="s">
        <v>242</v>
      </c>
      <c r="U10" s="50">
        <v>4</v>
      </c>
      <c r="V10" s="52"/>
      <c r="W10" s="51"/>
      <c r="X10" s="49" t="s">
        <v>242</v>
      </c>
      <c r="Y10" s="50">
        <v>5</v>
      </c>
      <c r="Z10" s="52"/>
      <c r="AA10" s="51"/>
      <c r="AC10" s="153">
        <f>(E10+I10+M10+Q10+U10+Y10)/2</f>
        <v>7.25</v>
      </c>
    </row>
    <row r="11" spans="1:29" s="3" customFormat="1" ht="18" customHeight="1" x14ac:dyDescent="0.25">
      <c r="A11" s="53" t="s">
        <v>29</v>
      </c>
      <c r="B11" s="53" t="s">
        <v>43</v>
      </c>
      <c r="C11" s="30"/>
      <c r="D11" s="29" t="s">
        <v>242</v>
      </c>
      <c r="E11" s="30">
        <v>1</v>
      </c>
      <c r="F11" s="32"/>
      <c r="G11" s="33"/>
      <c r="H11" s="29" t="s">
        <v>242</v>
      </c>
      <c r="I11" s="30">
        <v>1</v>
      </c>
      <c r="J11" s="32"/>
      <c r="K11" s="33"/>
      <c r="L11" s="29" t="s">
        <v>242</v>
      </c>
      <c r="M11" s="30">
        <v>1.5</v>
      </c>
      <c r="N11" s="35"/>
      <c r="O11" s="33"/>
      <c r="P11" s="29" t="s">
        <v>242</v>
      </c>
      <c r="Q11" s="30">
        <v>2</v>
      </c>
      <c r="R11" s="32"/>
      <c r="S11" s="33"/>
      <c r="T11" s="29" t="s">
        <v>242</v>
      </c>
      <c r="U11" s="30">
        <v>5.5</v>
      </c>
      <c r="V11" s="32"/>
      <c r="W11" s="33"/>
      <c r="X11" s="29" t="s">
        <v>242</v>
      </c>
      <c r="Y11" s="30">
        <v>5</v>
      </c>
      <c r="Z11" s="32"/>
      <c r="AA11" s="33"/>
      <c r="AC11" s="153">
        <f t="shared" ref="AC11:AC25" si="0">(E11+I11+M11+Q11+U11+Y11)/2</f>
        <v>8</v>
      </c>
    </row>
    <row r="12" spans="1:29" ht="18" customHeight="1" x14ac:dyDescent="0.25">
      <c r="A12" s="53" t="s">
        <v>30</v>
      </c>
      <c r="B12" s="47" t="s">
        <v>44</v>
      </c>
      <c r="C12" s="30"/>
      <c r="D12" s="29" t="s">
        <v>242</v>
      </c>
      <c r="E12" s="30">
        <v>1.5</v>
      </c>
      <c r="F12" s="32"/>
      <c r="G12" s="33"/>
      <c r="H12" s="29" t="s">
        <v>242</v>
      </c>
      <c r="I12" s="30">
        <v>1</v>
      </c>
      <c r="J12" s="32"/>
      <c r="K12" s="33"/>
      <c r="L12" s="29" t="s">
        <v>242</v>
      </c>
      <c r="M12" s="30">
        <v>2</v>
      </c>
      <c r="N12" s="32"/>
      <c r="O12" s="33"/>
      <c r="P12" s="29" t="s">
        <v>242</v>
      </c>
      <c r="Q12" s="30">
        <v>2</v>
      </c>
      <c r="R12" s="32"/>
      <c r="S12" s="33"/>
      <c r="T12" s="29" t="s">
        <v>242</v>
      </c>
      <c r="U12" s="30">
        <v>5.5</v>
      </c>
      <c r="V12" s="32"/>
      <c r="W12" s="33"/>
      <c r="X12" s="29" t="s">
        <v>242</v>
      </c>
      <c r="Y12" s="30">
        <v>4.5</v>
      </c>
      <c r="Z12" s="32"/>
      <c r="AA12" s="33"/>
      <c r="AC12" s="153">
        <f t="shared" si="0"/>
        <v>8.25</v>
      </c>
    </row>
    <row r="13" spans="1:29" ht="18" customHeight="1" x14ac:dyDescent="0.25">
      <c r="A13" s="53" t="s">
        <v>31</v>
      </c>
      <c r="B13" s="54" t="s">
        <v>45</v>
      </c>
      <c r="C13" s="30"/>
      <c r="D13" s="29" t="s">
        <v>243</v>
      </c>
      <c r="E13" s="87"/>
      <c r="F13" s="32"/>
      <c r="G13" s="33"/>
      <c r="H13" s="29" t="s">
        <v>242</v>
      </c>
      <c r="I13" s="30">
        <v>1</v>
      </c>
      <c r="J13" s="32"/>
      <c r="K13" s="33"/>
      <c r="L13" s="29" t="s">
        <v>242</v>
      </c>
      <c r="M13" s="30">
        <v>1.5</v>
      </c>
      <c r="N13" s="32"/>
      <c r="O13" s="33"/>
      <c r="P13" s="29" t="s">
        <v>242</v>
      </c>
      <c r="Q13" s="30">
        <v>0.7</v>
      </c>
      <c r="R13" s="32"/>
      <c r="S13" s="33"/>
      <c r="T13" s="29" t="s">
        <v>242</v>
      </c>
      <c r="U13" s="30">
        <v>6</v>
      </c>
      <c r="V13" s="32"/>
      <c r="W13" s="33"/>
      <c r="X13" s="29" t="s">
        <v>242</v>
      </c>
      <c r="Y13" s="30">
        <v>6</v>
      </c>
      <c r="Z13" s="32"/>
      <c r="AA13" s="33"/>
      <c r="AC13" s="153">
        <f t="shared" si="0"/>
        <v>7.6</v>
      </c>
    </row>
    <row r="14" spans="1:29" ht="18" customHeight="1" x14ac:dyDescent="0.25">
      <c r="A14" s="53" t="s">
        <v>32</v>
      </c>
      <c r="B14" s="54" t="s">
        <v>46</v>
      </c>
      <c r="C14" s="30"/>
      <c r="D14" s="29" t="s">
        <v>242</v>
      </c>
      <c r="E14" s="30">
        <v>2</v>
      </c>
      <c r="F14" s="32"/>
      <c r="G14" s="33"/>
      <c r="H14" s="29" t="s">
        <v>242</v>
      </c>
      <c r="I14" s="30">
        <v>1.5</v>
      </c>
      <c r="J14" s="32"/>
      <c r="K14" s="33"/>
      <c r="L14" s="29" t="s">
        <v>242</v>
      </c>
      <c r="M14" s="30">
        <v>1.5</v>
      </c>
      <c r="N14" s="32"/>
      <c r="O14" s="33"/>
      <c r="P14" s="29" t="s">
        <v>242</v>
      </c>
      <c r="Q14" s="30">
        <v>2</v>
      </c>
      <c r="R14" s="32"/>
      <c r="S14" s="33"/>
      <c r="T14" s="29" t="s">
        <v>242</v>
      </c>
      <c r="U14" s="30">
        <v>6</v>
      </c>
      <c r="V14" s="32"/>
      <c r="W14" s="33"/>
      <c r="X14" s="29" t="s">
        <v>242</v>
      </c>
      <c r="Y14" s="30">
        <v>6</v>
      </c>
      <c r="Z14" s="32"/>
      <c r="AA14" s="33"/>
      <c r="AC14" s="153">
        <f t="shared" si="0"/>
        <v>9.5</v>
      </c>
    </row>
    <row r="15" spans="1:29" ht="18" customHeight="1" x14ac:dyDescent="0.25">
      <c r="A15" s="101" t="s">
        <v>33</v>
      </c>
      <c r="B15" s="97" t="s">
        <v>47</v>
      </c>
      <c r="C15" s="89"/>
      <c r="D15" s="88"/>
      <c r="E15" s="89"/>
      <c r="F15" s="100"/>
      <c r="G15" s="99"/>
      <c r="H15" s="88"/>
      <c r="I15" s="89"/>
      <c r="J15" s="100"/>
      <c r="K15" s="99"/>
      <c r="L15" s="88"/>
      <c r="M15" s="89"/>
      <c r="N15" s="100"/>
      <c r="O15" s="99"/>
      <c r="P15" s="88"/>
      <c r="Q15" s="89"/>
      <c r="R15" s="100"/>
      <c r="S15" s="99"/>
      <c r="T15" s="88" t="s">
        <v>242</v>
      </c>
      <c r="U15" s="89"/>
      <c r="V15" s="100"/>
      <c r="W15" s="99"/>
      <c r="X15" s="88" t="s">
        <v>242</v>
      </c>
      <c r="Y15" s="89"/>
      <c r="Z15" s="100"/>
      <c r="AA15" s="99"/>
      <c r="AC15" s="154"/>
    </row>
    <row r="16" spans="1:29" ht="18" customHeight="1" x14ac:dyDescent="0.25">
      <c r="A16" s="53" t="s">
        <v>34</v>
      </c>
      <c r="B16" s="54" t="s">
        <v>48</v>
      </c>
      <c r="C16" s="30"/>
      <c r="D16" s="29" t="s">
        <v>242</v>
      </c>
      <c r="E16" s="30">
        <v>1</v>
      </c>
      <c r="F16" s="32"/>
      <c r="G16" s="33"/>
      <c r="H16" s="29" t="s">
        <v>242</v>
      </c>
      <c r="I16" s="30">
        <v>1</v>
      </c>
      <c r="J16" s="32"/>
      <c r="K16" s="33"/>
      <c r="L16" s="29" t="s">
        <v>242</v>
      </c>
      <c r="M16" s="30">
        <v>1.5</v>
      </c>
      <c r="N16" s="32"/>
      <c r="O16" s="33"/>
      <c r="P16" s="29" t="s">
        <v>242</v>
      </c>
      <c r="Q16" s="30">
        <v>1.7</v>
      </c>
      <c r="R16" s="32"/>
      <c r="S16" s="33"/>
      <c r="T16" s="29" t="s">
        <v>242</v>
      </c>
      <c r="U16" s="30">
        <v>6</v>
      </c>
      <c r="V16" s="32"/>
      <c r="W16" s="33"/>
      <c r="X16" s="29" t="s">
        <v>242</v>
      </c>
      <c r="Y16" s="30">
        <v>6</v>
      </c>
      <c r="Z16" s="32"/>
      <c r="AA16" s="33"/>
      <c r="AC16" s="153">
        <f t="shared" si="0"/>
        <v>8.6</v>
      </c>
    </row>
    <row r="17" spans="1:29" s="41" customFormat="1" ht="18" customHeight="1" x14ac:dyDescent="0.25">
      <c r="A17" s="53" t="s">
        <v>35</v>
      </c>
      <c r="B17" s="54" t="s">
        <v>49</v>
      </c>
      <c r="C17" s="30"/>
      <c r="D17" s="29" t="s">
        <v>242</v>
      </c>
      <c r="E17" s="30">
        <v>1</v>
      </c>
      <c r="F17" s="35"/>
      <c r="G17" s="33"/>
      <c r="H17" s="29" t="s">
        <v>242</v>
      </c>
      <c r="I17" s="30">
        <v>1</v>
      </c>
      <c r="J17" s="32"/>
      <c r="K17" s="33"/>
      <c r="L17" s="29" t="s">
        <v>242</v>
      </c>
      <c r="M17" s="30">
        <v>1.5</v>
      </c>
      <c r="N17" s="32"/>
      <c r="O17" s="33"/>
      <c r="P17" s="29" t="s">
        <v>242</v>
      </c>
      <c r="Q17" s="30">
        <v>1</v>
      </c>
      <c r="R17" s="32"/>
      <c r="S17" s="33"/>
      <c r="T17" s="29" t="s">
        <v>242</v>
      </c>
      <c r="U17" s="30">
        <v>6</v>
      </c>
      <c r="V17" s="32"/>
      <c r="W17" s="33"/>
      <c r="X17" s="29" t="s">
        <v>242</v>
      </c>
      <c r="Y17" s="30">
        <v>5.5</v>
      </c>
      <c r="Z17" s="32"/>
      <c r="AA17" s="33"/>
      <c r="AC17" s="153">
        <f t="shared" si="0"/>
        <v>8</v>
      </c>
    </row>
    <row r="18" spans="1:29" ht="18" customHeight="1" x14ac:dyDescent="0.25">
      <c r="A18" s="53" t="s">
        <v>36</v>
      </c>
      <c r="B18" s="54" t="s">
        <v>50</v>
      </c>
      <c r="C18" s="30"/>
      <c r="D18" s="29" t="s">
        <v>242</v>
      </c>
      <c r="E18" s="30">
        <v>1.5</v>
      </c>
      <c r="F18" s="32"/>
      <c r="G18" s="33"/>
      <c r="H18" s="29" t="s">
        <v>242</v>
      </c>
      <c r="I18" s="30">
        <v>1.5</v>
      </c>
      <c r="J18" s="32"/>
      <c r="K18" s="33"/>
      <c r="L18" s="29" t="s">
        <v>242</v>
      </c>
      <c r="M18" s="30">
        <v>1.5</v>
      </c>
      <c r="N18" s="32"/>
      <c r="O18" s="33"/>
      <c r="P18" s="29" t="s">
        <v>242</v>
      </c>
      <c r="Q18" s="30">
        <v>2</v>
      </c>
      <c r="R18" s="32"/>
      <c r="S18" s="33"/>
      <c r="T18" s="29" t="s">
        <v>242</v>
      </c>
      <c r="U18" s="30">
        <v>6</v>
      </c>
      <c r="V18" s="32"/>
      <c r="W18" s="33"/>
      <c r="X18" s="29" t="s">
        <v>242</v>
      </c>
      <c r="Y18" s="30">
        <v>5</v>
      </c>
      <c r="Z18" s="32"/>
      <c r="AA18" s="33"/>
      <c r="AC18" s="153">
        <f t="shared" si="0"/>
        <v>8.75</v>
      </c>
    </row>
    <row r="19" spans="1:29" ht="18" customHeight="1" x14ac:dyDescent="0.25">
      <c r="A19" s="64" t="s">
        <v>37</v>
      </c>
      <c r="B19" s="65" t="s">
        <v>51</v>
      </c>
      <c r="C19" s="44"/>
      <c r="D19" s="43" t="s">
        <v>242</v>
      </c>
      <c r="E19" s="44">
        <v>1.5</v>
      </c>
      <c r="F19" s="35"/>
      <c r="G19" s="56"/>
      <c r="H19" s="43" t="s">
        <v>242</v>
      </c>
      <c r="I19" s="44">
        <v>1</v>
      </c>
      <c r="J19" s="35"/>
      <c r="K19" s="56"/>
      <c r="L19" s="43" t="s">
        <v>242</v>
      </c>
      <c r="M19" s="44">
        <v>2</v>
      </c>
      <c r="N19" s="35"/>
      <c r="O19" s="56"/>
      <c r="P19" s="43" t="s">
        <v>242</v>
      </c>
      <c r="Q19" s="44">
        <v>2</v>
      </c>
      <c r="R19" s="35"/>
      <c r="S19" s="56"/>
      <c r="T19" s="43" t="s">
        <v>242</v>
      </c>
      <c r="U19" s="44">
        <v>6</v>
      </c>
      <c r="V19" s="35"/>
      <c r="W19" s="56"/>
      <c r="X19" s="43" t="s">
        <v>242</v>
      </c>
      <c r="Y19" s="44">
        <v>5</v>
      </c>
      <c r="Z19" s="35"/>
      <c r="AA19" s="56"/>
      <c r="AC19" s="153">
        <f t="shared" si="0"/>
        <v>8.75</v>
      </c>
    </row>
    <row r="20" spans="1:29" ht="18" customHeight="1" x14ac:dyDescent="0.25">
      <c r="A20" s="53" t="s">
        <v>38</v>
      </c>
      <c r="B20" s="53" t="s">
        <v>52</v>
      </c>
      <c r="C20" s="30"/>
      <c r="D20" s="29" t="s">
        <v>242</v>
      </c>
      <c r="E20" s="30">
        <v>1.5</v>
      </c>
      <c r="F20" s="32"/>
      <c r="G20" s="33"/>
      <c r="H20" s="29" t="s">
        <v>242</v>
      </c>
      <c r="I20" s="30">
        <v>1.5</v>
      </c>
      <c r="J20" s="32"/>
      <c r="K20" s="33"/>
      <c r="L20" s="29" t="s">
        <v>242</v>
      </c>
      <c r="M20" s="30">
        <v>1.5</v>
      </c>
      <c r="N20" s="32"/>
      <c r="O20" s="33"/>
      <c r="P20" s="29" t="s">
        <v>242</v>
      </c>
      <c r="Q20" s="30">
        <v>1</v>
      </c>
      <c r="R20" s="32"/>
      <c r="S20" s="33"/>
      <c r="T20" s="29" t="s">
        <v>242</v>
      </c>
      <c r="U20" s="30">
        <v>5</v>
      </c>
      <c r="V20" s="32"/>
      <c r="W20" s="33"/>
      <c r="X20" s="29" t="s">
        <v>242</v>
      </c>
      <c r="Y20" s="30">
        <v>5</v>
      </c>
      <c r="Z20" s="32"/>
      <c r="AA20" s="33"/>
      <c r="AC20" s="153">
        <f t="shared" si="0"/>
        <v>7.75</v>
      </c>
    </row>
    <row r="21" spans="1:29" ht="18" customHeight="1" x14ac:dyDescent="0.25">
      <c r="A21" s="53" t="s">
        <v>39</v>
      </c>
      <c r="B21" s="78" t="s">
        <v>53</v>
      </c>
      <c r="C21" s="30"/>
      <c r="D21" s="29" t="s">
        <v>242</v>
      </c>
      <c r="E21" s="30">
        <v>1</v>
      </c>
      <c r="F21" s="32"/>
      <c r="G21" s="33"/>
      <c r="H21" s="29" t="s">
        <v>242</v>
      </c>
      <c r="I21" s="30">
        <v>1</v>
      </c>
      <c r="J21" s="32"/>
      <c r="K21" s="33"/>
      <c r="L21" s="29" t="s">
        <v>242</v>
      </c>
      <c r="M21" s="30">
        <v>1.5</v>
      </c>
      <c r="N21" s="32"/>
      <c r="O21" s="33"/>
      <c r="P21" s="29" t="s">
        <v>242</v>
      </c>
      <c r="Q21" s="30">
        <v>1</v>
      </c>
      <c r="R21" s="32"/>
      <c r="S21" s="33"/>
      <c r="T21" s="29" t="s">
        <v>242</v>
      </c>
      <c r="U21" s="30">
        <v>5</v>
      </c>
      <c r="V21" s="32"/>
      <c r="W21" s="33"/>
      <c r="X21" s="29" t="s">
        <v>242</v>
      </c>
      <c r="Y21" s="30">
        <v>5</v>
      </c>
      <c r="Z21" s="32"/>
      <c r="AA21" s="33"/>
      <c r="AC21" s="153">
        <f t="shared" si="0"/>
        <v>7.25</v>
      </c>
    </row>
    <row r="22" spans="1:29" ht="18" customHeight="1" x14ac:dyDescent="0.25">
      <c r="A22" s="101" t="s">
        <v>40</v>
      </c>
      <c r="B22" s="112" t="s">
        <v>54</v>
      </c>
      <c r="C22" s="89"/>
      <c r="D22" s="88"/>
      <c r="E22" s="89"/>
      <c r="F22" s="100"/>
      <c r="G22" s="99"/>
      <c r="H22" s="88"/>
      <c r="I22" s="89"/>
      <c r="J22" s="100"/>
      <c r="K22" s="99"/>
      <c r="L22" s="88"/>
      <c r="M22" s="89"/>
      <c r="N22" s="100"/>
      <c r="O22" s="99"/>
      <c r="P22" s="88"/>
      <c r="Q22" s="89"/>
      <c r="R22" s="100"/>
      <c r="S22" s="99"/>
      <c r="T22" s="88"/>
      <c r="U22" s="89"/>
      <c r="V22" s="100"/>
      <c r="W22" s="99"/>
      <c r="X22" s="88"/>
      <c r="Y22" s="89"/>
      <c r="Z22" s="100"/>
      <c r="AA22" s="99"/>
      <c r="AC22" s="154"/>
    </row>
    <row r="23" spans="1:29" ht="18" customHeight="1" x14ac:dyDescent="0.25">
      <c r="A23" s="53" t="s">
        <v>41</v>
      </c>
      <c r="B23" s="79" t="s">
        <v>55</v>
      </c>
      <c r="C23" s="30"/>
      <c r="D23" s="29" t="s">
        <v>242</v>
      </c>
      <c r="E23" s="30">
        <v>1</v>
      </c>
      <c r="F23" s="32"/>
      <c r="G23" s="33"/>
      <c r="H23" s="29" t="s">
        <v>242</v>
      </c>
      <c r="I23" s="30">
        <v>1</v>
      </c>
      <c r="J23" s="32"/>
      <c r="K23" s="33"/>
      <c r="L23" s="29" t="s">
        <v>242</v>
      </c>
      <c r="M23" s="30">
        <v>1.5</v>
      </c>
      <c r="N23" s="32"/>
      <c r="O23" s="33"/>
      <c r="P23" s="29" t="s">
        <v>242</v>
      </c>
      <c r="Q23" s="30">
        <v>1.5</v>
      </c>
      <c r="R23" s="32"/>
      <c r="S23" s="33"/>
      <c r="T23" s="29" t="s">
        <v>242</v>
      </c>
      <c r="U23" s="30">
        <v>5</v>
      </c>
      <c r="V23" s="32"/>
      <c r="W23" s="33"/>
      <c r="X23" s="29" t="s">
        <v>242</v>
      </c>
      <c r="Y23" s="30">
        <v>5</v>
      </c>
      <c r="Z23" s="32"/>
      <c r="AA23" s="33"/>
      <c r="AC23" s="153">
        <f t="shared" si="0"/>
        <v>7.5</v>
      </c>
    </row>
    <row r="24" spans="1:29" ht="18" customHeight="1" x14ac:dyDescent="0.25">
      <c r="A24" s="53" t="s">
        <v>58</v>
      </c>
      <c r="B24" s="80" t="s">
        <v>56</v>
      </c>
      <c r="C24" s="66"/>
      <c r="D24" s="29" t="s">
        <v>242</v>
      </c>
      <c r="E24" s="30">
        <v>1</v>
      </c>
      <c r="F24" s="32"/>
      <c r="G24" s="33"/>
      <c r="H24" s="29" t="s">
        <v>242</v>
      </c>
      <c r="I24" s="30">
        <v>1</v>
      </c>
      <c r="J24" s="32"/>
      <c r="K24" s="33"/>
      <c r="L24" s="29" t="s">
        <v>242</v>
      </c>
      <c r="M24" s="30">
        <v>1</v>
      </c>
      <c r="N24" s="32"/>
      <c r="O24" s="33"/>
      <c r="P24" s="29" t="s">
        <v>242</v>
      </c>
      <c r="Q24" s="30">
        <v>1</v>
      </c>
      <c r="R24" s="32"/>
      <c r="S24" s="33"/>
      <c r="T24" s="29" t="s">
        <v>242</v>
      </c>
      <c r="U24" s="30">
        <v>4</v>
      </c>
      <c r="V24" s="32"/>
      <c r="W24" s="33"/>
      <c r="X24" s="29" t="s">
        <v>242</v>
      </c>
      <c r="Y24" s="30">
        <v>5</v>
      </c>
      <c r="Z24" s="32"/>
      <c r="AA24" s="33"/>
      <c r="AC24" s="153">
        <f t="shared" si="0"/>
        <v>6.5</v>
      </c>
    </row>
    <row r="25" spans="1:29" ht="18" customHeight="1" x14ac:dyDescent="0.25">
      <c r="A25" s="53" t="s">
        <v>59</v>
      </c>
      <c r="B25" s="81" t="s">
        <v>57</v>
      </c>
      <c r="C25" s="4"/>
      <c r="D25" s="15" t="s">
        <v>242</v>
      </c>
      <c r="E25" s="4">
        <v>1</v>
      </c>
      <c r="F25" s="16"/>
      <c r="G25" s="17"/>
      <c r="H25" s="29" t="s">
        <v>242</v>
      </c>
      <c r="I25" s="30">
        <v>1</v>
      </c>
      <c r="J25" s="16"/>
      <c r="K25" s="17"/>
      <c r="L25" s="15" t="s">
        <v>242</v>
      </c>
      <c r="M25" s="4">
        <v>1.5</v>
      </c>
      <c r="N25" s="16"/>
      <c r="O25" s="17"/>
      <c r="P25" s="15" t="s">
        <v>242</v>
      </c>
      <c r="Q25" s="4">
        <v>1</v>
      </c>
      <c r="R25" s="16"/>
      <c r="S25" s="17"/>
      <c r="T25" s="15" t="s">
        <v>242</v>
      </c>
      <c r="U25" s="4">
        <v>4.5</v>
      </c>
      <c r="V25" s="16"/>
      <c r="W25" s="17"/>
      <c r="X25" s="15" t="s">
        <v>242</v>
      </c>
      <c r="Y25" s="4">
        <v>5.5</v>
      </c>
      <c r="Z25" s="16"/>
      <c r="AA25" s="17"/>
      <c r="AC25" s="153">
        <f t="shared" si="0"/>
        <v>7.25</v>
      </c>
    </row>
    <row r="26" spans="1:29" ht="18" customHeight="1" x14ac:dyDescent="0.2">
      <c r="A26" s="4" t="str">
        <f ca="1">IFERROR(IF((($U$2&amp;"-"&amp;X26)=VLOOKUP($U$2&amp;"-"&amp;X26,#REF!,1,FALSE)),$U$2&amp;"-"&amp;X26,""),"")</f>
        <v/>
      </c>
      <c r="B26" s="14" t="str">
        <f t="shared" ref="B26:B27" ca="1" si="1">IF(A26="","",VLOOKUP(A26,ETFtab2013,2))</f>
        <v/>
      </c>
      <c r="C26" s="4"/>
      <c r="D26" s="15"/>
      <c r="E26" s="4"/>
      <c r="F26" s="16"/>
      <c r="G26" s="17"/>
      <c r="H26" s="15"/>
      <c r="I26" s="4"/>
      <c r="J26" s="16"/>
      <c r="K26" s="17"/>
      <c r="L26" s="15"/>
      <c r="M26" s="4"/>
      <c r="N26" s="16"/>
      <c r="O26" s="17"/>
      <c r="P26" s="15"/>
      <c r="Q26" s="4"/>
      <c r="R26" s="16"/>
      <c r="S26" s="17"/>
      <c r="T26" s="15"/>
      <c r="U26" s="4"/>
      <c r="V26" s="16"/>
      <c r="W26" s="17"/>
      <c r="X26" s="15"/>
      <c r="Y26" s="4"/>
      <c r="Z26" s="16"/>
      <c r="AA26" s="17"/>
    </row>
    <row r="27" spans="1:29" ht="18" customHeight="1" thickBot="1" x14ac:dyDescent="0.25">
      <c r="A27" s="24" t="str">
        <f ca="1">IFERROR(IF((($U$2&amp;"-"&amp;X27)=VLOOKUP($U$2&amp;"-"&amp;X27,#REF!,1,FALSE)),$U$2&amp;"-"&amp;X27,""),"")</f>
        <v/>
      </c>
      <c r="B27" s="25" t="str">
        <f t="shared" ca="1" si="1"/>
        <v/>
      </c>
      <c r="C27" s="24"/>
      <c r="D27" s="26"/>
      <c r="E27" s="24"/>
      <c r="F27" s="27"/>
      <c r="G27" s="28"/>
      <c r="H27" s="26"/>
      <c r="I27" s="24"/>
      <c r="J27" s="27"/>
      <c r="K27" s="28"/>
      <c r="L27" s="26"/>
      <c r="M27" s="24"/>
      <c r="N27" s="27"/>
      <c r="O27" s="28"/>
      <c r="P27" s="26"/>
      <c r="Q27" s="24"/>
      <c r="R27" s="27"/>
      <c r="S27" s="28"/>
      <c r="T27" s="26"/>
      <c r="U27" s="24"/>
      <c r="V27" s="27"/>
      <c r="W27" s="28"/>
      <c r="X27" s="26"/>
      <c r="Y27" s="24"/>
      <c r="Z27" s="27"/>
      <c r="AA27" s="28"/>
    </row>
    <row r="28" spans="1:29" ht="18" customHeight="1" thickTop="1" x14ac:dyDescent="0.2">
      <c r="A28" s="22"/>
      <c r="B28" s="23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19"/>
      <c r="Y28" s="20"/>
    </row>
    <row r="29" spans="1:29" ht="18" customHeight="1" x14ac:dyDescent="0.2">
      <c r="A29" s="22"/>
      <c r="B29" s="23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19"/>
      <c r="Y29" s="20"/>
    </row>
    <row r="30" spans="1:29" ht="18" customHeight="1" x14ac:dyDescent="0.2">
      <c r="A30" s="22"/>
      <c r="B30" s="23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19"/>
      <c r="Y30" s="20"/>
    </row>
    <row r="31" spans="1:29" ht="18" customHeight="1" x14ac:dyDescent="0.2">
      <c r="A31" s="22"/>
      <c r="B31" s="23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19"/>
      <c r="Y31" s="20"/>
    </row>
    <row r="32" spans="1:29" ht="18" customHeight="1" x14ac:dyDescent="0.2">
      <c r="A32" s="22"/>
      <c r="B32" s="23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19"/>
      <c r="Y32" s="20"/>
    </row>
    <row r="33" spans="1:25" ht="18" customHeight="1" x14ac:dyDescent="0.2">
      <c r="A33" s="22"/>
      <c r="B33" s="23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19"/>
      <c r="Y33" s="20"/>
    </row>
    <row r="34" spans="1:25" x14ac:dyDescent="0.2">
      <c r="A34" s="20"/>
      <c r="B34" s="20"/>
      <c r="C34" s="20"/>
      <c r="D34" s="20"/>
      <c r="E34" s="20"/>
      <c r="F34" s="20"/>
      <c r="G34" s="20"/>
      <c r="H34" s="21"/>
      <c r="I34" s="20"/>
      <c r="J34" s="20"/>
      <c r="K34" s="20"/>
      <c r="L34" s="21"/>
      <c r="M34" s="20"/>
      <c r="N34" s="20"/>
      <c r="O34" s="20"/>
      <c r="P34" s="20"/>
      <c r="Q34" s="20"/>
      <c r="R34" s="20"/>
      <c r="S34" s="20"/>
      <c r="T34" s="21"/>
      <c r="U34" s="20"/>
      <c r="V34" s="20"/>
      <c r="W34" s="20"/>
      <c r="X34" s="20"/>
      <c r="Y34" s="20"/>
    </row>
  </sheetData>
  <mergeCells count="19">
    <mergeCell ref="X7:AA7"/>
    <mergeCell ref="X8:AA8"/>
    <mergeCell ref="K1:M2"/>
    <mergeCell ref="U2:W4"/>
    <mergeCell ref="I4:O5"/>
    <mergeCell ref="T7:W7"/>
    <mergeCell ref="L8:O8"/>
    <mergeCell ref="P8:S8"/>
    <mergeCell ref="T8:W8"/>
    <mergeCell ref="A7:C7"/>
    <mergeCell ref="D7:G7"/>
    <mergeCell ref="H7:K7"/>
    <mergeCell ref="L7:O7"/>
    <mergeCell ref="P7:S7"/>
    <mergeCell ref="A8:A9"/>
    <mergeCell ref="B8:B9"/>
    <mergeCell ref="C8:C9"/>
    <mergeCell ref="D8:G8"/>
    <mergeCell ref="H8:K8"/>
  </mergeCells>
  <pageMargins left="0.78740157480314965" right="0.39370078740157483" top="0.39370078740157483" bottom="0.39370078740157483" header="0.31496062992125984" footer="0.31496062992125984"/>
  <pageSetup paperSize="9" scale="89" orientation="landscape" r:id="rId1"/>
  <headerFooter alignWithMargins="0"/>
  <colBreaks count="1" manualBreakCount="1">
    <brk id="27" max="2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34"/>
  <sheetViews>
    <sheetView view="pageBreakPreview" zoomScaleNormal="100" zoomScaleSheetLayoutView="100" workbookViewId="0">
      <selection activeCell="C10" sqref="C10:C25"/>
    </sheetView>
  </sheetViews>
  <sheetFormatPr defaultRowHeight="12.75" x14ac:dyDescent="0.2"/>
  <cols>
    <col min="1" max="1" width="6.625" style="1" customWidth="1"/>
    <col min="2" max="2" width="21.625" style="1" customWidth="1"/>
    <col min="3" max="3" width="3.5" style="1" customWidth="1"/>
    <col min="4" max="4" width="5" style="1" customWidth="1"/>
    <col min="5" max="6" width="3.875" style="1" customWidth="1"/>
    <col min="7" max="7" width="5.25" style="1" customWidth="1"/>
    <col min="8" max="8" width="5" style="7" customWidth="1"/>
    <col min="9" max="10" width="3.875" style="1" customWidth="1"/>
    <col min="11" max="11" width="4.625" style="1" customWidth="1"/>
    <col min="12" max="12" width="5" style="7" customWidth="1"/>
    <col min="13" max="14" width="3.875" style="1" customWidth="1"/>
    <col min="15" max="16" width="5" style="1" customWidth="1"/>
    <col min="17" max="18" width="3.875" style="1" customWidth="1"/>
    <col min="19" max="19" width="4.625" style="1" customWidth="1"/>
    <col min="20" max="20" width="5" style="7" customWidth="1"/>
    <col min="21" max="22" width="3.875" style="1" customWidth="1"/>
    <col min="23" max="24" width="4.625" style="1" customWidth="1"/>
    <col min="25" max="25" width="4.125" style="1" customWidth="1"/>
    <col min="26" max="26" width="4.25" style="1" customWidth="1"/>
    <col min="27" max="27" width="4.375" style="1" customWidth="1"/>
    <col min="28" max="28" width="4" style="1" customWidth="1"/>
    <col min="29" max="255" width="9" style="1"/>
    <col min="256" max="256" width="5" style="1" customWidth="1"/>
    <col min="257" max="257" width="20.5" style="1" customWidth="1"/>
    <col min="258" max="258" width="2.375" style="1" customWidth="1"/>
    <col min="259" max="259" width="3.75" style="1" customWidth="1"/>
    <col min="260" max="261" width="5" style="1" customWidth="1"/>
    <col min="262" max="263" width="3.75" style="1" customWidth="1"/>
    <col min="264" max="265" width="5" style="1" customWidth="1"/>
    <col min="266" max="267" width="3.75" style="1" customWidth="1"/>
    <col min="268" max="269" width="5" style="1" customWidth="1"/>
    <col min="270" max="271" width="3.75" style="1" customWidth="1"/>
    <col min="272" max="273" width="5" style="1" customWidth="1"/>
    <col min="274" max="275" width="3.75" style="1" customWidth="1"/>
    <col min="276" max="277" width="5" style="1" customWidth="1"/>
    <col min="278" max="279" width="3.75" style="1" customWidth="1"/>
    <col min="280" max="280" width="3.5" style="1" customWidth="1"/>
    <col min="281" max="511" width="9" style="1"/>
    <col min="512" max="512" width="5" style="1" customWidth="1"/>
    <col min="513" max="513" width="20.5" style="1" customWidth="1"/>
    <col min="514" max="514" width="2.375" style="1" customWidth="1"/>
    <col min="515" max="515" width="3.75" style="1" customWidth="1"/>
    <col min="516" max="517" width="5" style="1" customWidth="1"/>
    <col min="518" max="519" width="3.75" style="1" customWidth="1"/>
    <col min="520" max="521" width="5" style="1" customWidth="1"/>
    <col min="522" max="523" width="3.75" style="1" customWidth="1"/>
    <col min="524" max="525" width="5" style="1" customWidth="1"/>
    <col min="526" max="527" width="3.75" style="1" customWidth="1"/>
    <col min="528" max="529" width="5" style="1" customWidth="1"/>
    <col min="530" max="531" width="3.75" style="1" customWidth="1"/>
    <col min="532" max="533" width="5" style="1" customWidth="1"/>
    <col min="534" max="535" width="3.75" style="1" customWidth="1"/>
    <col min="536" max="536" width="3.5" style="1" customWidth="1"/>
    <col min="537" max="767" width="9" style="1"/>
    <col min="768" max="768" width="5" style="1" customWidth="1"/>
    <col min="769" max="769" width="20.5" style="1" customWidth="1"/>
    <col min="770" max="770" width="2.375" style="1" customWidth="1"/>
    <col min="771" max="771" width="3.75" style="1" customWidth="1"/>
    <col min="772" max="773" width="5" style="1" customWidth="1"/>
    <col min="774" max="775" width="3.75" style="1" customWidth="1"/>
    <col min="776" max="777" width="5" style="1" customWidth="1"/>
    <col min="778" max="779" width="3.75" style="1" customWidth="1"/>
    <col min="780" max="781" width="5" style="1" customWidth="1"/>
    <col min="782" max="783" width="3.75" style="1" customWidth="1"/>
    <col min="784" max="785" width="5" style="1" customWidth="1"/>
    <col min="786" max="787" width="3.75" style="1" customWidth="1"/>
    <col min="788" max="789" width="5" style="1" customWidth="1"/>
    <col min="790" max="791" width="3.75" style="1" customWidth="1"/>
    <col min="792" max="792" width="3.5" style="1" customWidth="1"/>
    <col min="793" max="1023" width="9" style="1"/>
    <col min="1024" max="1024" width="5" style="1" customWidth="1"/>
    <col min="1025" max="1025" width="20.5" style="1" customWidth="1"/>
    <col min="1026" max="1026" width="2.375" style="1" customWidth="1"/>
    <col min="1027" max="1027" width="3.75" style="1" customWidth="1"/>
    <col min="1028" max="1029" width="5" style="1" customWidth="1"/>
    <col min="1030" max="1031" width="3.75" style="1" customWidth="1"/>
    <col min="1032" max="1033" width="5" style="1" customWidth="1"/>
    <col min="1034" max="1035" width="3.75" style="1" customWidth="1"/>
    <col min="1036" max="1037" width="5" style="1" customWidth="1"/>
    <col min="1038" max="1039" width="3.75" style="1" customWidth="1"/>
    <col min="1040" max="1041" width="5" style="1" customWidth="1"/>
    <col min="1042" max="1043" width="3.75" style="1" customWidth="1"/>
    <col min="1044" max="1045" width="5" style="1" customWidth="1"/>
    <col min="1046" max="1047" width="3.75" style="1" customWidth="1"/>
    <col min="1048" max="1048" width="3.5" style="1" customWidth="1"/>
    <col min="1049" max="1279" width="9" style="1"/>
    <col min="1280" max="1280" width="5" style="1" customWidth="1"/>
    <col min="1281" max="1281" width="20.5" style="1" customWidth="1"/>
    <col min="1282" max="1282" width="2.375" style="1" customWidth="1"/>
    <col min="1283" max="1283" width="3.75" style="1" customWidth="1"/>
    <col min="1284" max="1285" width="5" style="1" customWidth="1"/>
    <col min="1286" max="1287" width="3.75" style="1" customWidth="1"/>
    <col min="1288" max="1289" width="5" style="1" customWidth="1"/>
    <col min="1290" max="1291" width="3.75" style="1" customWidth="1"/>
    <col min="1292" max="1293" width="5" style="1" customWidth="1"/>
    <col min="1294" max="1295" width="3.75" style="1" customWidth="1"/>
    <col min="1296" max="1297" width="5" style="1" customWidth="1"/>
    <col min="1298" max="1299" width="3.75" style="1" customWidth="1"/>
    <col min="1300" max="1301" width="5" style="1" customWidth="1"/>
    <col min="1302" max="1303" width="3.75" style="1" customWidth="1"/>
    <col min="1304" max="1304" width="3.5" style="1" customWidth="1"/>
    <col min="1305" max="1535" width="9" style="1"/>
    <col min="1536" max="1536" width="5" style="1" customWidth="1"/>
    <col min="1537" max="1537" width="20.5" style="1" customWidth="1"/>
    <col min="1538" max="1538" width="2.375" style="1" customWidth="1"/>
    <col min="1539" max="1539" width="3.75" style="1" customWidth="1"/>
    <col min="1540" max="1541" width="5" style="1" customWidth="1"/>
    <col min="1542" max="1543" width="3.75" style="1" customWidth="1"/>
    <col min="1544" max="1545" width="5" style="1" customWidth="1"/>
    <col min="1546" max="1547" width="3.75" style="1" customWidth="1"/>
    <col min="1548" max="1549" width="5" style="1" customWidth="1"/>
    <col min="1550" max="1551" width="3.75" style="1" customWidth="1"/>
    <col min="1552" max="1553" width="5" style="1" customWidth="1"/>
    <col min="1554" max="1555" width="3.75" style="1" customWidth="1"/>
    <col min="1556" max="1557" width="5" style="1" customWidth="1"/>
    <col min="1558" max="1559" width="3.75" style="1" customWidth="1"/>
    <col min="1560" max="1560" width="3.5" style="1" customWidth="1"/>
    <col min="1561" max="1791" width="9" style="1"/>
    <col min="1792" max="1792" width="5" style="1" customWidth="1"/>
    <col min="1793" max="1793" width="20.5" style="1" customWidth="1"/>
    <col min="1794" max="1794" width="2.375" style="1" customWidth="1"/>
    <col min="1795" max="1795" width="3.75" style="1" customWidth="1"/>
    <col min="1796" max="1797" width="5" style="1" customWidth="1"/>
    <col min="1798" max="1799" width="3.75" style="1" customWidth="1"/>
    <col min="1800" max="1801" width="5" style="1" customWidth="1"/>
    <col min="1802" max="1803" width="3.75" style="1" customWidth="1"/>
    <col min="1804" max="1805" width="5" style="1" customWidth="1"/>
    <col min="1806" max="1807" width="3.75" style="1" customWidth="1"/>
    <col min="1808" max="1809" width="5" style="1" customWidth="1"/>
    <col min="1810" max="1811" width="3.75" style="1" customWidth="1"/>
    <col min="1812" max="1813" width="5" style="1" customWidth="1"/>
    <col min="1814" max="1815" width="3.75" style="1" customWidth="1"/>
    <col min="1816" max="1816" width="3.5" style="1" customWidth="1"/>
    <col min="1817" max="2047" width="9" style="1"/>
    <col min="2048" max="2048" width="5" style="1" customWidth="1"/>
    <col min="2049" max="2049" width="20.5" style="1" customWidth="1"/>
    <col min="2050" max="2050" width="2.375" style="1" customWidth="1"/>
    <col min="2051" max="2051" width="3.75" style="1" customWidth="1"/>
    <col min="2052" max="2053" width="5" style="1" customWidth="1"/>
    <col min="2054" max="2055" width="3.75" style="1" customWidth="1"/>
    <col min="2056" max="2057" width="5" style="1" customWidth="1"/>
    <col min="2058" max="2059" width="3.75" style="1" customWidth="1"/>
    <col min="2060" max="2061" width="5" style="1" customWidth="1"/>
    <col min="2062" max="2063" width="3.75" style="1" customWidth="1"/>
    <col min="2064" max="2065" width="5" style="1" customWidth="1"/>
    <col min="2066" max="2067" width="3.75" style="1" customWidth="1"/>
    <col min="2068" max="2069" width="5" style="1" customWidth="1"/>
    <col min="2070" max="2071" width="3.75" style="1" customWidth="1"/>
    <col min="2072" max="2072" width="3.5" style="1" customWidth="1"/>
    <col min="2073" max="2303" width="9" style="1"/>
    <col min="2304" max="2304" width="5" style="1" customWidth="1"/>
    <col min="2305" max="2305" width="20.5" style="1" customWidth="1"/>
    <col min="2306" max="2306" width="2.375" style="1" customWidth="1"/>
    <col min="2307" max="2307" width="3.75" style="1" customWidth="1"/>
    <col min="2308" max="2309" width="5" style="1" customWidth="1"/>
    <col min="2310" max="2311" width="3.75" style="1" customWidth="1"/>
    <col min="2312" max="2313" width="5" style="1" customWidth="1"/>
    <col min="2314" max="2315" width="3.75" style="1" customWidth="1"/>
    <col min="2316" max="2317" width="5" style="1" customWidth="1"/>
    <col min="2318" max="2319" width="3.75" style="1" customWidth="1"/>
    <col min="2320" max="2321" width="5" style="1" customWidth="1"/>
    <col min="2322" max="2323" width="3.75" style="1" customWidth="1"/>
    <col min="2324" max="2325" width="5" style="1" customWidth="1"/>
    <col min="2326" max="2327" width="3.75" style="1" customWidth="1"/>
    <col min="2328" max="2328" width="3.5" style="1" customWidth="1"/>
    <col min="2329" max="2559" width="9" style="1"/>
    <col min="2560" max="2560" width="5" style="1" customWidth="1"/>
    <col min="2561" max="2561" width="20.5" style="1" customWidth="1"/>
    <col min="2562" max="2562" width="2.375" style="1" customWidth="1"/>
    <col min="2563" max="2563" width="3.75" style="1" customWidth="1"/>
    <col min="2564" max="2565" width="5" style="1" customWidth="1"/>
    <col min="2566" max="2567" width="3.75" style="1" customWidth="1"/>
    <col min="2568" max="2569" width="5" style="1" customWidth="1"/>
    <col min="2570" max="2571" width="3.75" style="1" customWidth="1"/>
    <col min="2572" max="2573" width="5" style="1" customWidth="1"/>
    <col min="2574" max="2575" width="3.75" style="1" customWidth="1"/>
    <col min="2576" max="2577" width="5" style="1" customWidth="1"/>
    <col min="2578" max="2579" width="3.75" style="1" customWidth="1"/>
    <col min="2580" max="2581" width="5" style="1" customWidth="1"/>
    <col min="2582" max="2583" width="3.75" style="1" customWidth="1"/>
    <col min="2584" max="2584" width="3.5" style="1" customWidth="1"/>
    <col min="2585" max="2815" width="9" style="1"/>
    <col min="2816" max="2816" width="5" style="1" customWidth="1"/>
    <col min="2817" max="2817" width="20.5" style="1" customWidth="1"/>
    <col min="2818" max="2818" width="2.375" style="1" customWidth="1"/>
    <col min="2819" max="2819" width="3.75" style="1" customWidth="1"/>
    <col min="2820" max="2821" width="5" style="1" customWidth="1"/>
    <col min="2822" max="2823" width="3.75" style="1" customWidth="1"/>
    <col min="2824" max="2825" width="5" style="1" customWidth="1"/>
    <col min="2826" max="2827" width="3.75" style="1" customWidth="1"/>
    <col min="2828" max="2829" width="5" style="1" customWidth="1"/>
    <col min="2830" max="2831" width="3.75" style="1" customWidth="1"/>
    <col min="2832" max="2833" width="5" style="1" customWidth="1"/>
    <col min="2834" max="2835" width="3.75" style="1" customWidth="1"/>
    <col min="2836" max="2837" width="5" style="1" customWidth="1"/>
    <col min="2838" max="2839" width="3.75" style="1" customWidth="1"/>
    <col min="2840" max="2840" width="3.5" style="1" customWidth="1"/>
    <col min="2841" max="3071" width="9" style="1"/>
    <col min="3072" max="3072" width="5" style="1" customWidth="1"/>
    <col min="3073" max="3073" width="20.5" style="1" customWidth="1"/>
    <col min="3074" max="3074" width="2.375" style="1" customWidth="1"/>
    <col min="3075" max="3075" width="3.75" style="1" customWidth="1"/>
    <col min="3076" max="3077" width="5" style="1" customWidth="1"/>
    <col min="3078" max="3079" width="3.75" style="1" customWidth="1"/>
    <col min="3080" max="3081" width="5" style="1" customWidth="1"/>
    <col min="3082" max="3083" width="3.75" style="1" customWidth="1"/>
    <col min="3084" max="3085" width="5" style="1" customWidth="1"/>
    <col min="3086" max="3087" width="3.75" style="1" customWidth="1"/>
    <col min="3088" max="3089" width="5" style="1" customWidth="1"/>
    <col min="3090" max="3091" width="3.75" style="1" customWidth="1"/>
    <col min="3092" max="3093" width="5" style="1" customWidth="1"/>
    <col min="3094" max="3095" width="3.75" style="1" customWidth="1"/>
    <col min="3096" max="3096" width="3.5" style="1" customWidth="1"/>
    <col min="3097" max="3327" width="9" style="1"/>
    <col min="3328" max="3328" width="5" style="1" customWidth="1"/>
    <col min="3329" max="3329" width="20.5" style="1" customWidth="1"/>
    <col min="3330" max="3330" width="2.375" style="1" customWidth="1"/>
    <col min="3331" max="3331" width="3.75" style="1" customWidth="1"/>
    <col min="3332" max="3333" width="5" style="1" customWidth="1"/>
    <col min="3334" max="3335" width="3.75" style="1" customWidth="1"/>
    <col min="3336" max="3337" width="5" style="1" customWidth="1"/>
    <col min="3338" max="3339" width="3.75" style="1" customWidth="1"/>
    <col min="3340" max="3341" width="5" style="1" customWidth="1"/>
    <col min="3342" max="3343" width="3.75" style="1" customWidth="1"/>
    <col min="3344" max="3345" width="5" style="1" customWidth="1"/>
    <col min="3346" max="3347" width="3.75" style="1" customWidth="1"/>
    <col min="3348" max="3349" width="5" style="1" customWidth="1"/>
    <col min="3350" max="3351" width="3.75" style="1" customWidth="1"/>
    <col min="3352" max="3352" width="3.5" style="1" customWidth="1"/>
    <col min="3353" max="3583" width="9" style="1"/>
    <col min="3584" max="3584" width="5" style="1" customWidth="1"/>
    <col min="3585" max="3585" width="20.5" style="1" customWidth="1"/>
    <col min="3586" max="3586" width="2.375" style="1" customWidth="1"/>
    <col min="3587" max="3587" width="3.75" style="1" customWidth="1"/>
    <col min="3588" max="3589" width="5" style="1" customWidth="1"/>
    <col min="3590" max="3591" width="3.75" style="1" customWidth="1"/>
    <col min="3592" max="3593" width="5" style="1" customWidth="1"/>
    <col min="3594" max="3595" width="3.75" style="1" customWidth="1"/>
    <col min="3596" max="3597" width="5" style="1" customWidth="1"/>
    <col min="3598" max="3599" width="3.75" style="1" customWidth="1"/>
    <col min="3600" max="3601" width="5" style="1" customWidth="1"/>
    <col min="3602" max="3603" width="3.75" style="1" customWidth="1"/>
    <col min="3604" max="3605" width="5" style="1" customWidth="1"/>
    <col min="3606" max="3607" width="3.75" style="1" customWidth="1"/>
    <col min="3608" max="3608" width="3.5" style="1" customWidth="1"/>
    <col min="3609" max="3839" width="9" style="1"/>
    <col min="3840" max="3840" width="5" style="1" customWidth="1"/>
    <col min="3841" max="3841" width="20.5" style="1" customWidth="1"/>
    <col min="3842" max="3842" width="2.375" style="1" customWidth="1"/>
    <col min="3843" max="3843" width="3.75" style="1" customWidth="1"/>
    <col min="3844" max="3845" width="5" style="1" customWidth="1"/>
    <col min="3846" max="3847" width="3.75" style="1" customWidth="1"/>
    <col min="3848" max="3849" width="5" style="1" customWidth="1"/>
    <col min="3850" max="3851" width="3.75" style="1" customWidth="1"/>
    <col min="3852" max="3853" width="5" style="1" customWidth="1"/>
    <col min="3854" max="3855" width="3.75" style="1" customWidth="1"/>
    <col min="3856" max="3857" width="5" style="1" customWidth="1"/>
    <col min="3858" max="3859" width="3.75" style="1" customWidth="1"/>
    <col min="3860" max="3861" width="5" style="1" customWidth="1"/>
    <col min="3862" max="3863" width="3.75" style="1" customWidth="1"/>
    <col min="3864" max="3864" width="3.5" style="1" customWidth="1"/>
    <col min="3865" max="4095" width="9" style="1"/>
    <col min="4096" max="4096" width="5" style="1" customWidth="1"/>
    <col min="4097" max="4097" width="20.5" style="1" customWidth="1"/>
    <col min="4098" max="4098" width="2.375" style="1" customWidth="1"/>
    <col min="4099" max="4099" width="3.75" style="1" customWidth="1"/>
    <col min="4100" max="4101" width="5" style="1" customWidth="1"/>
    <col min="4102" max="4103" width="3.75" style="1" customWidth="1"/>
    <col min="4104" max="4105" width="5" style="1" customWidth="1"/>
    <col min="4106" max="4107" width="3.75" style="1" customWidth="1"/>
    <col min="4108" max="4109" width="5" style="1" customWidth="1"/>
    <col min="4110" max="4111" width="3.75" style="1" customWidth="1"/>
    <col min="4112" max="4113" width="5" style="1" customWidth="1"/>
    <col min="4114" max="4115" width="3.75" style="1" customWidth="1"/>
    <col min="4116" max="4117" width="5" style="1" customWidth="1"/>
    <col min="4118" max="4119" width="3.75" style="1" customWidth="1"/>
    <col min="4120" max="4120" width="3.5" style="1" customWidth="1"/>
    <col min="4121" max="4351" width="9" style="1"/>
    <col min="4352" max="4352" width="5" style="1" customWidth="1"/>
    <col min="4353" max="4353" width="20.5" style="1" customWidth="1"/>
    <col min="4354" max="4354" width="2.375" style="1" customWidth="1"/>
    <col min="4355" max="4355" width="3.75" style="1" customWidth="1"/>
    <col min="4356" max="4357" width="5" style="1" customWidth="1"/>
    <col min="4358" max="4359" width="3.75" style="1" customWidth="1"/>
    <col min="4360" max="4361" width="5" style="1" customWidth="1"/>
    <col min="4362" max="4363" width="3.75" style="1" customWidth="1"/>
    <col min="4364" max="4365" width="5" style="1" customWidth="1"/>
    <col min="4366" max="4367" width="3.75" style="1" customWidth="1"/>
    <col min="4368" max="4369" width="5" style="1" customWidth="1"/>
    <col min="4370" max="4371" width="3.75" style="1" customWidth="1"/>
    <col min="4372" max="4373" width="5" style="1" customWidth="1"/>
    <col min="4374" max="4375" width="3.75" style="1" customWidth="1"/>
    <col min="4376" max="4376" width="3.5" style="1" customWidth="1"/>
    <col min="4377" max="4607" width="9" style="1"/>
    <col min="4608" max="4608" width="5" style="1" customWidth="1"/>
    <col min="4609" max="4609" width="20.5" style="1" customWidth="1"/>
    <col min="4610" max="4610" width="2.375" style="1" customWidth="1"/>
    <col min="4611" max="4611" width="3.75" style="1" customWidth="1"/>
    <col min="4612" max="4613" width="5" style="1" customWidth="1"/>
    <col min="4614" max="4615" width="3.75" style="1" customWidth="1"/>
    <col min="4616" max="4617" width="5" style="1" customWidth="1"/>
    <col min="4618" max="4619" width="3.75" style="1" customWidth="1"/>
    <col min="4620" max="4621" width="5" style="1" customWidth="1"/>
    <col min="4622" max="4623" width="3.75" style="1" customWidth="1"/>
    <col min="4624" max="4625" width="5" style="1" customWidth="1"/>
    <col min="4626" max="4627" width="3.75" style="1" customWidth="1"/>
    <col min="4628" max="4629" width="5" style="1" customWidth="1"/>
    <col min="4630" max="4631" width="3.75" style="1" customWidth="1"/>
    <col min="4632" max="4632" width="3.5" style="1" customWidth="1"/>
    <col min="4633" max="4863" width="9" style="1"/>
    <col min="4864" max="4864" width="5" style="1" customWidth="1"/>
    <col min="4865" max="4865" width="20.5" style="1" customWidth="1"/>
    <col min="4866" max="4866" width="2.375" style="1" customWidth="1"/>
    <col min="4867" max="4867" width="3.75" style="1" customWidth="1"/>
    <col min="4868" max="4869" width="5" style="1" customWidth="1"/>
    <col min="4870" max="4871" width="3.75" style="1" customWidth="1"/>
    <col min="4872" max="4873" width="5" style="1" customWidth="1"/>
    <col min="4874" max="4875" width="3.75" style="1" customWidth="1"/>
    <col min="4876" max="4877" width="5" style="1" customWidth="1"/>
    <col min="4878" max="4879" width="3.75" style="1" customWidth="1"/>
    <col min="4880" max="4881" width="5" style="1" customWidth="1"/>
    <col min="4882" max="4883" width="3.75" style="1" customWidth="1"/>
    <col min="4884" max="4885" width="5" style="1" customWidth="1"/>
    <col min="4886" max="4887" width="3.75" style="1" customWidth="1"/>
    <col min="4888" max="4888" width="3.5" style="1" customWidth="1"/>
    <col min="4889" max="5119" width="9" style="1"/>
    <col min="5120" max="5120" width="5" style="1" customWidth="1"/>
    <col min="5121" max="5121" width="20.5" style="1" customWidth="1"/>
    <col min="5122" max="5122" width="2.375" style="1" customWidth="1"/>
    <col min="5123" max="5123" width="3.75" style="1" customWidth="1"/>
    <col min="5124" max="5125" width="5" style="1" customWidth="1"/>
    <col min="5126" max="5127" width="3.75" style="1" customWidth="1"/>
    <col min="5128" max="5129" width="5" style="1" customWidth="1"/>
    <col min="5130" max="5131" width="3.75" style="1" customWidth="1"/>
    <col min="5132" max="5133" width="5" style="1" customWidth="1"/>
    <col min="5134" max="5135" width="3.75" style="1" customWidth="1"/>
    <col min="5136" max="5137" width="5" style="1" customWidth="1"/>
    <col min="5138" max="5139" width="3.75" style="1" customWidth="1"/>
    <col min="5140" max="5141" width="5" style="1" customWidth="1"/>
    <col min="5142" max="5143" width="3.75" style="1" customWidth="1"/>
    <col min="5144" max="5144" width="3.5" style="1" customWidth="1"/>
    <col min="5145" max="5375" width="9" style="1"/>
    <col min="5376" max="5376" width="5" style="1" customWidth="1"/>
    <col min="5377" max="5377" width="20.5" style="1" customWidth="1"/>
    <col min="5378" max="5378" width="2.375" style="1" customWidth="1"/>
    <col min="5379" max="5379" width="3.75" style="1" customWidth="1"/>
    <col min="5380" max="5381" width="5" style="1" customWidth="1"/>
    <col min="5382" max="5383" width="3.75" style="1" customWidth="1"/>
    <col min="5384" max="5385" width="5" style="1" customWidth="1"/>
    <col min="5386" max="5387" width="3.75" style="1" customWidth="1"/>
    <col min="5388" max="5389" width="5" style="1" customWidth="1"/>
    <col min="5390" max="5391" width="3.75" style="1" customWidth="1"/>
    <col min="5392" max="5393" width="5" style="1" customWidth="1"/>
    <col min="5394" max="5395" width="3.75" style="1" customWidth="1"/>
    <col min="5396" max="5397" width="5" style="1" customWidth="1"/>
    <col min="5398" max="5399" width="3.75" style="1" customWidth="1"/>
    <col min="5400" max="5400" width="3.5" style="1" customWidth="1"/>
    <col min="5401" max="5631" width="9" style="1"/>
    <col min="5632" max="5632" width="5" style="1" customWidth="1"/>
    <col min="5633" max="5633" width="20.5" style="1" customWidth="1"/>
    <col min="5634" max="5634" width="2.375" style="1" customWidth="1"/>
    <col min="5635" max="5635" width="3.75" style="1" customWidth="1"/>
    <col min="5636" max="5637" width="5" style="1" customWidth="1"/>
    <col min="5638" max="5639" width="3.75" style="1" customWidth="1"/>
    <col min="5640" max="5641" width="5" style="1" customWidth="1"/>
    <col min="5642" max="5643" width="3.75" style="1" customWidth="1"/>
    <col min="5644" max="5645" width="5" style="1" customWidth="1"/>
    <col min="5646" max="5647" width="3.75" style="1" customWidth="1"/>
    <col min="5648" max="5649" width="5" style="1" customWidth="1"/>
    <col min="5650" max="5651" width="3.75" style="1" customWidth="1"/>
    <col min="5652" max="5653" width="5" style="1" customWidth="1"/>
    <col min="5654" max="5655" width="3.75" style="1" customWidth="1"/>
    <col min="5656" max="5656" width="3.5" style="1" customWidth="1"/>
    <col min="5657" max="5887" width="9" style="1"/>
    <col min="5888" max="5888" width="5" style="1" customWidth="1"/>
    <col min="5889" max="5889" width="20.5" style="1" customWidth="1"/>
    <col min="5890" max="5890" width="2.375" style="1" customWidth="1"/>
    <col min="5891" max="5891" width="3.75" style="1" customWidth="1"/>
    <col min="5892" max="5893" width="5" style="1" customWidth="1"/>
    <col min="5894" max="5895" width="3.75" style="1" customWidth="1"/>
    <col min="5896" max="5897" width="5" style="1" customWidth="1"/>
    <col min="5898" max="5899" width="3.75" style="1" customWidth="1"/>
    <col min="5900" max="5901" width="5" style="1" customWidth="1"/>
    <col min="5902" max="5903" width="3.75" style="1" customWidth="1"/>
    <col min="5904" max="5905" width="5" style="1" customWidth="1"/>
    <col min="5906" max="5907" width="3.75" style="1" customWidth="1"/>
    <col min="5908" max="5909" width="5" style="1" customWidth="1"/>
    <col min="5910" max="5911" width="3.75" style="1" customWidth="1"/>
    <col min="5912" max="5912" width="3.5" style="1" customWidth="1"/>
    <col min="5913" max="6143" width="9" style="1"/>
    <col min="6144" max="6144" width="5" style="1" customWidth="1"/>
    <col min="6145" max="6145" width="20.5" style="1" customWidth="1"/>
    <col min="6146" max="6146" width="2.375" style="1" customWidth="1"/>
    <col min="6147" max="6147" width="3.75" style="1" customWidth="1"/>
    <col min="6148" max="6149" width="5" style="1" customWidth="1"/>
    <col min="6150" max="6151" width="3.75" style="1" customWidth="1"/>
    <col min="6152" max="6153" width="5" style="1" customWidth="1"/>
    <col min="6154" max="6155" width="3.75" style="1" customWidth="1"/>
    <col min="6156" max="6157" width="5" style="1" customWidth="1"/>
    <col min="6158" max="6159" width="3.75" style="1" customWidth="1"/>
    <col min="6160" max="6161" width="5" style="1" customWidth="1"/>
    <col min="6162" max="6163" width="3.75" style="1" customWidth="1"/>
    <col min="6164" max="6165" width="5" style="1" customWidth="1"/>
    <col min="6166" max="6167" width="3.75" style="1" customWidth="1"/>
    <col min="6168" max="6168" width="3.5" style="1" customWidth="1"/>
    <col min="6169" max="6399" width="9" style="1"/>
    <col min="6400" max="6400" width="5" style="1" customWidth="1"/>
    <col min="6401" max="6401" width="20.5" style="1" customWidth="1"/>
    <col min="6402" max="6402" width="2.375" style="1" customWidth="1"/>
    <col min="6403" max="6403" width="3.75" style="1" customWidth="1"/>
    <col min="6404" max="6405" width="5" style="1" customWidth="1"/>
    <col min="6406" max="6407" width="3.75" style="1" customWidth="1"/>
    <col min="6408" max="6409" width="5" style="1" customWidth="1"/>
    <col min="6410" max="6411" width="3.75" style="1" customWidth="1"/>
    <col min="6412" max="6413" width="5" style="1" customWidth="1"/>
    <col min="6414" max="6415" width="3.75" style="1" customWidth="1"/>
    <col min="6416" max="6417" width="5" style="1" customWidth="1"/>
    <col min="6418" max="6419" width="3.75" style="1" customWidth="1"/>
    <col min="6420" max="6421" width="5" style="1" customWidth="1"/>
    <col min="6422" max="6423" width="3.75" style="1" customWidth="1"/>
    <col min="6424" max="6424" width="3.5" style="1" customWidth="1"/>
    <col min="6425" max="6655" width="9" style="1"/>
    <col min="6656" max="6656" width="5" style="1" customWidth="1"/>
    <col min="6657" max="6657" width="20.5" style="1" customWidth="1"/>
    <col min="6658" max="6658" width="2.375" style="1" customWidth="1"/>
    <col min="6659" max="6659" width="3.75" style="1" customWidth="1"/>
    <col min="6660" max="6661" width="5" style="1" customWidth="1"/>
    <col min="6662" max="6663" width="3.75" style="1" customWidth="1"/>
    <col min="6664" max="6665" width="5" style="1" customWidth="1"/>
    <col min="6666" max="6667" width="3.75" style="1" customWidth="1"/>
    <col min="6668" max="6669" width="5" style="1" customWidth="1"/>
    <col min="6670" max="6671" width="3.75" style="1" customWidth="1"/>
    <col min="6672" max="6673" width="5" style="1" customWidth="1"/>
    <col min="6674" max="6675" width="3.75" style="1" customWidth="1"/>
    <col min="6676" max="6677" width="5" style="1" customWidth="1"/>
    <col min="6678" max="6679" width="3.75" style="1" customWidth="1"/>
    <col min="6680" max="6680" width="3.5" style="1" customWidth="1"/>
    <col min="6681" max="6911" width="9" style="1"/>
    <col min="6912" max="6912" width="5" style="1" customWidth="1"/>
    <col min="6913" max="6913" width="20.5" style="1" customWidth="1"/>
    <col min="6914" max="6914" width="2.375" style="1" customWidth="1"/>
    <col min="6915" max="6915" width="3.75" style="1" customWidth="1"/>
    <col min="6916" max="6917" width="5" style="1" customWidth="1"/>
    <col min="6918" max="6919" width="3.75" style="1" customWidth="1"/>
    <col min="6920" max="6921" width="5" style="1" customWidth="1"/>
    <col min="6922" max="6923" width="3.75" style="1" customWidth="1"/>
    <col min="6924" max="6925" width="5" style="1" customWidth="1"/>
    <col min="6926" max="6927" width="3.75" style="1" customWidth="1"/>
    <col min="6928" max="6929" width="5" style="1" customWidth="1"/>
    <col min="6930" max="6931" width="3.75" style="1" customWidth="1"/>
    <col min="6932" max="6933" width="5" style="1" customWidth="1"/>
    <col min="6934" max="6935" width="3.75" style="1" customWidth="1"/>
    <col min="6936" max="6936" width="3.5" style="1" customWidth="1"/>
    <col min="6937" max="7167" width="9" style="1"/>
    <col min="7168" max="7168" width="5" style="1" customWidth="1"/>
    <col min="7169" max="7169" width="20.5" style="1" customWidth="1"/>
    <col min="7170" max="7170" width="2.375" style="1" customWidth="1"/>
    <col min="7171" max="7171" width="3.75" style="1" customWidth="1"/>
    <col min="7172" max="7173" width="5" style="1" customWidth="1"/>
    <col min="7174" max="7175" width="3.75" style="1" customWidth="1"/>
    <col min="7176" max="7177" width="5" style="1" customWidth="1"/>
    <col min="7178" max="7179" width="3.75" style="1" customWidth="1"/>
    <col min="7180" max="7181" width="5" style="1" customWidth="1"/>
    <col min="7182" max="7183" width="3.75" style="1" customWidth="1"/>
    <col min="7184" max="7185" width="5" style="1" customWidth="1"/>
    <col min="7186" max="7187" width="3.75" style="1" customWidth="1"/>
    <col min="7188" max="7189" width="5" style="1" customWidth="1"/>
    <col min="7190" max="7191" width="3.75" style="1" customWidth="1"/>
    <col min="7192" max="7192" width="3.5" style="1" customWidth="1"/>
    <col min="7193" max="7423" width="9" style="1"/>
    <col min="7424" max="7424" width="5" style="1" customWidth="1"/>
    <col min="7425" max="7425" width="20.5" style="1" customWidth="1"/>
    <col min="7426" max="7426" width="2.375" style="1" customWidth="1"/>
    <col min="7427" max="7427" width="3.75" style="1" customWidth="1"/>
    <col min="7428" max="7429" width="5" style="1" customWidth="1"/>
    <col min="7430" max="7431" width="3.75" style="1" customWidth="1"/>
    <col min="7432" max="7433" width="5" style="1" customWidth="1"/>
    <col min="7434" max="7435" width="3.75" style="1" customWidth="1"/>
    <col min="7436" max="7437" width="5" style="1" customWidth="1"/>
    <col min="7438" max="7439" width="3.75" style="1" customWidth="1"/>
    <col min="7440" max="7441" width="5" style="1" customWidth="1"/>
    <col min="7442" max="7443" width="3.75" style="1" customWidth="1"/>
    <col min="7444" max="7445" width="5" style="1" customWidth="1"/>
    <col min="7446" max="7447" width="3.75" style="1" customWidth="1"/>
    <col min="7448" max="7448" width="3.5" style="1" customWidth="1"/>
    <col min="7449" max="7679" width="9" style="1"/>
    <col min="7680" max="7680" width="5" style="1" customWidth="1"/>
    <col min="7681" max="7681" width="20.5" style="1" customWidth="1"/>
    <col min="7682" max="7682" width="2.375" style="1" customWidth="1"/>
    <col min="7683" max="7683" width="3.75" style="1" customWidth="1"/>
    <col min="7684" max="7685" width="5" style="1" customWidth="1"/>
    <col min="7686" max="7687" width="3.75" style="1" customWidth="1"/>
    <col min="7688" max="7689" width="5" style="1" customWidth="1"/>
    <col min="7690" max="7691" width="3.75" style="1" customWidth="1"/>
    <col min="7692" max="7693" width="5" style="1" customWidth="1"/>
    <col min="7694" max="7695" width="3.75" style="1" customWidth="1"/>
    <col min="7696" max="7697" width="5" style="1" customWidth="1"/>
    <col min="7698" max="7699" width="3.75" style="1" customWidth="1"/>
    <col min="7700" max="7701" width="5" style="1" customWidth="1"/>
    <col min="7702" max="7703" width="3.75" style="1" customWidth="1"/>
    <col min="7704" max="7704" width="3.5" style="1" customWidth="1"/>
    <col min="7705" max="7935" width="9" style="1"/>
    <col min="7936" max="7936" width="5" style="1" customWidth="1"/>
    <col min="7937" max="7937" width="20.5" style="1" customWidth="1"/>
    <col min="7938" max="7938" width="2.375" style="1" customWidth="1"/>
    <col min="7939" max="7939" width="3.75" style="1" customWidth="1"/>
    <col min="7940" max="7941" width="5" style="1" customWidth="1"/>
    <col min="7942" max="7943" width="3.75" style="1" customWidth="1"/>
    <col min="7944" max="7945" width="5" style="1" customWidth="1"/>
    <col min="7946" max="7947" width="3.75" style="1" customWidth="1"/>
    <col min="7948" max="7949" width="5" style="1" customWidth="1"/>
    <col min="7950" max="7951" width="3.75" style="1" customWidth="1"/>
    <col min="7952" max="7953" width="5" style="1" customWidth="1"/>
    <col min="7954" max="7955" width="3.75" style="1" customWidth="1"/>
    <col min="7956" max="7957" width="5" style="1" customWidth="1"/>
    <col min="7958" max="7959" width="3.75" style="1" customWidth="1"/>
    <col min="7960" max="7960" width="3.5" style="1" customWidth="1"/>
    <col min="7961" max="8191" width="9" style="1"/>
    <col min="8192" max="8192" width="5" style="1" customWidth="1"/>
    <col min="8193" max="8193" width="20.5" style="1" customWidth="1"/>
    <col min="8194" max="8194" width="2.375" style="1" customWidth="1"/>
    <col min="8195" max="8195" width="3.75" style="1" customWidth="1"/>
    <col min="8196" max="8197" width="5" style="1" customWidth="1"/>
    <col min="8198" max="8199" width="3.75" style="1" customWidth="1"/>
    <col min="8200" max="8201" width="5" style="1" customWidth="1"/>
    <col min="8202" max="8203" width="3.75" style="1" customWidth="1"/>
    <col min="8204" max="8205" width="5" style="1" customWidth="1"/>
    <col min="8206" max="8207" width="3.75" style="1" customWidth="1"/>
    <col min="8208" max="8209" width="5" style="1" customWidth="1"/>
    <col min="8210" max="8211" width="3.75" style="1" customWidth="1"/>
    <col min="8212" max="8213" width="5" style="1" customWidth="1"/>
    <col min="8214" max="8215" width="3.75" style="1" customWidth="1"/>
    <col min="8216" max="8216" width="3.5" style="1" customWidth="1"/>
    <col min="8217" max="8447" width="9" style="1"/>
    <col min="8448" max="8448" width="5" style="1" customWidth="1"/>
    <col min="8449" max="8449" width="20.5" style="1" customWidth="1"/>
    <col min="8450" max="8450" width="2.375" style="1" customWidth="1"/>
    <col min="8451" max="8451" width="3.75" style="1" customWidth="1"/>
    <col min="8452" max="8453" width="5" style="1" customWidth="1"/>
    <col min="8454" max="8455" width="3.75" style="1" customWidth="1"/>
    <col min="8456" max="8457" width="5" style="1" customWidth="1"/>
    <col min="8458" max="8459" width="3.75" style="1" customWidth="1"/>
    <col min="8460" max="8461" width="5" style="1" customWidth="1"/>
    <col min="8462" max="8463" width="3.75" style="1" customWidth="1"/>
    <col min="8464" max="8465" width="5" style="1" customWidth="1"/>
    <col min="8466" max="8467" width="3.75" style="1" customWidth="1"/>
    <col min="8468" max="8469" width="5" style="1" customWidth="1"/>
    <col min="8470" max="8471" width="3.75" style="1" customWidth="1"/>
    <col min="8472" max="8472" width="3.5" style="1" customWidth="1"/>
    <col min="8473" max="8703" width="9" style="1"/>
    <col min="8704" max="8704" width="5" style="1" customWidth="1"/>
    <col min="8705" max="8705" width="20.5" style="1" customWidth="1"/>
    <col min="8706" max="8706" width="2.375" style="1" customWidth="1"/>
    <col min="8707" max="8707" width="3.75" style="1" customWidth="1"/>
    <col min="8708" max="8709" width="5" style="1" customWidth="1"/>
    <col min="8710" max="8711" width="3.75" style="1" customWidth="1"/>
    <col min="8712" max="8713" width="5" style="1" customWidth="1"/>
    <col min="8714" max="8715" width="3.75" style="1" customWidth="1"/>
    <col min="8716" max="8717" width="5" style="1" customWidth="1"/>
    <col min="8718" max="8719" width="3.75" style="1" customWidth="1"/>
    <col min="8720" max="8721" width="5" style="1" customWidth="1"/>
    <col min="8722" max="8723" width="3.75" style="1" customWidth="1"/>
    <col min="8724" max="8725" width="5" style="1" customWidth="1"/>
    <col min="8726" max="8727" width="3.75" style="1" customWidth="1"/>
    <col min="8728" max="8728" width="3.5" style="1" customWidth="1"/>
    <col min="8729" max="8959" width="9" style="1"/>
    <col min="8960" max="8960" width="5" style="1" customWidth="1"/>
    <col min="8961" max="8961" width="20.5" style="1" customWidth="1"/>
    <col min="8962" max="8962" width="2.375" style="1" customWidth="1"/>
    <col min="8963" max="8963" width="3.75" style="1" customWidth="1"/>
    <col min="8964" max="8965" width="5" style="1" customWidth="1"/>
    <col min="8966" max="8967" width="3.75" style="1" customWidth="1"/>
    <col min="8968" max="8969" width="5" style="1" customWidth="1"/>
    <col min="8970" max="8971" width="3.75" style="1" customWidth="1"/>
    <col min="8972" max="8973" width="5" style="1" customWidth="1"/>
    <col min="8974" max="8975" width="3.75" style="1" customWidth="1"/>
    <col min="8976" max="8977" width="5" style="1" customWidth="1"/>
    <col min="8978" max="8979" width="3.75" style="1" customWidth="1"/>
    <col min="8980" max="8981" width="5" style="1" customWidth="1"/>
    <col min="8982" max="8983" width="3.75" style="1" customWidth="1"/>
    <col min="8984" max="8984" width="3.5" style="1" customWidth="1"/>
    <col min="8985" max="9215" width="9" style="1"/>
    <col min="9216" max="9216" width="5" style="1" customWidth="1"/>
    <col min="9217" max="9217" width="20.5" style="1" customWidth="1"/>
    <col min="9218" max="9218" width="2.375" style="1" customWidth="1"/>
    <col min="9219" max="9219" width="3.75" style="1" customWidth="1"/>
    <col min="9220" max="9221" width="5" style="1" customWidth="1"/>
    <col min="9222" max="9223" width="3.75" style="1" customWidth="1"/>
    <col min="9224" max="9225" width="5" style="1" customWidth="1"/>
    <col min="9226" max="9227" width="3.75" style="1" customWidth="1"/>
    <col min="9228" max="9229" width="5" style="1" customWidth="1"/>
    <col min="9230" max="9231" width="3.75" style="1" customWidth="1"/>
    <col min="9232" max="9233" width="5" style="1" customWidth="1"/>
    <col min="9234" max="9235" width="3.75" style="1" customWidth="1"/>
    <col min="9236" max="9237" width="5" style="1" customWidth="1"/>
    <col min="9238" max="9239" width="3.75" style="1" customWidth="1"/>
    <col min="9240" max="9240" width="3.5" style="1" customWidth="1"/>
    <col min="9241" max="9471" width="9" style="1"/>
    <col min="9472" max="9472" width="5" style="1" customWidth="1"/>
    <col min="9473" max="9473" width="20.5" style="1" customWidth="1"/>
    <col min="9474" max="9474" width="2.375" style="1" customWidth="1"/>
    <col min="9475" max="9475" width="3.75" style="1" customWidth="1"/>
    <col min="9476" max="9477" width="5" style="1" customWidth="1"/>
    <col min="9478" max="9479" width="3.75" style="1" customWidth="1"/>
    <col min="9480" max="9481" width="5" style="1" customWidth="1"/>
    <col min="9482" max="9483" width="3.75" style="1" customWidth="1"/>
    <col min="9484" max="9485" width="5" style="1" customWidth="1"/>
    <col min="9486" max="9487" width="3.75" style="1" customWidth="1"/>
    <col min="9488" max="9489" width="5" style="1" customWidth="1"/>
    <col min="9490" max="9491" width="3.75" style="1" customWidth="1"/>
    <col min="9492" max="9493" width="5" style="1" customWidth="1"/>
    <col min="9494" max="9495" width="3.75" style="1" customWidth="1"/>
    <col min="9496" max="9496" width="3.5" style="1" customWidth="1"/>
    <col min="9497" max="9727" width="9" style="1"/>
    <col min="9728" max="9728" width="5" style="1" customWidth="1"/>
    <col min="9729" max="9729" width="20.5" style="1" customWidth="1"/>
    <col min="9730" max="9730" width="2.375" style="1" customWidth="1"/>
    <col min="9731" max="9731" width="3.75" style="1" customWidth="1"/>
    <col min="9732" max="9733" width="5" style="1" customWidth="1"/>
    <col min="9734" max="9735" width="3.75" style="1" customWidth="1"/>
    <col min="9736" max="9737" width="5" style="1" customWidth="1"/>
    <col min="9738" max="9739" width="3.75" style="1" customWidth="1"/>
    <col min="9740" max="9741" width="5" style="1" customWidth="1"/>
    <col min="9742" max="9743" width="3.75" style="1" customWidth="1"/>
    <col min="9744" max="9745" width="5" style="1" customWidth="1"/>
    <col min="9746" max="9747" width="3.75" style="1" customWidth="1"/>
    <col min="9748" max="9749" width="5" style="1" customWidth="1"/>
    <col min="9750" max="9751" width="3.75" style="1" customWidth="1"/>
    <col min="9752" max="9752" width="3.5" style="1" customWidth="1"/>
    <col min="9753" max="9983" width="9" style="1"/>
    <col min="9984" max="9984" width="5" style="1" customWidth="1"/>
    <col min="9985" max="9985" width="20.5" style="1" customWidth="1"/>
    <col min="9986" max="9986" width="2.375" style="1" customWidth="1"/>
    <col min="9987" max="9987" width="3.75" style="1" customWidth="1"/>
    <col min="9988" max="9989" width="5" style="1" customWidth="1"/>
    <col min="9990" max="9991" width="3.75" style="1" customWidth="1"/>
    <col min="9992" max="9993" width="5" style="1" customWidth="1"/>
    <col min="9994" max="9995" width="3.75" style="1" customWidth="1"/>
    <col min="9996" max="9997" width="5" style="1" customWidth="1"/>
    <col min="9998" max="9999" width="3.75" style="1" customWidth="1"/>
    <col min="10000" max="10001" width="5" style="1" customWidth="1"/>
    <col min="10002" max="10003" width="3.75" style="1" customWidth="1"/>
    <col min="10004" max="10005" width="5" style="1" customWidth="1"/>
    <col min="10006" max="10007" width="3.75" style="1" customWidth="1"/>
    <col min="10008" max="10008" width="3.5" style="1" customWidth="1"/>
    <col min="10009" max="10239" width="9" style="1"/>
    <col min="10240" max="10240" width="5" style="1" customWidth="1"/>
    <col min="10241" max="10241" width="20.5" style="1" customWidth="1"/>
    <col min="10242" max="10242" width="2.375" style="1" customWidth="1"/>
    <col min="10243" max="10243" width="3.75" style="1" customWidth="1"/>
    <col min="10244" max="10245" width="5" style="1" customWidth="1"/>
    <col min="10246" max="10247" width="3.75" style="1" customWidth="1"/>
    <col min="10248" max="10249" width="5" style="1" customWidth="1"/>
    <col min="10250" max="10251" width="3.75" style="1" customWidth="1"/>
    <col min="10252" max="10253" width="5" style="1" customWidth="1"/>
    <col min="10254" max="10255" width="3.75" style="1" customWidth="1"/>
    <col min="10256" max="10257" width="5" style="1" customWidth="1"/>
    <col min="10258" max="10259" width="3.75" style="1" customWidth="1"/>
    <col min="10260" max="10261" width="5" style="1" customWidth="1"/>
    <col min="10262" max="10263" width="3.75" style="1" customWidth="1"/>
    <col min="10264" max="10264" width="3.5" style="1" customWidth="1"/>
    <col min="10265" max="10495" width="9" style="1"/>
    <col min="10496" max="10496" width="5" style="1" customWidth="1"/>
    <col min="10497" max="10497" width="20.5" style="1" customWidth="1"/>
    <col min="10498" max="10498" width="2.375" style="1" customWidth="1"/>
    <col min="10499" max="10499" width="3.75" style="1" customWidth="1"/>
    <col min="10500" max="10501" width="5" style="1" customWidth="1"/>
    <col min="10502" max="10503" width="3.75" style="1" customWidth="1"/>
    <col min="10504" max="10505" width="5" style="1" customWidth="1"/>
    <col min="10506" max="10507" width="3.75" style="1" customWidth="1"/>
    <col min="10508" max="10509" width="5" style="1" customWidth="1"/>
    <col min="10510" max="10511" width="3.75" style="1" customWidth="1"/>
    <col min="10512" max="10513" width="5" style="1" customWidth="1"/>
    <col min="10514" max="10515" width="3.75" style="1" customWidth="1"/>
    <col min="10516" max="10517" width="5" style="1" customWidth="1"/>
    <col min="10518" max="10519" width="3.75" style="1" customWidth="1"/>
    <col min="10520" max="10520" width="3.5" style="1" customWidth="1"/>
    <col min="10521" max="10751" width="9" style="1"/>
    <col min="10752" max="10752" width="5" style="1" customWidth="1"/>
    <col min="10753" max="10753" width="20.5" style="1" customWidth="1"/>
    <col min="10754" max="10754" width="2.375" style="1" customWidth="1"/>
    <col min="10755" max="10755" width="3.75" style="1" customWidth="1"/>
    <col min="10756" max="10757" width="5" style="1" customWidth="1"/>
    <col min="10758" max="10759" width="3.75" style="1" customWidth="1"/>
    <col min="10760" max="10761" width="5" style="1" customWidth="1"/>
    <col min="10762" max="10763" width="3.75" style="1" customWidth="1"/>
    <col min="10764" max="10765" width="5" style="1" customWidth="1"/>
    <col min="10766" max="10767" width="3.75" style="1" customWidth="1"/>
    <col min="10768" max="10769" width="5" style="1" customWidth="1"/>
    <col min="10770" max="10771" width="3.75" style="1" customWidth="1"/>
    <col min="10772" max="10773" width="5" style="1" customWidth="1"/>
    <col min="10774" max="10775" width="3.75" style="1" customWidth="1"/>
    <col min="10776" max="10776" width="3.5" style="1" customWidth="1"/>
    <col min="10777" max="11007" width="9" style="1"/>
    <col min="11008" max="11008" width="5" style="1" customWidth="1"/>
    <col min="11009" max="11009" width="20.5" style="1" customWidth="1"/>
    <col min="11010" max="11010" width="2.375" style="1" customWidth="1"/>
    <col min="11011" max="11011" width="3.75" style="1" customWidth="1"/>
    <col min="11012" max="11013" width="5" style="1" customWidth="1"/>
    <col min="11014" max="11015" width="3.75" style="1" customWidth="1"/>
    <col min="11016" max="11017" width="5" style="1" customWidth="1"/>
    <col min="11018" max="11019" width="3.75" style="1" customWidth="1"/>
    <col min="11020" max="11021" width="5" style="1" customWidth="1"/>
    <col min="11022" max="11023" width="3.75" style="1" customWidth="1"/>
    <col min="11024" max="11025" width="5" style="1" customWidth="1"/>
    <col min="11026" max="11027" width="3.75" style="1" customWidth="1"/>
    <col min="11028" max="11029" width="5" style="1" customWidth="1"/>
    <col min="11030" max="11031" width="3.75" style="1" customWidth="1"/>
    <col min="11032" max="11032" width="3.5" style="1" customWidth="1"/>
    <col min="11033" max="11263" width="9" style="1"/>
    <col min="11264" max="11264" width="5" style="1" customWidth="1"/>
    <col min="11265" max="11265" width="20.5" style="1" customWidth="1"/>
    <col min="11266" max="11266" width="2.375" style="1" customWidth="1"/>
    <col min="11267" max="11267" width="3.75" style="1" customWidth="1"/>
    <col min="11268" max="11269" width="5" style="1" customWidth="1"/>
    <col min="11270" max="11271" width="3.75" style="1" customWidth="1"/>
    <col min="11272" max="11273" width="5" style="1" customWidth="1"/>
    <col min="11274" max="11275" width="3.75" style="1" customWidth="1"/>
    <col min="11276" max="11277" width="5" style="1" customWidth="1"/>
    <col min="11278" max="11279" width="3.75" style="1" customWidth="1"/>
    <col min="11280" max="11281" width="5" style="1" customWidth="1"/>
    <col min="11282" max="11283" width="3.75" style="1" customWidth="1"/>
    <col min="11284" max="11285" width="5" style="1" customWidth="1"/>
    <col min="11286" max="11287" width="3.75" style="1" customWidth="1"/>
    <col min="11288" max="11288" width="3.5" style="1" customWidth="1"/>
    <col min="11289" max="11519" width="9" style="1"/>
    <col min="11520" max="11520" width="5" style="1" customWidth="1"/>
    <col min="11521" max="11521" width="20.5" style="1" customWidth="1"/>
    <col min="11522" max="11522" width="2.375" style="1" customWidth="1"/>
    <col min="11523" max="11523" width="3.75" style="1" customWidth="1"/>
    <col min="11524" max="11525" width="5" style="1" customWidth="1"/>
    <col min="11526" max="11527" width="3.75" style="1" customWidth="1"/>
    <col min="11528" max="11529" width="5" style="1" customWidth="1"/>
    <col min="11530" max="11531" width="3.75" style="1" customWidth="1"/>
    <col min="11532" max="11533" width="5" style="1" customWidth="1"/>
    <col min="11534" max="11535" width="3.75" style="1" customWidth="1"/>
    <col min="11536" max="11537" width="5" style="1" customWidth="1"/>
    <col min="11538" max="11539" width="3.75" style="1" customWidth="1"/>
    <col min="11540" max="11541" width="5" style="1" customWidth="1"/>
    <col min="11542" max="11543" width="3.75" style="1" customWidth="1"/>
    <col min="11544" max="11544" width="3.5" style="1" customWidth="1"/>
    <col min="11545" max="11775" width="9" style="1"/>
    <col min="11776" max="11776" width="5" style="1" customWidth="1"/>
    <col min="11777" max="11777" width="20.5" style="1" customWidth="1"/>
    <col min="11778" max="11778" width="2.375" style="1" customWidth="1"/>
    <col min="11779" max="11779" width="3.75" style="1" customWidth="1"/>
    <col min="11780" max="11781" width="5" style="1" customWidth="1"/>
    <col min="11782" max="11783" width="3.75" style="1" customWidth="1"/>
    <col min="11784" max="11785" width="5" style="1" customWidth="1"/>
    <col min="11786" max="11787" width="3.75" style="1" customWidth="1"/>
    <col min="11788" max="11789" width="5" style="1" customWidth="1"/>
    <col min="11790" max="11791" width="3.75" style="1" customWidth="1"/>
    <col min="11792" max="11793" width="5" style="1" customWidth="1"/>
    <col min="11794" max="11795" width="3.75" style="1" customWidth="1"/>
    <col min="11796" max="11797" width="5" style="1" customWidth="1"/>
    <col min="11798" max="11799" width="3.75" style="1" customWidth="1"/>
    <col min="11800" max="11800" width="3.5" style="1" customWidth="1"/>
    <col min="11801" max="12031" width="9" style="1"/>
    <col min="12032" max="12032" width="5" style="1" customWidth="1"/>
    <col min="12033" max="12033" width="20.5" style="1" customWidth="1"/>
    <col min="12034" max="12034" width="2.375" style="1" customWidth="1"/>
    <col min="12035" max="12035" width="3.75" style="1" customWidth="1"/>
    <col min="12036" max="12037" width="5" style="1" customWidth="1"/>
    <col min="12038" max="12039" width="3.75" style="1" customWidth="1"/>
    <col min="12040" max="12041" width="5" style="1" customWidth="1"/>
    <col min="12042" max="12043" width="3.75" style="1" customWidth="1"/>
    <col min="12044" max="12045" width="5" style="1" customWidth="1"/>
    <col min="12046" max="12047" width="3.75" style="1" customWidth="1"/>
    <col min="12048" max="12049" width="5" style="1" customWidth="1"/>
    <col min="12050" max="12051" width="3.75" style="1" customWidth="1"/>
    <col min="12052" max="12053" width="5" style="1" customWidth="1"/>
    <col min="12054" max="12055" width="3.75" style="1" customWidth="1"/>
    <col min="12056" max="12056" width="3.5" style="1" customWidth="1"/>
    <col min="12057" max="12287" width="9" style="1"/>
    <col min="12288" max="12288" width="5" style="1" customWidth="1"/>
    <col min="12289" max="12289" width="20.5" style="1" customWidth="1"/>
    <col min="12290" max="12290" width="2.375" style="1" customWidth="1"/>
    <col min="12291" max="12291" width="3.75" style="1" customWidth="1"/>
    <col min="12292" max="12293" width="5" style="1" customWidth="1"/>
    <col min="12294" max="12295" width="3.75" style="1" customWidth="1"/>
    <col min="12296" max="12297" width="5" style="1" customWidth="1"/>
    <col min="12298" max="12299" width="3.75" style="1" customWidth="1"/>
    <col min="12300" max="12301" width="5" style="1" customWidth="1"/>
    <col min="12302" max="12303" width="3.75" style="1" customWidth="1"/>
    <col min="12304" max="12305" width="5" style="1" customWidth="1"/>
    <col min="12306" max="12307" width="3.75" style="1" customWidth="1"/>
    <col min="12308" max="12309" width="5" style="1" customWidth="1"/>
    <col min="12310" max="12311" width="3.75" style="1" customWidth="1"/>
    <col min="12312" max="12312" width="3.5" style="1" customWidth="1"/>
    <col min="12313" max="12543" width="9" style="1"/>
    <col min="12544" max="12544" width="5" style="1" customWidth="1"/>
    <col min="12545" max="12545" width="20.5" style="1" customWidth="1"/>
    <col min="12546" max="12546" width="2.375" style="1" customWidth="1"/>
    <col min="12547" max="12547" width="3.75" style="1" customWidth="1"/>
    <col min="12548" max="12549" width="5" style="1" customWidth="1"/>
    <col min="12550" max="12551" width="3.75" style="1" customWidth="1"/>
    <col min="12552" max="12553" width="5" style="1" customWidth="1"/>
    <col min="12554" max="12555" width="3.75" style="1" customWidth="1"/>
    <col min="12556" max="12557" width="5" style="1" customWidth="1"/>
    <col min="12558" max="12559" width="3.75" style="1" customWidth="1"/>
    <col min="12560" max="12561" width="5" style="1" customWidth="1"/>
    <col min="12562" max="12563" width="3.75" style="1" customWidth="1"/>
    <col min="12564" max="12565" width="5" style="1" customWidth="1"/>
    <col min="12566" max="12567" width="3.75" style="1" customWidth="1"/>
    <col min="12568" max="12568" width="3.5" style="1" customWidth="1"/>
    <col min="12569" max="12799" width="9" style="1"/>
    <col min="12800" max="12800" width="5" style="1" customWidth="1"/>
    <col min="12801" max="12801" width="20.5" style="1" customWidth="1"/>
    <col min="12802" max="12802" width="2.375" style="1" customWidth="1"/>
    <col min="12803" max="12803" width="3.75" style="1" customWidth="1"/>
    <col min="12804" max="12805" width="5" style="1" customWidth="1"/>
    <col min="12806" max="12807" width="3.75" style="1" customWidth="1"/>
    <col min="12808" max="12809" width="5" style="1" customWidth="1"/>
    <col min="12810" max="12811" width="3.75" style="1" customWidth="1"/>
    <col min="12812" max="12813" width="5" style="1" customWidth="1"/>
    <col min="12814" max="12815" width="3.75" style="1" customWidth="1"/>
    <col min="12816" max="12817" width="5" style="1" customWidth="1"/>
    <col min="12818" max="12819" width="3.75" style="1" customWidth="1"/>
    <col min="12820" max="12821" width="5" style="1" customWidth="1"/>
    <col min="12822" max="12823" width="3.75" style="1" customWidth="1"/>
    <col min="12824" max="12824" width="3.5" style="1" customWidth="1"/>
    <col min="12825" max="13055" width="9" style="1"/>
    <col min="13056" max="13056" width="5" style="1" customWidth="1"/>
    <col min="13057" max="13057" width="20.5" style="1" customWidth="1"/>
    <col min="13058" max="13058" width="2.375" style="1" customWidth="1"/>
    <col min="13059" max="13059" width="3.75" style="1" customWidth="1"/>
    <col min="13060" max="13061" width="5" style="1" customWidth="1"/>
    <col min="13062" max="13063" width="3.75" style="1" customWidth="1"/>
    <col min="13064" max="13065" width="5" style="1" customWidth="1"/>
    <col min="13066" max="13067" width="3.75" style="1" customWidth="1"/>
    <col min="13068" max="13069" width="5" style="1" customWidth="1"/>
    <col min="13070" max="13071" width="3.75" style="1" customWidth="1"/>
    <col min="13072" max="13073" width="5" style="1" customWidth="1"/>
    <col min="13074" max="13075" width="3.75" style="1" customWidth="1"/>
    <col min="13076" max="13077" width="5" style="1" customWidth="1"/>
    <col min="13078" max="13079" width="3.75" style="1" customWidth="1"/>
    <col min="13080" max="13080" width="3.5" style="1" customWidth="1"/>
    <col min="13081" max="13311" width="9" style="1"/>
    <col min="13312" max="13312" width="5" style="1" customWidth="1"/>
    <col min="13313" max="13313" width="20.5" style="1" customWidth="1"/>
    <col min="13314" max="13314" width="2.375" style="1" customWidth="1"/>
    <col min="13315" max="13315" width="3.75" style="1" customWidth="1"/>
    <col min="13316" max="13317" width="5" style="1" customWidth="1"/>
    <col min="13318" max="13319" width="3.75" style="1" customWidth="1"/>
    <col min="13320" max="13321" width="5" style="1" customWidth="1"/>
    <col min="13322" max="13323" width="3.75" style="1" customWidth="1"/>
    <col min="13324" max="13325" width="5" style="1" customWidth="1"/>
    <col min="13326" max="13327" width="3.75" style="1" customWidth="1"/>
    <col min="13328" max="13329" width="5" style="1" customWidth="1"/>
    <col min="13330" max="13331" width="3.75" style="1" customWidth="1"/>
    <col min="13332" max="13333" width="5" style="1" customWidth="1"/>
    <col min="13334" max="13335" width="3.75" style="1" customWidth="1"/>
    <col min="13336" max="13336" width="3.5" style="1" customWidth="1"/>
    <col min="13337" max="13567" width="9" style="1"/>
    <col min="13568" max="13568" width="5" style="1" customWidth="1"/>
    <col min="13569" max="13569" width="20.5" style="1" customWidth="1"/>
    <col min="13570" max="13570" width="2.375" style="1" customWidth="1"/>
    <col min="13571" max="13571" width="3.75" style="1" customWidth="1"/>
    <col min="13572" max="13573" width="5" style="1" customWidth="1"/>
    <col min="13574" max="13575" width="3.75" style="1" customWidth="1"/>
    <col min="13576" max="13577" width="5" style="1" customWidth="1"/>
    <col min="13578" max="13579" width="3.75" style="1" customWidth="1"/>
    <col min="13580" max="13581" width="5" style="1" customWidth="1"/>
    <col min="13582" max="13583" width="3.75" style="1" customWidth="1"/>
    <col min="13584" max="13585" width="5" style="1" customWidth="1"/>
    <col min="13586" max="13587" width="3.75" style="1" customWidth="1"/>
    <col min="13588" max="13589" width="5" style="1" customWidth="1"/>
    <col min="13590" max="13591" width="3.75" style="1" customWidth="1"/>
    <col min="13592" max="13592" width="3.5" style="1" customWidth="1"/>
    <col min="13593" max="13823" width="9" style="1"/>
    <col min="13824" max="13824" width="5" style="1" customWidth="1"/>
    <col min="13825" max="13825" width="20.5" style="1" customWidth="1"/>
    <col min="13826" max="13826" width="2.375" style="1" customWidth="1"/>
    <col min="13827" max="13827" width="3.75" style="1" customWidth="1"/>
    <col min="13828" max="13829" width="5" style="1" customWidth="1"/>
    <col min="13830" max="13831" width="3.75" style="1" customWidth="1"/>
    <col min="13832" max="13833" width="5" style="1" customWidth="1"/>
    <col min="13834" max="13835" width="3.75" style="1" customWidth="1"/>
    <col min="13836" max="13837" width="5" style="1" customWidth="1"/>
    <col min="13838" max="13839" width="3.75" style="1" customWidth="1"/>
    <col min="13840" max="13841" width="5" style="1" customWidth="1"/>
    <col min="13842" max="13843" width="3.75" style="1" customWidth="1"/>
    <col min="13844" max="13845" width="5" style="1" customWidth="1"/>
    <col min="13846" max="13847" width="3.75" style="1" customWidth="1"/>
    <col min="13848" max="13848" width="3.5" style="1" customWidth="1"/>
    <col min="13849" max="14079" width="9" style="1"/>
    <col min="14080" max="14080" width="5" style="1" customWidth="1"/>
    <col min="14081" max="14081" width="20.5" style="1" customWidth="1"/>
    <col min="14082" max="14082" width="2.375" style="1" customWidth="1"/>
    <col min="14083" max="14083" width="3.75" style="1" customWidth="1"/>
    <col min="14084" max="14085" width="5" style="1" customWidth="1"/>
    <col min="14086" max="14087" width="3.75" style="1" customWidth="1"/>
    <col min="14088" max="14089" width="5" style="1" customWidth="1"/>
    <col min="14090" max="14091" width="3.75" style="1" customWidth="1"/>
    <col min="14092" max="14093" width="5" style="1" customWidth="1"/>
    <col min="14094" max="14095" width="3.75" style="1" customWidth="1"/>
    <col min="14096" max="14097" width="5" style="1" customWidth="1"/>
    <col min="14098" max="14099" width="3.75" style="1" customWidth="1"/>
    <col min="14100" max="14101" width="5" style="1" customWidth="1"/>
    <col min="14102" max="14103" width="3.75" style="1" customWidth="1"/>
    <col min="14104" max="14104" width="3.5" style="1" customWidth="1"/>
    <col min="14105" max="14335" width="9" style="1"/>
    <col min="14336" max="14336" width="5" style="1" customWidth="1"/>
    <col min="14337" max="14337" width="20.5" style="1" customWidth="1"/>
    <col min="14338" max="14338" width="2.375" style="1" customWidth="1"/>
    <col min="14339" max="14339" width="3.75" style="1" customWidth="1"/>
    <col min="14340" max="14341" width="5" style="1" customWidth="1"/>
    <col min="14342" max="14343" width="3.75" style="1" customWidth="1"/>
    <col min="14344" max="14345" width="5" style="1" customWidth="1"/>
    <col min="14346" max="14347" width="3.75" style="1" customWidth="1"/>
    <col min="14348" max="14349" width="5" style="1" customWidth="1"/>
    <col min="14350" max="14351" width="3.75" style="1" customWidth="1"/>
    <col min="14352" max="14353" width="5" style="1" customWidth="1"/>
    <col min="14354" max="14355" width="3.75" style="1" customWidth="1"/>
    <col min="14356" max="14357" width="5" style="1" customWidth="1"/>
    <col min="14358" max="14359" width="3.75" style="1" customWidth="1"/>
    <col min="14360" max="14360" width="3.5" style="1" customWidth="1"/>
    <col min="14361" max="14591" width="9" style="1"/>
    <col min="14592" max="14592" width="5" style="1" customWidth="1"/>
    <col min="14593" max="14593" width="20.5" style="1" customWidth="1"/>
    <col min="14594" max="14594" width="2.375" style="1" customWidth="1"/>
    <col min="14595" max="14595" width="3.75" style="1" customWidth="1"/>
    <col min="14596" max="14597" width="5" style="1" customWidth="1"/>
    <col min="14598" max="14599" width="3.75" style="1" customWidth="1"/>
    <col min="14600" max="14601" width="5" style="1" customWidth="1"/>
    <col min="14602" max="14603" width="3.75" style="1" customWidth="1"/>
    <col min="14604" max="14605" width="5" style="1" customWidth="1"/>
    <col min="14606" max="14607" width="3.75" style="1" customWidth="1"/>
    <col min="14608" max="14609" width="5" style="1" customWidth="1"/>
    <col min="14610" max="14611" width="3.75" style="1" customWidth="1"/>
    <col min="14612" max="14613" width="5" style="1" customWidth="1"/>
    <col min="14614" max="14615" width="3.75" style="1" customWidth="1"/>
    <col min="14616" max="14616" width="3.5" style="1" customWidth="1"/>
    <col min="14617" max="14847" width="9" style="1"/>
    <col min="14848" max="14848" width="5" style="1" customWidth="1"/>
    <col min="14849" max="14849" width="20.5" style="1" customWidth="1"/>
    <col min="14850" max="14850" width="2.375" style="1" customWidth="1"/>
    <col min="14851" max="14851" width="3.75" style="1" customWidth="1"/>
    <col min="14852" max="14853" width="5" style="1" customWidth="1"/>
    <col min="14854" max="14855" width="3.75" style="1" customWidth="1"/>
    <col min="14856" max="14857" width="5" style="1" customWidth="1"/>
    <col min="14858" max="14859" width="3.75" style="1" customWidth="1"/>
    <col min="14860" max="14861" width="5" style="1" customWidth="1"/>
    <col min="14862" max="14863" width="3.75" style="1" customWidth="1"/>
    <col min="14864" max="14865" width="5" style="1" customWidth="1"/>
    <col min="14866" max="14867" width="3.75" style="1" customWidth="1"/>
    <col min="14868" max="14869" width="5" style="1" customWidth="1"/>
    <col min="14870" max="14871" width="3.75" style="1" customWidth="1"/>
    <col min="14872" max="14872" width="3.5" style="1" customWidth="1"/>
    <col min="14873" max="15103" width="9" style="1"/>
    <col min="15104" max="15104" width="5" style="1" customWidth="1"/>
    <col min="15105" max="15105" width="20.5" style="1" customWidth="1"/>
    <col min="15106" max="15106" width="2.375" style="1" customWidth="1"/>
    <col min="15107" max="15107" width="3.75" style="1" customWidth="1"/>
    <col min="15108" max="15109" width="5" style="1" customWidth="1"/>
    <col min="15110" max="15111" width="3.75" style="1" customWidth="1"/>
    <col min="15112" max="15113" width="5" style="1" customWidth="1"/>
    <col min="15114" max="15115" width="3.75" style="1" customWidth="1"/>
    <col min="15116" max="15117" width="5" style="1" customWidth="1"/>
    <col min="15118" max="15119" width="3.75" style="1" customWidth="1"/>
    <col min="15120" max="15121" width="5" style="1" customWidth="1"/>
    <col min="15122" max="15123" width="3.75" style="1" customWidth="1"/>
    <col min="15124" max="15125" width="5" style="1" customWidth="1"/>
    <col min="15126" max="15127" width="3.75" style="1" customWidth="1"/>
    <col min="15128" max="15128" width="3.5" style="1" customWidth="1"/>
    <col min="15129" max="15359" width="9" style="1"/>
    <col min="15360" max="15360" width="5" style="1" customWidth="1"/>
    <col min="15361" max="15361" width="20.5" style="1" customWidth="1"/>
    <col min="15362" max="15362" width="2.375" style="1" customWidth="1"/>
    <col min="15363" max="15363" width="3.75" style="1" customWidth="1"/>
    <col min="15364" max="15365" width="5" style="1" customWidth="1"/>
    <col min="15366" max="15367" width="3.75" style="1" customWidth="1"/>
    <col min="15368" max="15369" width="5" style="1" customWidth="1"/>
    <col min="15370" max="15371" width="3.75" style="1" customWidth="1"/>
    <col min="15372" max="15373" width="5" style="1" customWidth="1"/>
    <col min="15374" max="15375" width="3.75" style="1" customWidth="1"/>
    <col min="15376" max="15377" width="5" style="1" customWidth="1"/>
    <col min="15378" max="15379" width="3.75" style="1" customWidth="1"/>
    <col min="15380" max="15381" width="5" style="1" customWidth="1"/>
    <col min="15382" max="15383" width="3.75" style="1" customWidth="1"/>
    <col min="15384" max="15384" width="3.5" style="1" customWidth="1"/>
    <col min="15385" max="15615" width="9" style="1"/>
    <col min="15616" max="15616" width="5" style="1" customWidth="1"/>
    <col min="15617" max="15617" width="20.5" style="1" customWidth="1"/>
    <col min="15618" max="15618" width="2.375" style="1" customWidth="1"/>
    <col min="15619" max="15619" width="3.75" style="1" customWidth="1"/>
    <col min="15620" max="15621" width="5" style="1" customWidth="1"/>
    <col min="15622" max="15623" width="3.75" style="1" customWidth="1"/>
    <col min="15624" max="15625" width="5" style="1" customWidth="1"/>
    <col min="15626" max="15627" width="3.75" style="1" customWidth="1"/>
    <col min="15628" max="15629" width="5" style="1" customWidth="1"/>
    <col min="15630" max="15631" width="3.75" style="1" customWidth="1"/>
    <col min="15632" max="15633" width="5" style="1" customWidth="1"/>
    <col min="15634" max="15635" width="3.75" style="1" customWidth="1"/>
    <col min="15636" max="15637" width="5" style="1" customWidth="1"/>
    <col min="15638" max="15639" width="3.75" style="1" customWidth="1"/>
    <col min="15640" max="15640" width="3.5" style="1" customWidth="1"/>
    <col min="15641" max="15871" width="9" style="1"/>
    <col min="15872" max="15872" width="5" style="1" customWidth="1"/>
    <col min="15873" max="15873" width="20.5" style="1" customWidth="1"/>
    <col min="15874" max="15874" width="2.375" style="1" customWidth="1"/>
    <col min="15875" max="15875" width="3.75" style="1" customWidth="1"/>
    <col min="15876" max="15877" width="5" style="1" customWidth="1"/>
    <col min="15878" max="15879" width="3.75" style="1" customWidth="1"/>
    <col min="15880" max="15881" width="5" style="1" customWidth="1"/>
    <col min="15882" max="15883" width="3.75" style="1" customWidth="1"/>
    <col min="15884" max="15885" width="5" style="1" customWidth="1"/>
    <col min="15886" max="15887" width="3.75" style="1" customWidth="1"/>
    <col min="15888" max="15889" width="5" style="1" customWidth="1"/>
    <col min="15890" max="15891" width="3.75" style="1" customWidth="1"/>
    <col min="15892" max="15893" width="5" style="1" customWidth="1"/>
    <col min="15894" max="15895" width="3.75" style="1" customWidth="1"/>
    <col min="15896" max="15896" width="3.5" style="1" customWidth="1"/>
    <col min="15897" max="16127" width="9" style="1"/>
    <col min="16128" max="16128" width="5" style="1" customWidth="1"/>
    <col min="16129" max="16129" width="20.5" style="1" customWidth="1"/>
    <col min="16130" max="16130" width="2.375" style="1" customWidth="1"/>
    <col min="16131" max="16131" width="3.75" style="1" customWidth="1"/>
    <col min="16132" max="16133" width="5" style="1" customWidth="1"/>
    <col min="16134" max="16135" width="3.75" style="1" customWidth="1"/>
    <col min="16136" max="16137" width="5" style="1" customWidth="1"/>
    <col min="16138" max="16139" width="3.75" style="1" customWidth="1"/>
    <col min="16140" max="16141" width="5" style="1" customWidth="1"/>
    <col min="16142" max="16143" width="3.75" style="1" customWidth="1"/>
    <col min="16144" max="16145" width="5" style="1" customWidth="1"/>
    <col min="16146" max="16147" width="3.75" style="1" customWidth="1"/>
    <col min="16148" max="16149" width="5" style="1" customWidth="1"/>
    <col min="16150" max="16151" width="3.75" style="1" customWidth="1"/>
    <col min="16152" max="16152" width="3.5" style="1" customWidth="1"/>
    <col min="16153" max="16383" width="9" style="1"/>
    <col min="16384" max="16384" width="9" style="1" customWidth="1"/>
  </cols>
  <sheetData>
    <row r="1" spans="1:29" x14ac:dyDescent="0.2">
      <c r="A1" s="2" t="s">
        <v>0</v>
      </c>
      <c r="K1" s="127" t="s">
        <v>23</v>
      </c>
      <c r="L1" s="127"/>
      <c r="M1" s="127"/>
    </row>
    <row r="2" spans="1:29" x14ac:dyDescent="0.2">
      <c r="A2" s="2" t="s">
        <v>18</v>
      </c>
      <c r="K2" s="127"/>
      <c r="L2" s="127"/>
      <c r="M2" s="127"/>
      <c r="U2" s="128" t="str">
        <f ca="1">Y2</f>
        <v>PE6</v>
      </c>
      <c r="V2" s="128"/>
      <c r="W2" s="128"/>
      <c r="Y2" s="5" t="str">
        <f ca="1">MID(CELL("filename",A1),FIND("]",CELL("filename",A1))+1,256)</f>
        <v>PE6</v>
      </c>
    </row>
    <row r="3" spans="1:29" x14ac:dyDescent="0.2">
      <c r="A3" s="2" t="s">
        <v>1</v>
      </c>
      <c r="U3" s="128"/>
      <c r="V3" s="128"/>
      <c r="W3" s="128"/>
    </row>
    <row r="4" spans="1:29" x14ac:dyDescent="0.2">
      <c r="A4" s="8" t="s">
        <v>19</v>
      </c>
      <c r="I4" s="127" t="s">
        <v>3</v>
      </c>
      <c r="J4" s="127"/>
      <c r="K4" s="127"/>
      <c r="L4" s="127"/>
      <c r="M4" s="127"/>
      <c r="N4" s="127"/>
      <c r="O4" s="127"/>
      <c r="U4" s="128"/>
      <c r="V4" s="128"/>
      <c r="W4" s="128"/>
    </row>
    <row r="5" spans="1:29" x14ac:dyDescent="0.2">
      <c r="A5" s="9" t="s">
        <v>21</v>
      </c>
      <c r="B5" s="2" t="s">
        <v>27</v>
      </c>
      <c r="I5" s="127"/>
      <c r="J5" s="127"/>
      <c r="K5" s="127"/>
      <c r="L5" s="127"/>
      <c r="M5" s="127"/>
      <c r="N5" s="127"/>
      <c r="O5" s="127"/>
    </row>
    <row r="6" spans="1:29" ht="13.5" thickBot="1" x14ac:dyDescent="0.25"/>
    <row r="7" spans="1:29" ht="15.95" customHeight="1" thickTop="1" thickBot="1" x14ac:dyDescent="0.25">
      <c r="A7" s="150" t="s">
        <v>4</v>
      </c>
      <c r="B7" s="130"/>
      <c r="C7" s="130"/>
      <c r="D7" s="131" t="s">
        <v>311</v>
      </c>
      <c r="E7" s="132"/>
      <c r="F7" s="133"/>
      <c r="G7" s="134"/>
      <c r="H7" s="131" t="s">
        <v>312</v>
      </c>
      <c r="I7" s="132"/>
      <c r="J7" s="133"/>
      <c r="K7" s="134"/>
      <c r="L7" s="131" t="s">
        <v>318</v>
      </c>
      <c r="M7" s="132"/>
      <c r="N7" s="133"/>
      <c r="O7" s="134"/>
      <c r="P7" s="131" t="s">
        <v>315</v>
      </c>
      <c r="Q7" s="132"/>
      <c r="R7" s="133"/>
      <c r="S7" s="134"/>
      <c r="T7" s="131"/>
      <c r="U7" s="132"/>
      <c r="V7" s="133"/>
      <c r="W7" s="134"/>
      <c r="X7" s="131"/>
      <c r="Y7" s="132"/>
      <c r="Z7" s="133"/>
      <c r="AA7" s="134"/>
    </row>
    <row r="8" spans="1:29" ht="15" customHeight="1" thickTop="1" x14ac:dyDescent="0.2">
      <c r="A8" s="147" t="s">
        <v>5</v>
      </c>
      <c r="B8" s="136" t="s">
        <v>6</v>
      </c>
      <c r="C8" s="142" t="s">
        <v>25</v>
      </c>
      <c r="D8" s="138" t="s">
        <v>7</v>
      </c>
      <c r="E8" s="139"/>
      <c r="F8" s="140"/>
      <c r="G8" s="141"/>
      <c r="H8" s="144" t="s">
        <v>8</v>
      </c>
      <c r="I8" s="145"/>
      <c r="J8" s="145"/>
      <c r="K8" s="146"/>
      <c r="L8" s="144" t="s">
        <v>9</v>
      </c>
      <c r="M8" s="145"/>
      <c r="N8" s="145"/>
      <c r="O8" s="146"/>
      <c r="P8" s="138" t="s">
        <v>10</v>
      </c>
      <c r="Q8" s="139"/>
      <c r="R8" s="140"/>
      <c r="S8" s="141"/>
      <c r="T8" s="138" t="s">
        <v>11</v>
      </c>
      <c r="U8" s="139"/>
      <c r="V8" s="140"/>
      <c r="W8" s="141"/>
      <c r="X8" s="138" t="s">
        <v>24</v>
      </c>
      <c r="Y8" s="139"/>
      <c r="Z8" s="140"/>
      <c r="AA8" s="141"/>
    </row>
    <row r="9" spans="1:29" s="3" customFormat="1" ht="67.5" customHeight="1" thickBot="1" x14ac:dyDescent="0.3">
      <c r="A9" s="148"/>
      <c r="B9" s="137"/>
      <c r="C9" s="149"/>
      <c r="D9" s="10" t="s">
        <v>12</v>
      </c>
      <c r="E9" s="11" t="s">
        <v>13</v>
      </c>
      <c r="F9" s="12" t="s">
        <v>14</v>
      </c>
      <c r="G9" s="13" t="s">
        <v>15</v>
      </c>
      <c r="H9" s="10" t="s">
        <v>12</v>
      </c>
      <c r="I9" s="11" t="s">
        <v>13</v>
      </c>
      <c r="J9" s="12" t="s">
        <v>14</v>
      </c>
      <c r="K9" s="13" t="s">
        <v>15</v>
      </c>
      <c r="L9" s="10" t="s">
        <v>12</v>
      </c>
      <c r="M9" s="11" t="s">
        <v>13</v>
      </c>
      <c r="N9" s="12" t="s">
        <v>14</v>
      </c>
      <c r="O9" s="13" t="s">
        <v>15</v>
      </c>
      <c r="P9" s="10" t="s">
        <v>12</v>
      </c>
      <c r="Q9" s="11" t="s">
        <v>13</v>
      </c>
      <c r="R9" s="12" t="s">
        <v>14</v>
      </c>
      <c r="S9" s="13" t="s">
        <v>15</v>
      </c>
      <c r="T9" s="10" t="s">
        <v>12</v>
      </c>
      <c r="U9" s="11" t="s">
        <v>13</v>
      </c>
      <c r="V9" s="12" t="s">
        <v>14</v>
      </c>
      <c r="W9" s="13" t="s">
        <v>15</v>
      </c>
      <c r="X9" s="10" t="s">
        <v>12</v>
      </c>
      <c r="Y9" s="11" t="s">
        <v>13</v>
      </c>
      <c r="Z9" s="12" t="s">
        <v>14</v>
      </c>
      <c r="AA9" s="13" t="s">
        <v>15</v>
      </c>
      <c r="AC9" s="152" t="s">
        <v>319</v>
      </c>
    </row>
    <row r="10" spans="1:29" ht="18" customHeight="1" thickTop="1" x14ac:dyDescent="0.25">
      <c r="A10" s="113" t="s">
        <v>75</v>
      </c>
      <c r="B10" s="114" t="s">
        <v>60</v>
      </c>
      <c r="C10" s="93"/>
      <c r="D10" s="92"/>
      <c r="E10" s="93"/>
      <c r="F10" s="115"/>
      <c r="G10" s="116"/>
      <c r="H10" s="92"/>
      <c r="I10" s="93"/>
      <c r="J10" s="115"/>
      <c r="K10" s="116"/>
      <c r="L10" s="92"/>
      <c r="M10" s="93"/>
      <c r="N10" s="115"/>
      <c r="O10" s="117"/>
      <c r="P10" s="92"/>
      <c r="Q10" s="93"/>
      <c r="R10" s="115"/>
      <c r="S10" s="116"/>
      <c r="T10" s="92"/>
      <c r="U10" s="93"/>
      <c r="V10" s="115"/>
      <c r="W10" s="116"/>
      <c r="X10" s="92"/>
      <c r="Y10" s="93"/>
      <c r="Z10" s="115"/>
      <c r="AA10" s="116"/>
      <c r="AC10" s="155"/>
    </row>
    <row r="11" spans="1:29" s="3" customFormat="1" ht="18" customHeight="1" x14ac:dyDescent="0.25">
      <c r="A11" s="53" t="s">
        <v>76</v>
      </c>
      <c r="B11" s="54" t="s">
        <v>61</v>
      </c>
      <c r="C11" s="30"/>
      <c r="D11" s="29" t="s">
        <v>242</v>
      </c>
      <c r="E11" s="30">
        <v>1</v>
      </c>
      <c r="F11" s="32"/>
      <c r="G11" s="33"/>
      <c r="H11" s="29" t="s">
        <v>242</v>
      </c>
      <c r="I11" s="30">
        <v>1</v>
      </c>
      <c r="J11" s="35"/>
      <c r="K11" s="33"/>
      <c r="L11" s="29" t="s">
        <v>242</v>
      </c>
      <c r="M11" s="30">
        <v>1.5</v>
      </c>
      <c r="N11" s="32"/>
      <c r="O11" s="33"/>
      <c r="P11" s="29" t="s">
        <v>242</v>
      </c>
      <c r="Q11" s="30">
        <v>1.2</v>
      </c>
      <c r="R11" s="32"/>
      <c r="S11" s="33"/>
      <c r="T11" s="29" t="s">
        <v>242</v>
      </c>
      <c r="U11" s="30">
        <v>4</v>
      </c>
      <c r="V11" s="32"/>
      <c r="W11" s="33"/>
      <c r="X11" s="29" t="s">
        <v>242</v>
      </c>
      <c r="Y11" s="30">
        <v>5</v>
      </c>
      <c r="Z11" s="32"/>
      <c r="AA11" s="33"/>
      <c r="AC11" s="156">
        <f>(E11+I11+M11+Q11+U11+Y11)/2</f>
        <v>6.85</v>
      </c>
    </row>
    <row r="12" spans="1:29" s="41" customFormat="1" ht="18" customHeight="1" x14ac:dyDescent="0.25">
      <c r="A12" s="64" t="s">
        <v>77</v>
      </c>
      <c r="B12" s="65" t="s">
        <v>62</v>
      </c>
      <c r="C12" s="44"/>
      <c r="D12" s="43" t="s">
        <v>243</v>
      </c>
      <c r="E12" s="118">
        <v>0</v>
      </c>
      <c r="F12" s="35"/>
      <c r="G12" s="56"/>
      <c r="H12" s="43" t="s">
        <v>242</v>
      </c>
      <c r="I12" s="44">
        <v>1</v>
      </c>
      <c r="J12" s="35"/>
      <c r="K12" s="56"/>
      <c r="L12" s="43" t="s">
        <v>242</v>
      </c>
      <c r="M12" s="30">
        <v>1.5</v>
      </c>
      <c r="N12" s="35"/>
      <c r="O12" s="56"/>
      <c r="P12" s="43" t="s">
        <v>242</v>
      </c>
      <c r="Q12" s="44">
        <v>1</v>
      </c>
      <c r="R12" s="35"/>
      <c r="S12" s="56"/>
      <c r="T12" s="43" t="s">
        <v>242</v>
      </c>
      <c r="U12" s="44">
        <v>4</v>
      </c>
      <c r="V12" s="35"/>
      <c r="W12" s="56"/>
      <c r="X12" s="43" t="s">
        <v>242</v>
      </c>
      <c r="Y12" s="44">
        <v>5</v>
      </c>
      <c r="Z12" s="35"/>
      <c r="AA12" s="56"/>
      <c r="AC12" s="156">
        <f t="shared" ref="AC12:AC25" si="0">(E12+I12+M12+Q12+U12+Y12)/2</f>
        <v>6.25</v>
      </c>
    </row>
    <row r="13" spans="1:29" ht="18" customHeight="1" x14ac:dyDescent="0.25">
      <c r="A13" s="53" t="s">
        <v>78</v>
      </c>
      <c r="B13" s="54" t="s">
        <v>63</v>
      </c>
      <c r="C13" s="30"/>
      <c r="D13" s="29" t="s">
        <v>242</v>
      </c>
      <c r="E13" s="30">
        <v>1.5</v>
      </c>
      <c r="F13" s="32"/>
      <c r="G13" s="33"/>
      <c r="H13" s="29" t="s">
        <v>242</v>
      </c>
      <c r="I13" s="30">
        <v>1</v>
      </c>
      <c r="J13" s="32"/>
      <c r="K13" s="33"/>
      <c r="L13" s="29" t="s">
        <v>242</v>
      </c>
      <c r="M13" s="30">
        <v>1.5</v>
      </c>
      <c r="N13" s="32"/>
      <c r="O13" s="33"/>
      <c r="P13" s="29" t="s">
        <v>242</v>
      </c>
      <c r="Q13" s="30">
        <v>1</v>
      </c>
      <c r="R13" s="32"/>
      <c r="S13" s="33"/>
      <c r="T13" s="29" t="s">
        <v>242</v>
      </c>
      <c r="U13" s="30">
        <v>4</v>
      </c>
      <c r="V13" s="32"/>
      <c r="W13" s="33"/>
      <c r="X13" s="29" t="s">
        <v>242</v>
      </c>
      <c r="Y13" s="30">
        <v>5</v>
      </c>
      <c r="Z13" s="32"/>
      <c r="AA13" s="33"/>
      <c r="AC13" s="156">
        <f t="shared" si="0"/>
        <v>7</v>
      </c>
    </row>
    <row r="14" spans="1:29" ht="18" customHeight="1" x14ac:dyDescent="0.25">
      <c r="A14" s="53" t="s">
        <v>79</v>
      </c>
      <c r="B14" s="54" t="s">
        <v>64</v>
      </c>
      <c r="C14" s="30"/>
      <c r="D14" s="29" t="s">
        <v>242</v>
      </c>
      <c r="E14" s="30">
        <v>1.5</v>
      </c>
      <c r="F14" s="32"/>
      <c r="G14" s="33"/>
      <c r="H14" s="29" t="s">
        <v>242</v>
      </c>
      <c r="I14" s="30">
        <v>1</v>
      </c>
      <c r="J14" s="32"/>
      <c r="K14" s="33"/>
      <c r="L14" s="29" t="s">
        <v>242</v>
      </c>
      <c r="M14" s="30">
        <v>1.5</v>
      </c>
      <c r="N14" s="32"/>
      <c r="O14" s="33"/>
      <c r="P14" s="29" t="s">
        <v>242</v>
      </c>
      <c r="Q14" s="30">
        <v>1.2</v>
      </c>
      <c r="R14" s="32"/>
      <c r="S14" s="33"/>
      <c r="T14" s="29" t="s">
        <v>242</v>
      </c>
      <c r="U14" s="30">
        <v>4</v>
      </c>
      <c r="V14" s="32"/>
      <c r="W14" s="33"/>
      <c r="X14" s="29" t="s">
        <v>242</v>
      </c>
      <c r="Y14" s="30">
        <v>5</v>
      </c>
      <c r="Z14" s="32"/>
      <c r="AA14" s="33"/>
      <c r="AC14" s="156">
        <f t="shared" si="0"/>
        <v>7.1</v>
      </c>
    </row>
    <row r="15" spans="1:29" ht="18" customHeight="1" x14ac:dyDescent="0.25">
      <c r="A15" s="101" t="s">
        <v>80</v>
      </c>
      <c r="B15" s="101" t="s">
        <v>65</v>
      </c>
      <c r="C15" s="89"/>
      <c r="D15" s="88"/>
      <c r="E15" s="89"/>
      <c r="F15" s="100"/>
      <c r="G15" s="110"/>
      <c r="H15" s="88"/>
      <c r="I15" s="89"/>
      <c r="J15" s="100"/>
      <c r="K15" s="99"/>
      <c r="L15" s="88"/>
      <c r="M15" s="89"/>
      <c r="N15" s="102"/>
      <c r="O15" s="99"/>
      <c r="P15" s="88"/>
      <c r="Q15" s="89"/>
      <c r="R15" s="100"/>
      <c r="S15" s="99"/>
      <c r="T15" s="88"/>
      <c r="U15" s="89"/>
      <c r="V15" s="100"/>
      <c r="W15" s="99"/>
      <c r="X15" s="88"/>
      <c r="Y15" s="89"/>
      <c r="Z15" s="100"/>
      <c r="AA15" s="99"/>
      <c r="AC15" s="157"/>
    </row>
    <row r="16" spans="1:29" ht="18" customHeight="1" x14ac:dyDescent="0.25">
      <c r="A16" s="53" t="s">
        <v>81</v>
      </c>
      <c r="B16" s="53" t="s">
        <v>66</v>
      </c>
      <c r="C16" s="30"/>
      <c r="D16" s="29" t="s">
        <v>242</v>
      </c>
      <c r="E16" s="30">
        <v>1.5</v>
      </c>
      <c r="F16" s="32"/>
      <c r="G16" s="33"/>
      <c r="H16" s="29" t="s">
        <v>242</v>
      </c>
      <c r="I16" s="30">
        <v>1</v>
      </c>
      <c r="J16" s="32"/>
      <c r="K16" s="33"/>
      <c r="L16" s="29" t="s">
        <v>242</v>
      </c>
      <c r="M16" s="30">
        <v>1.5</v>
      </c>
      <c r="N16" s="32"/>
      <c r="O16" s="33"/>
      <c r="P16" s="29" t="s">
        <v>242</v>
      </c>
      <c r="Q16" s="30">
        <v>1</v>
      </c>
      <c r="R16" s="32"/>
      <c r="S16" s="33"/>
      <c r="T16" s="29" t="s">
        <v>242</v>
      </c>
      <c r="U16" s="30">
        <v>5</v>
      </c>
      <c r="V16" s="32"/>
      <c r="W16" s="33"/>
      <c r="X16" s="29" t="s">
        <v>242</v>
      </c>
      <c r="Y16" s="30">
        <v>5</v>
      </c>
      <c r="Z16" s="32"/>
      <c r="AA16" s="33"/>
      <c r="AC16" s="156">
        <f t="shared" si="0"/>
        <v>7.5</v>
      </c>
    </row>
    <row r="17" spans="1:33" ht="18" customHeight="1" x14ac:dyDescent="0.25">
      <c r="A17" s="53" t="s">
        <v>82</v>
      </c>
      <c r="B17" s="47" t="s">
        <v>67</v>
      </c>
      <c r="C17" s="30"/>
      <c r="D17" s="29" t="s">
        <v>242</v>
      </c>
      <c r="E17" s="30">
        <v>1.5</v>
      </c>
      <c r="F17" s="32"/>
      <c r="G17" s="33"/>
      <c r="H17" s="29" t="s">
        <v>242</v>
      </c>
      <c r="I17" s="30">
        <v>0.8</v>
      </c>
      <c r="J17" s="32"/>
      <c r="K17" s="33"/>
      <c r="L17" s="29" t="s">
        <v>242</v>
      </c>
      <c r="M17" s="30">
        <v>1.5</v>
      </c>
      <c r="N17" s="35"/>
      <c r="O17" s="33"/>
      <c r="P17" s="151" t="s">
        <v>243</v>
      </c>
      <c r="Q17" s="87">
        <v>0</v>
      </c>
      <c r="R17" s="32"/>
      <c r="S17" s="33"/>
      <c r="T17" s="29" t="s">
        <v>242</v>
      </c>
      <c r="U17" s="30">
        <v>5</v>
      </c>
      <c r="V17" s="68"/>
      <c r="W17" s="32"/>
      <c r="X17" s="29" t="s">
        <v>242</v>
      </c>
      <c r="Y17" s="30">
        <v>5</v>
      </c>
      <c r="Z17" s="68"/>
      <c r="AA17" s="33"/>
      <c r="AC17" s="156">
        <f t="shared" si="0"/>
        <v>6.9</v>
      </c>
    </row>
    <row r="18" spans="1:33" ht="18" customHeight="1" x14ac:dyDescent="0.25">
      <c r="A18" s="53" t="s">
        <v>83</v>
      </c>
      <c r="B18" s="54" t="s">
        <v>68</v>
      </c>
      <c r="C18" s="30"/>
      <c r="D18" s="29" t="s">
        <v>242</v>
      </c>
      <c r="E18" s="30">
        <v>1.5</v>
      </c>
      <c r="F18" s="32"/>
      <c r="G18" s="33"/>
      <c r="H18" s="151" t="s">
        <v>243</v>
      </c>
      <c r="I18" s="87">
        <v>0</v>
      </c>
      <c r="J18" s="32"/>
      <c r="K18" s="33"/>
      <c r="L18" s="29" t="s">
        <v>242</v>
      </c>
      <c r="M18" s="30">
        <v>1.5</v>
      </c>
      <c r="N18" s="35"/>
      <c r="O18" s="33"/>
      <c r="P18" s="29" t="s">
        <v>242</v>
      </c>
      <c r="Q18" s="30">
        <v>0.7</v>
      </c>
      <c r="R18" s="32"/>
      <c r="S18" s="33"/>
      <c r="T18" s="29" t="s">
        <v>242</v>
      </c>
      <c r="U18" s="30">
        <v>5</v>
      </c>
      <c r="V18" s="32"/>
      <c r="W18" s="33"/>
      <c r="X18" s="29" t="s">
        <v>242</v>
      </c>
      <c r="Y18" s="30">
        <v>5</v>
      </c>
      <c r="Z18" s="32"/>
      <c r="AA18" s="33"/>
      <c r="AC18" s="156">
        <f t="shared" si="0"/>
        <v>6.85</v>
      </c>
    </row>
    <row r="19" spans="1:33" ht="18" customHeight="1" x14ac:dyDescent="0.25">
      <c r="A19" s="53" t="s">
        <v>84</v>
      </c>
      <c r="B19" s="54" t="s">
        <v>69</v>
      </c>
      <c r="C19" s="30"/>
      <c r="D19" s="29" t="s">
        <v>242</v>
      </c>
      <c r="E19" s="30">
        <v>1.5</v>
      </c>
      <c r="F19" s="32"/>
      <c r="G19" s="33"/>
      <c r="H19" s="29" t="s">
        <v>242</v>
      </c>
      <c r="I19" s="30">
        <v>1</v>
      </c>
      <c r="J19" s="32"/>
      <c r="K19" s="33"/>
      <c r="L19" s="29" t="s">
        <v>242</v>
      </c>
      <c r="M19" s="30">
        <v>1.5</v>
      </c>
      <c r="N19" s="32"/>
      <c r="O19" s="33"/>
      <c r="P19" s="29" t="s">
        <v>242</v>
      </c>
      <c r="Q19" s="30">
        <v>0.7</v>
      </c>
      <c r="R19" s="32"/>
      <c r="S19" s="33"/>
      <c r="T19" s="29" t="s">
        <v>242</v>
      </c>
      <c r="U19" s="30">
        <v>5</v>
      </c>
      <c r="V19" s="32"/>
      <c r="W19" s="33"/>
      <c r="X19" s="29" t="s">
        <v>242</v>
      </c>
      <c r="Y19" s="30">
        <v>5</v>
      </c>
      <c r="Z19" s="32"/>
      <c r="AA19" s="33"/>
      <c r="AC19" s="156">
        <f t="shared" si="0"/>
        <v>7.35</v>
      </c>
    </row>
    <row r="20" spans="1:33" ht="18" customHeight="1" x14ac:dyDescent="0.25">
      <c r="A20" s="64" t="s">
        <v>85</v>
      </c>
      <c r="B20" s="65" t="s">
        <v>70</v>
      </c>
      <c r="C20" s="44"/>
      <c r="D20" s="43" t="s">
        <v>243</v>
      </c>
      <c r="E20" s="118">
        <v>0</v>
      </c>
      <c r="F20" s="35"/>
      <c r="G20" s="56"/>
      <c r="H20" s="43" t="s">
        <v>242</v>
      </c>
      <c r="I20" s="44">
        <v>1</v>
      </c>
      <c r="J20" s="35"/>
      <c r="K20" s="56"/>
      <c r="L20" s="43" t="s">
        <v>242</v>
      </c>
      <c r="M20" s="30">
        <v>1.5</v>
      </c>
      <c r="N20" s="35"/>
      <c r="O20" s="56"/>
      <c r="P20" s="43" t="s">
        <v>242</v>
      </c>
      <c r="Q20" s="44">
        <v>2</v>
      </c>
      <c r="R20" s="35"/>
      <c r="S20" s="56"/>
      <c r="T20" s="43" t="s">
        <v>242</v>
      </c>
      <c r="U20" s="118"/>
      <c r="V20" s="35"/>
      <c r="W20" s="56"/>
      <c r="X20" s="43" t="s">
        <v>242</v>
      </c>
      <c r="Y20" s="118"/>
      <c r="Z20" s="35"/>
      <c r="AA20" s="56"/>
      <c r="AC20" s="156">
        <f t="shared" si="0"/>
        <v>2.25</v>
      </c>
      <c r="AG20" s="1" t="s">
        <v>22</v>
      </c>
    </row>
    <row r="21" spans="1:33" ht="18" customHeight="1" x14ac:dyDescent="0.2">
      <c r="A21" s="69" t="s">
        <v>86</v>
      </c>
      <c r="B21" s="58" t="s">
        <v>71</v>
      </c>
      <c r="C21" s="30"/>
      <c r="D21" s="29" t="s">
        <v>242</v>
      </c>
      <c r="E21" s="30">
        <v>1.5</v>
      </c>
      <c r="F21" s="32"/>
      <c r="G21" s="33"/>
      <c r="H21" s="55" t="s">
        <v>242</v>
      </c>
      <c r="I21" s="30">
        <v>1</v>
      </c>
      <c r="J21" s="32"/>
      <c r="K21" s="33"/>
      <c r="L21" s="29" t="s">
        <v>242</v>
      </c>
      <c r="M21" s="30">
        <v>1.5</v>
      </c>
      <c r="N21" s="32"/>
      <c r="O21" s="33"/>
      <c r="P21" s="29" t="s">
        <v>242</v>
      </c>
      <c r="Q21" s="30">
        <v>1.5</v>
      </c>
      <c r="R21" s="32"/>
      <c r="S21" s="33"/>
      <c r="T21" s="29" t="s">
        <v>242</v>
      </c>
      <c r="U21" s="30">
        <v>6</v>
      </c>
      <c r="V21" s="32"/>
      <c r="W21" s="33"/>
      <c r="X21" s="29" t="s">
        <v>242</v>
      </c>
      <c r="Y21" s="30">
        <v>6</v>
      </c>
      <c r="Z21" s="32"/>
      <c r="AA21" s="33"/>
      <c r="AC21" s="156">
        <f t="shared" si="0"/>
        <v>8.75</v>
      </c>
    </row>
    <row r="22" spans="1:33" ht="18" customHeight="1" x14ac:dyDescent="0.2">
      <c r="A22" s="69" t="s">
        <v>87</v>
      </c>
      <c r="B22" s="58" t="s">
        <v>72</v>
      </c>
      <c r="C22" s="30"/>
      <c r="D22" s="29" t="s">
        <v>242</v>
      </c>
      <c r="E22" s="30">
        <v>1.5</v>
      </c>
      <c r="F22" s="32"/>
      <c r="G22" s="33"/>
      <c r="H22" s="29" t="s">
        <v>242</v>
      </c>
      <c r="I22" s="30">
        <v>1</v>
      </c>
      <c r="J22" s="32"/>
      <c r="K22" s="33"/>
      <c r="L22" s="29" t="s">
        <v>242</v>
      </c>
      <c r="M22" s="30">
        <v>1.5</v>
      </c>
      <c r="N22" s="32"/>
      <c r="O22" s="33"/>
      <c r="P22" s="29" t="s">
        <v>242</v>
      </c>
      <c r="Q22" s="30">
        <v>0.7</v>
      </c>
      <c r="R22" s="32"/>
      <c r="S22" s="33"/>
      <c r="T22" s="29" t="s">
        <v>242</v>
      </c>
      <c r="U22" s="30">
        <v>4</v>
      </c>
      <c r="V22" s="32"/>
      <c r="W22" s="33"/>
      <c r="X22" s="29" t="s">
        <v>242</v>
      </c>
      <c r="Y22" s="30">
        <v>6</v>
      </c>
      <c r="Z22" s="32"/>
      <c r="AA22" s="33"/>
      <c r="AC22" s="156">
        <f t="shared" si="0"/>
        <v>7.35</v>
      </c>
    </row>
    <row r="23" spans="1:33" ht="18" customHeight="1" x14ac:dyDescent="0.2">
      <c r="A23" s="69" t="s">
        <v>88</v>
      </c>
      <c r="B23" s="70" t="s">
        <v>73</v>
      </c>
      <c r="C23" s="66"/>
      <c r="D23" s="29" t="s">
        <v>242</v>
      </c>
      <c r="E23" s="30">
        <v>1.5</v>
      </c>
      <c r="F23" s="32"/>
      <c r="G23" s="33"/>
      <c r="H23" s="29" t="s">
        <v>242</v>
      </c>
      <c r="I23" s="30">
        <v>1</v>
      </c>
      <c r="J23" s="32"/>
      <c r="K23" s="33"/>
      <c r="L23" s="29" t="s">
        <v>242</v>
      </c>
      <c r="M23" s="30">
        <v>1.5</v>
      </c>
      <c r="N23" s="32"/>
      <c r="O23" s="33"/>
      <c r="P23" s="29" t="s">
        <v>242</v>
      </c>
      <c r="Q23" s="30">
        <v>2</v>
      </c>
      <c r="R23" s="32"/>
      <c r="S23" s="33"/>
      <c r="T23" s="29" t="s">
        <v>242</v>
      </c>
      <c r="U23" s="30">
        <v>6</v>
      </c>
      <c r="V23" s="32"/>
      <c r="W23" s="33"/>
      <c r="X23" s="29" t="s">
        <v>242</v>
      </c>
      <c r="Y23" s="30">
        <v>6</v>
      </c>
      <c r="Z23" s="32"/>
      <c r="AA23" s="33"/>
      <c r="AC23" s="156">
        <f t="shared" si="0"/>
        <v>9</v>
      </c>
    </row>
    <row r="24" spans="1:33" ht="18" customHeight="1" x14ac:dyDescent="0.2">
      <c r="A24" s="69" t="s">
        <v>89</v>
      </c>
      <c r="B24" s="58" t="s">
        <v>74</v>
      </c>
      <c r="C24" s="30"/>
      <c r="D24" s="29" t="s">
        <v>242</v>
      </c>
      <c r="E24" s="30">
        <v>1.5</v>
      </c>
      <c r="F24" s="32"/>
      <c r="G24" s="33"/>
      <c r="H24" s="29" t="s">
        <v>242</v>
      </c>
      <c r="I24" s="30">
        <v>1.5</v>
      </c>
      <c r="J24" s="32"/>
      <c r="K24" s="33"/>
      <c r="L24" s="29" t="s">
        <v>242</v>
      </c>
      <c r="M24" s="30">
        <v>1.5</v>
      </c>
      <c r="N24" s="32"/>
      <c r="O24" s="33"/>
      <c r="P24" s="29" t="s">
        <v>242</v>
      </c>
      <c r="Q24" s="30">
        <v>2</v>
      </c>
      <c r="R24" s="32"/>
      <c r="S24" s="33"/>
      <c r="T24" s="29" t="s">
        <v>242</v>
      </c>
      <c r="U24" s="30">
        <v>5.5</v>
      </c>
      <c r="V24" s="32"/>
      <c r="W24" s="33"/>
      <c r="X24" s="29" t="s">
        <v>242</v>
      </c>
      <c r="Y24" s="30">
        <v>6</v>
      </c>
      <c r="Z24" s="32"/>
      <c r="AA24" s="33"/>
      <c r="AC24" s="156">
        <f t="shared" si="0"/>
        <v>9</v>
      </c>
    </row>
    <row r="25" spans="1:33" ht="18" customHeight="1" thickBot="1" x14ac:dyDescent="0.25">
      <c r="A25" s="69" t="s">
        <v>314</v>
      </c>
      <c r="B25" s="60" t="s">
        <v>313</v>
      </c>
      <c r="C25" s="59"/>
      <c r="D25" s="61" t="s">
        <v>242</v>
      </c>
      <c r="E25" s="59">
        <v>1.5</v>
      </c>
      <c r="F25" s="62"/>
      <c r="G25" s="63"/>
      <c r="H25" s="61" t="s">
        <v>242</v>
      </c>
      <c r="I25" s="59">
        <v>0.5</v>
      </c>
      <c r="J25" s="62"/>
      <c r="K25" s="63"/>
      <c r="L25" s="61" t="s">
        <v>242</v>
      </c>
      <c r="M25" s="30">
        <v>1.5</v>
      </c>
      <c r="N25" s="62"/>
      <c r="O25" s="63"/>
      <c r="P25" s="61" t="s">
        <v>242</v>
      </c>
      <c r="Q25" s="59">
        <v>1</v>
      </c>
      <c r="R25" s="62"/>
      <c r="S25" s="63"/>
      <c r="T25" s="61" t="s">
        <v>242</v>
      </c>
      <c r="U25" s="59">
        <v>5</v>
      </c>
      <c r="V25" s="62"/>
      <c r="W25" s="63"/>
      <c r="X25" s="61" t="s">
        <v>242</v>
      </c>
      <c r="Y25" s="59">
        <v>5</v>
      </c>
      <c r="Z25" s="62"/>
      <c r="AA25" s="63"/>
      <c r="AC25" s="158">
        <f t="shared" si="0"/>
        <v>7.25</v>
      </c>
    </row>
    <row r="26" spans="1:33" ht="18" customHeight="1" thickTop="1" x14ac:dyDescent="0.2">
      <c r="A26" s="22"/>
      <c r="B26" s="23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124"/>
      <c r="U26" s="124"/>
      <c r="V26" s="124"/>
      <c r="W26" s="124"/>
      <c r="X26" s="125"/>
      <c r="Y26" s="126"/>
      <c r="Z26" s="20"/>
    </row>
    <row r="27" spans="1:33" ht="18" customHeight="1" x14ac:dyDescent="0.2">
      <c r="A27" s="22"/>
      <c r="B27" s="23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19"/>
      <c r="Y27" s="20"/>
      <c r="Z27" s="20"/>
    </row>
    <row r="28" spans="1:33" ht="18" customHeight="1" x14ac:dyDescent="0.2">
      <c r="A28" s="22"/>
      <c r="B28" s="23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19"/>
      <c r="Y28" s="20"/>
      <c r="Z28" s="20"/>
    </row>
    <row r="29" spans="1:33" ht="18" customHeight="1" x14ac:dyDescent="0.2">
      <c r="A29" s="22"/>
      <c r="B29" s="23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19"/>
      <c r="Y29" s="20"/>
      <c r="Z29" s="20"/>
    </row>
    <row r="30" spans="1:33" ht="18" customHeight="1" x14ac:dyDescent="0.2">
      <c r="A30" s="22"/>
      <c r="B30" s="23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19"/>
      <c r="Y30" s="20"/>
      <c r="Z30" s="20"/>
    </row>
    <row r="31" spans="1:33" ht="18" customHeight="1" x14ac:dyDescent="0.2">
      <c r="A31" s="22"/>
      <c r="B31" s="23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19"/>
      <c r="Y31" s="20"/>
      <c r="Z31" s="20"/>
    </row>
    <row r="32" spans="1:33" ht="18" customHeight="1" x14ac:dyDescent="0.2">
      <c r="A32" s="22"/>
      <c r="B32" s="23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19"/>
      <c r="Y32" s="20"/>
      <c r="Z32" s="20"/>
    </row>
    <row r="33" spans="1:26" x14ac:dyDescent="0.2">
      <c r="A33" s="20"/>
      <c r="B33" s="20"/>
      <c r="C33" s="20"/>
      <c r="D33" s="20"/>
      <c r="E33" s="20"/>
      <c r="F33" s="20"/>
      <c r="G33" s="20"/>
      <c r="H33" s="21"/>
      <c r="I33" s="20"/>
      <c r="J33" s="20"/>
      <c r="K33" s="20"/>
      <c r="L33" s="21"/>
      <c r="M33" s="20"/>
      <c r="N33" s="20"/>
      <c r="O33" s="20"/>
      <c r="P33" s="20"/>
      <c r="Q33" s="20"/>
      <c r="R33" s="20"/>
      <c r="S33" s="20"/>
      <c r="T33" s="21"/>
      <c r="U33" s="20"/>
      <c r="V33" s="20"/>
      <c r="W33" s="20"/>
      <c r="X33" s="20"/>
      <c r="Y33" s="20"/>
      <c r="Z33" s="20"/>
    </row>
    <row r="34" spans="1:26" x14ac:dyDescent="0.2">
      <c r="A34" s="20"/>
      <c r="B34" s="20"/>
      <c r="C34" s="20"/>
      <c r="D34" s="20"/>
      <c r="E34" s="20"/>
      <c r="F34" s="20"/>
      <c r="G34" s="20"/>
      <c r="H34" s="21"/>
      <c r="I34" s="20"/>
      <c r="J34" s="20"/>
      <c r="K34" s="20"/>
      <c r="L34" s="21"/>
      <c r="M34" s="20"/>
      <c r="N34" s="20"/>
      <c r="O34" s="20"/>
      <c r="P34" s="20"/>
      <c r="Q34" s="20"/>
      <c r="R34" s="20"/>
      <c r="S34" s="20"/>
      <c r="T34" s="21"/>
      <c r="U34" s="20"/>
      <c r="V34" s="20"/>
      <c r="W34" s="20"/>
      <c r="X34" s="20"/>
      <c r="Y34" s="20"/>
      <c r="Z34" s="20"/>
    </row>
  </sheetData>
  <mergeCells count="19">
    <mergeCell ref="X7:AA7"/>
    <mergeCell ref="X8:AA8"/>
    <mergeCell ref="K1:M2"/>
    <mergeCell ref="U2:W4"/>
    <mergeCell ref="I4:O5"/>
    <mergeCell ref="T7:W7"/>
    <mergeCell ref="L8:O8"/>
    <mergeCell ref="P8:S8"/>
    <mergeCell ref="T8:W8"/>
    <mergeCell ref="A7:C7"/>
    <mergeCell ref="D7:G7"/>
    <mergeCell ref="H7:K7"/>
    <mergeCell ref="L7:O7"/>
    <mergeCell ref="P7:S7"/>
    <mergeCell ref="A8:A9"/>
    <mergeCell ref="B8:B9"/>
    <mergeCell ref="C8:C9"/>
    <mergeCell ref="D8:G8"/>
    <mergeCell ref="H8:K8"/>
  </mergeCells>
  <pageMargins left="0.78740157480314965" right="0.39370078740157483" top="0.39370078740157483" bottom="0.39370078740157483" header="0.31496062992125984" footer="0.31496062992125984"/>
  <pageSetup paperSize="9" scale="90" orientation="landscape" r:id="rId1"/>
  <headerFooter alignWithMargins="0"/>
  <colBreaks count="1" manualBreakCount="1">
    <brk id="27" max="2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33"/>
  <sheetViews>
    <sheetView view="pageBreakPreview" topLeftCell="A4" zoomScaleNormal="100" zoomScaleSheetLayoutView="100" workbookViewId="0">
      <selection activeCell="AC9" sqref="AC9"/>
    </sheetView>
  </sheetViews>
  <sheetFormatPr defaultRowHeight="12.75" x14ac:dyDescent="0.2"/>
  <cols>
    <col min="1" max="1" width="6.875" style="1" customWidth="1"/>
    <col min="2" max="2" width="21.625" style="1" customWidth="1"/>
    <col min="3" max="3" width="3.75" style="1" customWidth="1"/>
    <col min="4" max="4" width="5" style="1" customWidth="1"/>
    <col min="5" max="6" width="3.875" style="1" customWidth="1"/>
    <col min="7" max="7" width="4.625" style="1" customWidth="1"/>
    <col min="8" max="8" width="5" style="7" customWidth="1"/>
    <col min="9" max="10" width="3.875" style="1" customWidth="1"/>
    <col min="11" max="11" width="4.625" style="1" customWidth="1"/>
    <col min="12" max="12" width="5" style="7" customWidth="1"/>
    <col min="13" max="14" width="3.875" style="1" customWidth="1"/>
    <col min="15" max="15" width="4.625" style="1" customWidth="1"/>
    <col min="16" max="16" width="5" style="1" customWidth="1"/>
    <col min="17" max="18" width="3.875" style="1" customWidth="1"/>
    <col min="19" max="19" width="4.625" style="1" customWidth="1"/>
    <col min="20" max="20" width="5" style="7" customWidth="1"/>
    <col min="21" max="22" width="3.875" style="1" customWidth="1"/>
    <col min="23" max="23" width="4.625" style="1" customWidth="1"/>
    <col min="24" max="24" width="4.375" style="1" customWidth="1"/>
    <col min="25" max="26" width="3.375" style="1" customWidth="1"/>
    <col min="27" max="27" width="3.875" style="1" customWidth="1"/>
    <col min="28" max="28" width="4" style="1" customWidth="1"/>
    <col min="29" max="255" width="9" style="1"/>
    <col min="256" max="256" width="5" style="1" customWidth="1"/>
    <col min="257" max="257" width="20.5" style="1" customWidth="1"/>
    <col min="258" max="258" width="2.375" style="1" customWidth="1"/>
    <col min="259" max="259" width="3.75" style="1" customWidth="1"/>
    <col min="260" max="261" width="5" style="1" customWidth="1"/>
    <col min="262" max="263" width="3.75" style="1" customWidth="1"/>
    <col min="264" max="265" width="5" style="1" customWidth="1"/>
    <col min="266" max="267" width="3.75" style="1" customWidth="1"/>
    <col min="268" max="269" width="5" style="1" customWidth="1"/>
    <col min="270" max="271" width="3.75" style="1" customWidth="1"/>
    <col min="272" max="273" width="5" style="1" customWidth="1"/>
    <col min="274" max="275" width="3.75" style="1" customWidth="1"/>
    <col min="276" max="277" width="5" style="1" customWidth="1"/>
    <col min="278" max="279" width="3.75" style="1" customWidth="1"/>
    <col min="280" max="280" width="3.5" style="1" customWidth="1"/>
    <col min="281" max="511" width="9" style="1"/>
    <col min="512" max="512" width="5" style="1" customWidth="1"/>
    <col min="513" max="513" width="20.5" style="1" customWidth="1"/>
    <col min="514" max="514" width="2.375" style="1" customWidth="1"/>
    <col min="515" max="515" width="3.75" style="1" customWidth="1"/>
    <col min="516" max="517" width="5" style="1" customWidth="1"/>
    <col min="518" max="519" width="3.75" style="1" customWidth="1"/>
    <col min="520" max="521" width="5" style="1" customWidth="1"/>
    <col min="522" max="523" width="3.75" style="1" customWidth="1"/>
    <col min="524" max="525" width="5" style="1" customWidth="1"/>
    <col min="526" max="527" width="3.75" style="1" customWidth="1"/>
    <col min="528" max="529" width="5" style="1" customWidth="1"/>
    <col min="530" max="531" width="3.75" style="1" customWidth="1"/>
    <col min="532" max="533" width="5" style="1" customWidth="1"/>
    <col min="534" max="535" width="3.75" style="1" customWidth="1"/>
    <col min="536" max="536" width="3.5" style="1" customWidth="1"/>
    <col min="537" max="767" width="9" style="1"/>
    <col min="768" max="768" width="5" style="1" customWidth="1"/>
    <col min="769" max="769" width="20.5" style="1" customWidth="1"/>
    <col min="770" max="770" width="2.375" style="1" customWidth="1"/>
    <col min="771" max="771" width="3.75" style="1" customWidth="1"/>
    <col min="772" max="773" width="5" style="1" customWidth="1"/>
    <col min="774" max="775" width="3.75" style="1" customWidth="1"/>
    <col min="776" max="777" width="5" style="1" customWidth="1"/>
    <col min="778" max="779" width="3.75" style="1" customWidth="1"/>
    <col min="780" max="781" width="5" style="1" customWidth="1"/>
    <col min="782" max="783" width="3.75" style="1" customWidth="1"/>
    <col min="784" max="785" width="5" style="1" customWidth="1"/>
    <col min="786" max="787" width="3.75" style="1" customWidth="1"/>
    <col min="788" max="789" width="5" style="1" customWidth="1"/>
    <col min="790" max="791" width="3.75" style="1" customWidth="1"/>
    <col min="792" max="792" width="3.5" style="1" customWidth="1"/>
    <col min="793" max="1023" width="9" style="1"/>
    <col min="1024" max="1024" width="5" style="1" customWidth="1"/>
    <col min="1025" max="1025" width="20.5" style="1" customWidth="1"/>
    <col min="1026" max="1026" width="2.375" style="1" customWidth="1"/>
    <col min="1027" max="1027" width="3.75" style="1" customWidth="1"/>
    <col min="1028" max="1029" width="5" style="1" customWidth="1"/>
    <col min="1030" max="1031" width="3.75" style="1" customWidth="1"/>
    <col min="1032" max="1033" width="5" style="1" customWidth="1"/>
    <col min="1034" max="1035" width="3.75" style="1" customWidth="1"/>
    <col min="1036" max="1037" width="5" style="1" customWidth="1"/>
    <col min="1038" max="1039" width="3.75" style="1" customWidth="1"/>
    <col min="1040" max="1041" width="5" style="1" customWidth="1"/>
    <col min="1042" max="1043" width="3.75" style="1" customWidth="1"/>
    <col min="1044" max="1045" width="5" style="1" customWidth="1"/>
    <col min="1046" max="1047" width="3.75" style="1" customWidth="1"/>
    <col min="1048" max="1048" width="3.5" style="1" customWidth="1"/>
    <col min="1049" max="1279" width="9" style="1"/>
    <col min="1280" max="1280" width="5" style="1" customWidth="1"/>
    <col min="1281" max="1281" width="20.5" style="1" customWidth="1"/>
    <col min="1282" max="1282" width="2.375" style="1" customWidth="1"/>
    <col min="1283" max="1283" width="3.75" style="1" customWidth="1"/>
    <col min="1284" max="1285" width="5" style="1" customWidth="1"/>
    <col min="1286" max="1287" width="3.75" style="1" customWidth="1"/>
    <col min="1288" max="1289" width="5" style="1" customWidth="1"/>
    <col min="1290" max="1291" width="3.75" style="1" customWidth="1"/>
    <col min="1292" max="1293" width="5" style="1" customWidth="1"/>
    <col min="1294" max="1295" width="3.75" style="1" customWidth="1"/>
    <col min="1296" max="1297" width="5" style="1" customWidth="1"/>
    <col min="1298" max="1299" width="3.75" style="1" customWidth="1"/>
    <col min="1300" max="1301" width="5" style="1" customWidth="1"/>
    <col min="1302" max="1303" width="3.75" style="1" customWidth="1"/>
    <col min="1304" max="1304" width="3.5" style="1" customWidth="1"/>
    <col min="1305" max="1535" width="9" style="1"/>
    <col min="1536" max="1536" width="5" style="1" customWidth="1"/>
    <col min="1537" max="1537" width="20.5" style="1" customWidth="1"/>
    <col min="1538" max="1538" width="2.375" style="1" customWidth="1"/>
    <col min="1539" max="1539" width="3.75" style="1" customWidth="1"/>
    <col min="1540" max="1541" width="5" style="1" customWidth="1"/>
    <col min="1542" max="1543" width="3.75" style="1" customWidth="1"/>
    <col min="1544" max="1545" width="5" style="1" customWidth="1"/>
    <col min="1546" max="1547" width="3.75" style="1" customWidth="1"/>
    <col min="1548" max="1549" width="5" style="1" customWidth="1"/>
    <col min="1550" max="1551" width="3.75" style="1" customWidth="1"/>
    <col min="1552" max="1553" width="5" style="1" customWidth="1"/>
    <col min="1554" max="1555" width="3.75" style="1" customWidth="1"/>
    <col min="1556" max="1557" width="5" style="1" customWidth="1"/>
    <col min="1558" max="1559" width="3.75" style="1" customWidth="1"/>
    <col min="1560" max="1560" width="3.5" style="1" customWidth="1"/>
    <col min="1561" max="1791" width="9" style="1"/>
    <col min="1792" max="1792" width="5" style="1" customWidth="1"/>
    <col min="1793" max="1793" width="20.5" style="1" customWidth="1"/>
    <col min="1794" max="1794" width="2.375" style="1" customWidth="1"/>
    <col min="1795" max="1795" width="3.75" style="1" customWidth="1"/>
    <col min="1796" max="1797" width="5" style="1" customWidth="1"/>
    <col min="1798" max="1799" width="3.75" style="1" customWidth="1"/>
    <col min="1800" max="1801" width="5" style="1" customWidth="1"/>
    <col min="1802" max="1803" width="3.75" style="1" customWidth="1"/>
    <col min="1804" max="1805" width="5" style="1" customWidth="1"/>
    <col min="1806" max="1807" width="3.75" style="1" customWidth="1"/>
    <col min="1808" max="1809" width="5" style="1" customWidth="1"/>
    <col min="1810" max="1811" width="3.75" style="1" customWidth="1"/>
    <col min="1812" max="1813" width="5" style="1" customWidth="1"/>
    <col min="1814" max="1815" width="3.75" style="1" customWidth="1"/>
    <col min="1816" max="1816" width="3.5" style="1" customWidth="1"/>
    <col min="1817" max="2047" width="9" style="1"/>
    <col min="2048" max="2048" width="5" style="1" customWidth="1"/>
    <col min="2049" max="2049" width="20.5" style="1" customWidth="1"/>
    <col min="2050" max="2050" width="2.375" style="1" customWidth="1"/>
    <col min="2051" max="2051" width="3.75" style="1" customWidth="1"/>
    <col min="2052" max="2053" width="5" style="1" customWidth="1"/>
    <col min="2054" max="2055" width="3.75" style="1" customWidth="1"/>
    <col min="2056" max="2057" width="5" style="1" customWidth="1"/>
    <col min="2058" max="2059" width="3.75" style="1" customWidth="1"/>
    <col min="2060" max="2061" width="5" style="1" customWidth="1"/>
    <col min="2062" max="2063" width="3.75" style="1" customWidth="1"/>
    <col min="2064" max="2065" width="5" style="1" customWidth="1"/>
    <col min="2066" max="2067" width="3.75" style="1" customWidth="1"/>
    <col min="2068" max="2069" width="5" style="1" customWidth="1"/>
    <col min="2070" max="2071" width="3.75" style="1" customWidth="1"/>
    <col min="2072" max="2072" width="3.5" style="1" customWidth="1"/>
    <col min="2073" max="2303" width="9" style="1"/>
    <col min="2304" max="2304" width="5" style="1" customWidth="1"/>
    <col min="2305" max="2305" width="20.5" style="1" customWidth="1"/>
    <col min="2306" max="2306" width="2.375" style="1" customWidth="1"/>
    <col min="2307" max="2307" width="3.75" style="1" customWidth="1"/>
    <col min="2308" max="2309" width="5" style="1" customWidth="1"/>
    <col min="2310" max="2311" width="3.75" style="1" customWidth="1"/>
    <col min="2312" max="2313" width="5" style="1" customWidth="1"/>
    <col min="2314" max="2315" width="3.75" style="1" customWidth="1"/>
    <col min="2316" max="2317" width="5" style="1" customWidth="1"/>
    <col min="2318" max="2319" width="3.75" style="1" customWidth="1"/>
    <col min="2320" max="2321" width="5" style="1" customWidth="1"/>
    <col min="2322" max="2323" width="3.75" style="1" customWidth="1"/>
    <col min="2324" max="2325" width="5" style="1" customWidth="1"/>
    <col min="2326" max="2327" width="3.75" style="1" customWidth="1"/>
    <col min="2328" max="2328" width="3.5" style="1" customWidth="1"/>
    <col min="2329" max="2559" width="9" style="1"/>
    <col min="2560" max="2560" width="5" style="1" customWidth="1"/>
    <col min="2561" max="2561" width="20.5" style="1" customWidth="1"/>
    <col min="2562" max="2562" width="2.375" style="1" customWidth="1"/>
    <col min="2563" max="2563" width="3.75" style="1" customWidth="1"/>
    <col min="2564" max="2565" width="5" style="1" customWidth="1"/>
    <col min="2566" max="2567" width="3.75" style="1" customWidth="1"/>
    <col min="2568" max="2569" width="5" style="1" customWidth="1"/>
    <col min="2570" max="2571" width="3.75" style="1" customWidth="1"/>
    <col min="2572" max="2573" width="5" style="1" customWidth="1"/>
    <col min="2574" max="2575" width="3.75" style="1" customWidth="1"/>
    <col min="2576" max="2577" width="5" style="1" customWidth="1"/>
    <col min="2578" max="2579" width="3.75" style="1" customWidth="1"/>
    <col min="2580" max="2581" width="5" style="1" customWidth="1"/>
    <col min="2582" max="2583" width="3.75" style="1" customWidth="1"/>
    <col min="2584" max="2584" width="3.5" style="1" customWidth="1"/>
    <col min="2585" max="2815" width="9" style="1"/>
    <col min="2816" max="2816" width="5" style="1" customWidth="1"/>
    <col min="2817" max="2817" width="20.5" style="1" customWidth="1"/>
    <col min="2818" max="2818" width="2.375" style="1" customWidth="1"/>
    <col min="2819" max="2819" width="3.75" style="1" customWidth="1"/>
    <col min="2820" max="2821" width="5" style="1" customWidth="1"/>
    <col min="2822" max="2823" width="3.75" style="1" customWidth="1"/>
    <col min="2824" max="2825" width="5" style="1" customWidth="1"/>
    <col min="2826" max="2827" width="3.75" style="1" customWidth="1"/>
    <col min="2828" max="2829" width="5" style="1" customWidth="1"/>
    <col min="2830" max="2831" width="3.75" style="1" customWidth="1"/>
    <col min="2832" max="2833" width="5" style="1" customWidth="1"/>
    <col min="2834" max="2835" width="3.75" style="1" customWidth="1"/>
    <col min="2836" max="2837" width="5" style="1" customWidth="1"/>
    <col min="2838" max="2839" width="3.75" style="1" customWidth="1"/>
    <col min="2840" max="2840" width="3.5" style="1" customWidth="1"/>
    <col min="2841" max="3071" width="9" style="1"/>
    <col min="3072" max="3072" width="5" style="1" customWidth="1"/>
    <col min="3073" max="3073" width="20.5" style="1" customWidth="1"/>
    <col min="3074" max="3074" width="2.375" style="1" customWidth="1"/>
    <col min="3075" max="3075" width="3.75" style="1" customWidth="1"/>
    <col min="3076" max="3077" width="5" style="1" customWidth="1"/>
    <col min="3078" max="3079" width="3.75" style="1" customWidth="1"/>
    <col min="3080" max="3081" width="5" style="1" customWidth="1"/>
    <col min="3082" max="3083" width="3.75" style="1" customWidth="1"/>
    <col min="3084" max="3085" width="5" style="1" customWidth="1"/>
    <col min="3086" max="3087" width="3.75" style="1" customWidth="1"/>
    <col min="3088" max="3089" width="5" style="1" customWidth="1"/>
    <col min="3090" max="3091" width="3.75" style="1" customWidth="1"/>
    <col min="3092" max="3093" width="5" style="1" customWidth="1"/>
    <col min="3094" max="3095" width="3.75" style="1" customWidth="1"/>
    <col min="3096" max="3096" width="3.5" style="1" customWidth="1"/>
    <col min="3097" max="3327" width="9" style="1"/>
    <col min="3328" max="3328" width="5" style="1" customWidth="1"/>
    <col min="3329" max="3329" width="20.5" style="1" customWidth="1"/>
    <col min="3330" max="3330" width="2.375" style="1" customWidth="1"/>
    <col min="3331" max="3331" width="3.75" style="1" customWidth="1"/>
    <col min="3332" max="3333" width="5" style="1" customWidth="1"/>
    <col min="3334" max="3335" width="3.75" style="1" customWidth="1"/>
    <col min="3336" max="3337" width="5" style="1" customWidth="1"/>
    <col min="3338" max="3339" width="3.75" style="1" customWidth="1"/>
    <col min="3340" max="3341" width="5" style="1" customWidth="1"/>
    <col min="3342" max="3343" width="3.75" style="1" customWidth="1"/>
    <col min="3344" max="3345" width="5" style="1" customWidth="1"/>
    <col min="3346" max="3347" width="3.75" style="1" customWidth="1"/>
    <col min="3348" max="3349" width="5" style="1" customWidth="1"/>
    <col min="3350" max="3351" width="3.75" style="1" customWidth="1"/>
    <col min="3352" max="3352" width="3.5" style="1" customWidth="1"/>
    <col min="3353" max="3583" width="9" style="1"/>
    <col min="3584" max="3584" width="5" style="1" customWidth="1"/>
    <col min="3585" max="3585" width="20.5" style="1" customWidth="1"/>
    <col min="3586" max="3586" width="2.375" style="1" customWidth="1"/>
    <col min="3587" max="3587" width="3.75" style="1" customWidth="1"/>
    <col min="3588" max="3589" width="5" style="1" customWidth="1"/>
    <col min="3590" max="3591" width="3.75" style="1" customWidth="1"/>
    <col min="3592" max="3593" width="5" style="1" customWidth="1"/>
    <col min="3594" max="3595" width="3.75" style="1" customWidth="1"/>
    <col min="3596" max="3597" width="5" style="1" customWidth="1"/>
    <col min="3598" max="3599" width="3.75" style="1" customWidth="1"/>
    <col min="3600" max="3601" width="5" style="1" customWidth="1"/>
    <col min="3602" max="3603" width="3.75" style="1" customWidth="1"/>
    <col min="3604" max="3605" width="5" style="1" customWidth="1"/>
    <col min="3606" max="3607" width="3.75" style="1" customWidth="1"/>
    <col min="3608" max="3608" width="3.5" style="1" customWidth="1"/>
    <col min="3609" max="3839" width="9" style="1"/>
    <col min="3840" max="3840" width="5" style="1" customWidth="1"/>
    <col min="3841" max="3841" width="20.5" style="1" customWidth="1"/>
    <col min="3842" max="3842" width="2.375" style="1" customWidth="1"/>
    <col min="3843" max="3843" width="3.75" style="1" customWidth="1"/>
    <col min="3844" max="3845" width="5" style="1" customWidth="1"/>
    <col min="3846" max="3847" width="3.75" style="1" customWidth="1"/>
    <col min="3848" max="3849" width="5" style="1" customWidth="1"/>
    <col min="3850" max="3851" width="3.75" style="1" customWidth="1"/>
    <col min="3852" max="3853" width="5" style="1" customWidth="1"/>
    <col min="3854" max="3855" width="3.75" style="1" customWidth="1"/>
    <col min="3856" max="3857" width="5" style="1" customWidth="1"/>
    <col min="3858" max="3859" width="3.75" style="1" customWidth="1"/>
    <col min="3860" max="3861" width="5" style="1" customWidth="1"/>
    <col min="3862" max="3863" width="3.75" style="1" customWidth="1"/>
    <col min="3864" max="3864" width="3.5" style="1" customWidth="1"/>
    <col min="3865" max="4095" width="9" style="1"/>
    <col min="4096" max="4096" width="5" style="1" customWidth="1"/>
    <col min="4097" max="4097" width="20.5" style="1" customWidth="1"/>
    <col min="4098" max="4098" width="2.375" style="1" customWidth="1"/>
    <col min="4099" max="4099" width="3.75" style="1" customWidth="1"/>
    <col min="4100" max="4101" width="5" style="1" customWidth="1"/>
    <col min="4102" max="4103" width="3.75" style="1" customWidth="1"/>
    <col min="4104" max="4105" width="5" style="1" customWidth="1"/>
    <col min="4106" max="4107" width="3.75" style="1" customWidth="1"/>
    <col min="4108" max="4109" width="5" style="1" customWidth="1"/>
    <col min="4110" max="4111" width="3.75" style="1" customWidth="1"/>
    <col min="4112" max="4113" width="5" style="1" customWidth="1"/>
    <col min="4114" max="4115" width="3.75" style="1" customWidth="1"/>
    <col min="4116" max="4117" width="5" style="1" customWidth="1"/>
    <col min="4118" max="4119" width="3.75" style="1" customWidth="1"/>
    <col min="4120" max="4120" width="3.5" style="1" customWidth="1"/>
    <col min="4121" max="4351" width="9" style="1"/>
    <col min="4352" max="4352" width="5" style="1" customWidth="1"/>
    <col min="4353" max="4353" width="20.5" style="1" customWidth="1"/>
    <col min="4354" max="4354" width="2.375" style="1" customWidth="1"/>
    <col min="4355" max="4355" width="3.75" style="1" customWidth="1"/>
    <col min="4356" max="4357" width="5" style="1" customWidth="1"/>
    <col min="4358" max="4359" width="3.75" style="1" customWidth="1"/>
    <col min="4360" max="4361" width="5" style="1" customWidth="1"/>
    <col min="4362" max="4363" width="3.75" style="1" customWidth="1"/>
    <col min="4364" max="4365" width="5" style="1" customWidth="1"/>
    <col min="4366" max="4367" width="3.75" style="1" customWidth="1"/>
    <col min="4368" max="4369" width="5" style="1" customWidth="1"/>
    <col min="4370" max="4371" width="3.75" style="1" customWidth="1"/>
    <col min="4372" max="4373" width="5" style="1" customWidth="1"/>
    <col min="4374" max="4375" width="3.75" style="1" customWidth="1"/>
    <col min="4376" max="4376" width="3.5" style="1" customWidth="1"/>
    <col min="4377" max="4607" width="9" style="1"/>
    <col min="4608" max="4608" width="5" style="1" customWidth="1"/>
    <col min="4609" max="4609" width="20.5" style="1" customWidth="1"/>
    <col min="4610" max="4610" width="2.375" style="1" customWidth="1"/>
    <col min="4611" max="4611" width="3.75" style="1" customWidth="1"/>
    <col min="4612" max="4613" width="5" style="1" customWidth="1"/>
    <col min="4614" max="4615" width="3.75" style="1" customWidth="1"/>
    <col min="4616" max="4617" width="5" style="1" customWidth="1"/>
    <col min="4618" max="4619" width="3.75" style="1" customWidth="1"/>
    <col min="4620" max="4621" width="5" style="1" customWidth="1"/>
    <col min="4622" max="4623" width="3.75" style="1" customWidth="1"/>
    <col min="4624" max="4625" width="5" style="1" customWidth="1"/>
    <col min="4626" max="4627" width="3.75" style="1" customWidth="1"/>
    <col min="4628" max="4629" width="5" style="1" customWidth="1"/>
    <col min="4630" max="4631" width="3.75" style="1" customWidth="1"/>
    <col min="4632" max="4632" width="3.5" style="1" customWidth="1"/>
    <col min="4633" max="4863" width="9" style="1"/>
    <col min="4864" max="4864" width="5" style="1" customWidth="1"/>
    <col min="4865" max="4865" width="20.5" style="1" customWidth="1"/>
    <col min="4866" max="4866" width="2.375" style="1" customWidth="1"/>
    <col min="4867" max="4867" width="3.75" style="1" customWidth="1"/>
    <col min="4868" max="4869" width="5" style="1" customWidth="1"/>
    <col min="4870" max="4871" width="3.75" style="1" customWidth="1"/>
    <col min="4872" max="4873" width="5" style="1" customWidth="1"/>
    <col min="4874" max="4875" width="3.75" style="1" customWidth="1"/>
    <col min="4876" max="4877" width="5" style="1" customWidth="1"/>
    <col min="4878" max="4879" width="3.75" style="1" customWidth="1"/>
    <col min="4880" max="4881" width="5" style="1" customWidth="1"/>
    <col min="4882" max="4883" width="3.75" style="1" customWidth="1"/>
    <col min="4884" max="4885" width="5" style="1" customWidth="1"/>
    <col min="4886" max="4887" width="3.75" style="1" customWidth="1"/>
    <col min="4888" max="4888" width="3.5" style="1" customWidth="1"/>
    <col min="4889" max="5119" width="9" style="1"/>
    <col min="5120" max="5120" width="5" style="1" customWidth="1"/>
    <col min="5121" max="5121" width="20.5" style="1" customWidth="1"/>
    <col min="5122" max="5122" width="2.375" style="1" customWidth="1"/>
    <col min="5123" max="5123" width="3.75" style="1" customWidth="1"/>
    <col min="5124" max="5125" width="5" style="1" customWidth="1"/>
    <col min="5126" max="5127" width="3.75" style="1" customWidth="1"/>
    <col min="5128" max="5129" width="5" style="1" customWidth="1"/>
    <col min="5130" max="5131" width="3.75" style="1" customWidth="1"/>
    <col min="5132" max="5133" width="5" style="1" customWidth="1"/>
    <col min="5134" max="5135" width="3.75" style="1" customWidth="1"/>
    <col min="5136" max="5137" width="5" style="1" customWidth="1"/>
    <col min="5138" max="5139" width="3.75" style="1" customWidth="1"/>
    <col min="5140" max="5141" width="5" style="1" customWidth="1"/>
    <col min="5142" max="5143" width="3.75" style="1" customWidth="1"/>
    <col min="5144" max="5144" width="3.5" style="1" customWidth="1"/>
    <col min="5145" max="5375" width="9" style="1"/>
    <col min="5376" max="5376" width="5" style="1" customWidth="1"/>
    <col min="5377" max="5377" width="20.5" style="1" customWidth="1"/>
    <col min="5378" max="5378" width="2.375" style="1" customWidth="1"/>
    <col min="5379" max="5379" width="3.75" style="1" customWidth="1"/>
    <col min="5380" max="5381" width="5" style="1" customWidth="1"/>
    <col min="5382" max="5383" width="3.75" style="1" customWidth="1"/>
    <col min="5384" max="5385" width="5" style="1" customWidth="1"/>
    <col min="5386" max="5387" width="3.75" style="1" customWidth="1"/>
    <col min="5388" max="5389" width="5" style="1" customWidth="1"/>
    <col min="5390" max="5391" width="3.75" style="1" customWidth="1"/>
    <col min="5392" max="5393" width="5" style="1" customWidth="1"/>
    <col min="5394" max="5395" width="3.75" style="1" customWidth="1"/>
    <col min="5396" max="5397" width="5" style="1" customWidth="1"/>
    <col min="5398" max="5399" width="3.75" style="1" customWidth="1"/>
    <col min="5400" max="5400" width="3.5" style="1" customWidth="1"/>
    <col min="5401" max="5631" width="9" style="1"/>
    <col min="5632" max="5632" width="5" style="1" customWidth="1"/>
    <col min="5633" max="5633" width="20.5" style="1" customWidth="1"/>
    <col min="5634" max="5634" width="2.375" style="1" customWidth="1"/>
    <col min="5635" max="5635" width="3.75" style="1" customWidth="1"/>
    <col min="5636" max="5637" width="5" style="1" customWidth="1"/>
    <col min="5638" max="5639" width="3.75" style="1" customWidth="1"/>
    <col min="5640" max="5641" width="5" style="1" customWidth="1"/>
    <col min="5642" max="5643" width="3.75" style="1" customWidth="1"/>
    <col min="5644" max="5645" width="5" style="1" customWidth="1"/>
    <col min="5646" max="5647" width="3.75" style="1" customWidth="1"/>
    <col min="5648" max="5649" width="5" style="1" customWidth="1"/>
    <col min="5650" max="5651" width="3.75" style="1" customWidth="1"/>
    <col min="5652" max="5653" width="5" style="1" customWidth="1"/>
    <col min="5654" max="5655" width="3.75" style="1" customWidth="1"/>
    <col min="5656" max="5656" width="3.5" style="1" customWidth="1"/>
    <col min="5657" max="5887" width="9" style="1"/>
    <col min="5888" max="5888" width="5" style="1" customWidth="1"/>
    <col min="5889" max="5889" width="20.5" style="1" customWidth="1"/>
    <col min="5890" max="5890" width="2.375" style="1" customWidth="1"/>
    <col min="5891" max="5891" width="3.75" style="1" customWidth="1"/>
    <col min="5892" max="5893" width="5" style="1" customWidth="1"/>
    <col min="5894" max="5895" width="3.75" style="1" customWidth="1"/>
    <col min="5896" max="5897" width="5" style="1" customWidth="1"/>
    <col min="5898" max="5899" width="3.75" style="1" customWidth="1"/>
    <col min="5900" max="5901" width="5" style="1" customWidth="1"/>
    <col min="5902" max="5903" width="3.75" style="1" customWidth="1"/>
    <col min="5904" max="5905" width="5" style="1" customWidth="1"/>
    <col min="5906" max="5907" width="3.75" style="1" customWidth="1"/>
    <col min="5908" max="5909" width="5" style="1" customWidth="1"/>
    <col min="5910" max="5911" width="3.75" style="1" customWidth="1"/>
    <col min="5912" max="5912" width="3.5" style="1" customWidth="1"/>
    <col min="5913" max="6143" width="9" style="1"/>
    <col min="6144" max="6144" width="5" style="1" customWidth="1"/>
    <col min="6145" max="6145" width="20.5" style="1" customWidth="1"/>
    <col min="6146" max="6146" width="2.375" style="1" customWidth="1"/>
    <col min="6147" max="6147" width="3.75" style="1" customWidth="1"/>
    <col min="6148" max="6149" width="5" style="1" customWidth="1"/>
    <col min="6150" max="6151" width="3.75" style="1" customWidth="1"/>
    <col min="6152" max="6153" width="5" style="1" customWidth="1"/>
    <col min="6154" max="6155" width="3.75" style="1" customWidth="1"/>
    <col min="6156" max="6157" width="5" style="1" customWidth="1"/>
    <col min="6158" max="6159" width="3.75" style="1" customWidth="1"/>
    <col min="6160" max="6161" width="5" style="1" customWidth="1"/>
    <col min="6162" max="6163" width="3.75" style="1" customWidth="1"/>
    <col min="6164" max="6165" width="5" style="1" customWidth="1"/>
    <col min="6166" max="6167" width="3.75" style="1" customWidth="1"/>
    <col min="6168" max="6168" width="3.5" style="1" customWidth="1"/>
    <col min="6169" max="6399" width="9" style="1"/>
    <col min="6400" max="6400" width="5" style="1" customWidth="1"/>
    <col min="6401" max="6401" width="20.5" style="1" customWidth="1"/>
    <col min="6402" max="6402" width="2.375" style="1" customWidth="1"/>
    <col min="6403" max="6403" width="3.75" style="1" customWidth="1"/>
    <col min="6404" max="6405" width="5" style="1" customWidth="1"/>
    <col min="6406" max="6407" width="3.75" style="1" customWidth="1"/>
    <col min="6408" max="6409" width="5" style="1" customWidth="1"/>
    <col min="6410" max="6411" width="3.75" style="1" customWidth="1"/>
    <col min="6412" max="6413" width="5" style="1" customWidth="1"/>
    <col min="6414" max="6415" width="3.75" style="1" customWidth="1"/>
    <col min="6416" max="6417" width="5" style="1" customWidth="1"/>
    <col min="6418" max="6419" width="3.75" style="1" customWidth="1"/>
    <col min="6420" max="6421" width="5" style="1" customWidth="1"/>
    <col min="6422" max="6423" width="3.75" style="1" customWidth="1"/>
    <col min="6424" max="6424" width="3.5" style="1" customWidth="1"/>
    <col min="6425" max="6655" width="9" style="1"/>
    <col min="6656" max="6656" width="5" style="1" customWidth="1"/>
    <col min="6657" max="6657" width="20.5" style="1" customWidth="1"/>
    <col min="6658" max="6658" width="2.375" style="1" customWidth="1"/>
    <col min="6659" max="6659" width="3.75" style="1" customWidth="1"/>
    <col min="6660" max="6661" width="5" style="1" customWidth="1"/>
    <col min="6662" max="6663" width="3.75" style="1" customWidth="1"/>
    <col min="6664" max="6665" width="5" style="1" customWidth="1"/>
    <col min="6666" max="6667" width="3.75" style="1" customWidth="1"/>
    <col min="6668" max="6669" width="5" style="1" customWidth="1"/>
    <col min="6670" max="6671" width="3.75" style="1" customWidth="1"/>
    <col min="6672" max="6673" width="5" style="1" customWidth="1"/>
    <col min="6674" max="6675" width="3.75" style="1" customWidth="1"/>
    <col min="6676" max="6677" width="5" style="1" customWidth="1"/>
    <col min="6678" max="6679" width="3.75" style="1" customWidth="1"/>
    <col min="6680" max="6680" width="3.5" style="1" customWidth="1"/>
    <col min="6681" max="6911" width="9" style="1"/>
    <col min="6912" max="6912" width="5" style="1" customWidth="1"/>
    <col min="6913" max="6913" width="20.5" style="1" customWidth="1"/>
    <col min="6914" max="6914" width="2.375" style="1" customWidth="1"/>
    <col min="6915" max="6915" width="3.75" style="1" customWidth="1"/>
    <col min="6916" max="6917" width="5" style="1" customWidth="1"/>
    <col min="6918" max="6919" width="3.75" style="1" customWidth="1"/>
    <col min="6920" max="6921" width="5" style="1" customWidth="1"/>
    <col min="6922" max="6923" width="3.75" style="1" customWidth="1"/>
    <col min="6924" max="6925" width="5" style="1" customWidth="1"/>
    <col min="6926" max="6927" width="3.75" style="1" customWidth="1"/>
    <col min="6928" max="6929" width="5" style="1" customWidth="1"/>
    <col min="6930" max="6931" width="3.75" style="1" customWidth="1"/>
    <col min="6932" max="6933" width="5" style="1" customWidth="1"/>
    <col min="6934" max="6935" width="3.75" style="1" customWidth="1"/>
    <col min="6936" max="6936" width="3.5" style="1" customWidth="1"/>
    <col min="6937" max="7167" width="9" style="1"/>
    <col min="7168" max="7168" width="5" style="1" customWidth="1"/>
    <col min="7169" max="7169" width="20.5" style="1" customWidth="1"/>
    <col min="7170" max="7170" width="2.375" style="1" customWidth="1"/>
    <col min="7171" max="7171" width="3.75" style="1" customWidth="1"/>
    <col min="7172" max="7173" width="5" style="1" customWidth="1"/>
    <col min="7174" max="7175" width="3.75" style="1" customWidth="1"/>
    <col min="7176" max="7177" width="5" style="1" customWidth="1"/>
    <col min="7178" max="7179" width="3.75" style="1" customWidth="1"/>
    <col min="7180" max="7181" width="5" style="1" customWidth="1"/>
    <col min="7182" max="7183" width="3.75" style="1" customWidth="1"/>
    <col min="7184" max="7185" width="5" style="1" customWidth="1"/>
    <col min="7186" max="7187" width="3.75" style="1" customWidth="1"/>
    <col min="7188" max="7189" width="5" style="1" customWidth="1"/>
    <col min="7190" max="7191" width="3.75" style="1" customWidth="1"/>
    <col min="7192" max="7192" width="3.5" style="1" customWidth="1"/>
    <col min="7193" max="7423" width="9" style="1"/>
    <col min="7424" max="7424" width="5" style="1" customWidth="1"/>
    <col min="7425" max="7425" width="20.5" style="1" customWidth="1"/>
    <col min="7426" max="7426" width="2.375" style="1" customWidth="1"/>
    <col min="7427" max="7427" width="3.75" style="1" customWidth="1"/>
    <col min="7428" max="7429" width="5" style="1" customWidth="1"/>
    <col min="7430" max="7431" width="3.75" style="1" customWidth="1"/>
    <col min="7432" max="7433" width="5" style="1" customWidth="1"/>
    <col min="7434" max="7435" width="3.75" style="1" customWidth="1"/>
    <col min="7436" max="7437" width="5" style="1" customWidth="1"/>
    <col min="7438" max="7439" width="3.75" style="1" customWidth="1"/>
    <col min="7440" max="7441" width="5" style="1" customWidth="1"/>
    <col min="7442" max="7443" width="3.75" style="1" customWidth="1"/>
    <col min="7444" max="7445" width="5" style="1" customWidth="1"/>
    <col min="7446" max="7447" width="3.75" style="1" customWidth="1"/>
    <col min="7448" max="7448" width="3.5" style="1" customWidth="1"/>
    <col min="7449" max="7679" width="9" style="1"/>
    <col min="7680" max="7680" width="5" style="1" customWidth="1"/>
    <col min="7681" max="7681" width="20.5" style="1" customWidth="1"/>
    <col min="7682" max="7682" width="2.375" style="1" customWidth="1"/>
    <col min="7683" max="7683" width="3.75" style="1" customWidth="1"/>
    <col min="7684" max="7685" width="5" style="1" customWidth="1"/>
    <col min="7686" max="7687" width="3.75" style="1" customWidth="1"/>
    <col min="7688" max="7689" width="5" style="1" customWidth="1"/>
    <col min="7690" max="7691" width="3.75" style="1" customWidth="1"/>
    <col min="7692" max="7693" width="5" style="1" customWidth="1"/>
    <col min="7694" max="7695" width="3.75" style="1" customWidth="1"/>
    <col min="7696" max="7697" width="5" style="1" customWidth="1"/>
    <col min="7698" max="7699" width="3.75" style="1" customWidth="1"/>
    <col min="7700" max="7701" width="5" style="1" customWidth="1"/>
    <col min="7702" max="7703" width="3.75" style="1" customWidth="1"/>
    <col min="7704" max="7704" width="3.5" style="1" customWidth="1"/>
    <col min="7705" max="7935" width="9" style="1"/>
    <col min="7936" max="7936" width="5" style="1" customWidth="1"/>
    <col min="7937" max="7937" width="20.5" style="1" customWidth="1"/>
    <col min="7938" max="7938" width="2.375" style="1" customWidth="1"/>
    <col min="7939" max="7939" width="3.75" style="1" customWidth="1"/>
    <col min="7940" max="7941" width="5" style="1" customWidth="1"/>
    <col min="7942" max="7943" width="3.75" style="1" customWidth="1"/>
    <col min="7944" max="7945" width="5" style="1" customWidth="1"/>
    <col min="7946" max="7947" width="3.75" style="1" customWidth="1"/>
    <col min="7948" max="7949" width="5" style="1" customWidth="1"/>
    <col min="7950" max="7951" width="3.75" style="1" customWidth="1"/>
    <col min="7952" max="7953" width="5" style="1" customWidth="1"/>
    <col min="7954" max="7955" width="3.75" style="1" customWidth="1"/>
    <col min="7956" max="7957" width="5" style="1" customWidth="1"/>
    <col min="7958" max="7959" width="3.75" style="1" customWidth="1"/>
    <col min="7960" max="7960" width="3.5" style="1" customWidth="1"/>
    <col min="7961" max="8191" width="9" style="1"/>
    <col min="8192" max="8192" width="5" style="1" customWidth="1"/>
    <col min="8193" max="8193" width="20.5" style="1" customWidth="1"/>
    <col min="8194" max="8194" width="2.375" style="1" customWidth="1"/>
    <col min="8195" max="8195" width="3.75" style="1" customWidth="1"/>
    <col min="8196" max="8197" width="5" style="1" customWidth="1"/>
    <col min="8198" max="8199" width="3.75" style="1" customWidth="1"/>
    <col min="8200" max="8201" width="5" style="1" customWidth="1"/>
    <col min="8202" max="8203" width="3.75" style="1" customWidth="1"/>
    <col min="8204" max="8205" width="5" style="1" customWidth="1"/>
    <col min="8206" max="8207" width="3.75" style="1" customWidth="1"/>
    <col min="8208" max="8209" width="5" style="1" customWidth="1"/>
    <col min="8210" max="8211" width="3.75" style="1" customWidth="1"/>
    <col min="8212" max="8213" width="5" style="1" customWidth="1"/>
    <col min="8214" max="8215" width="3.75" style="1" customWidth="1"/>
    <col min="8216" max="8216" width="3.5" style="1" customWidth="1"/>
    <col min="8217" max="8447" width="9" style="1"/>
    <col min="8448" max="8448" width="5" style="1" customWidth="1"/>
    <col min="8449" max="8449" width="20.5" style="1" customWidth="1"/>
    <col min="8450" max="8450" width="2.375" style="1" customWidth="1"/>
    <col min="8451" max="8451" width="3.75" style="1" customWidth="1"/>
    <col min="8452" max="8453" width="5" style="1" customWidth="1"/>
    <col min="8454" max="8455" width="3.75" style="1" customWidth="1"/>
    <col min="8456" max="8457" width="5" style="1" customWidth="1"/>
    <col min="8458" max="8459" width="3.75" style="1" customWidth="1"/>
    <col min="8460" max="8461" width="5" style="1" customWidth="1"/>
    <col min="8462" max="8463" width="3.75" style="1" customWidth="1"/>
    <col min="8464" max="8465" width="5" style="1" customWidth="1"/>
    <col min="8466" max="8467" width="3.75" style="1" customWidth="1"/>
    <col min="8468" max="8469" width="5" style="1" customWidth="1"/>
    <col min="8470" max="8471" width="3.75" style="1" customWidth="1"/>
    <col min="8472" max="8472" width="3.5" style="1" customWidth="1"/>
    <col min="8473" max="8703" width="9" style="1"/>
    <col min="8704" max="8704" width="5" style="1" customWidth="1"/>
    <col min="8705" max="8705" width="20.5" style="1" customWidth="1"/>
    <col min="8706" max="8706" width="2.375" style="1" customWidth="1"/>
    <col min="8707" max="8707" width="3.75" style="1" customWidth="1"/>
    <col min="8708" max="8709" width="5" style="1" customWidth="1"/>
    <col min="8710" max="8711" width="3.75" style="1" customWidth="1"/>
    <col min="8712" max="8713" width="5" style="1" customWidth="1"/>
    <col min="8714" max="8715" width="3.75" style="1" customWidth="1"/>
    <col min="8716" max="8717" width="5" style="1" customWidth="1"/>
    <col min="8718" max="8719" width="3.75" style="1" customWidth="1"/>
    <col min="8720" max="8721" width="5" style="1" customWidth="1"/>
    <col min="8722" max="8723" width="3.75" style="1" customWidth="1"/>
    <col min="8724" max="8725" width="5" style="1" customWidth="1"/>
    <col min="8726" max="8727" width="3.75" style="1" customWidth="1"/>
    <col min="8728" max="8728" width="3.5" style="1" customWidth="1"/>
    <col min="8729" max="8959" width="9" style="1"/>
    <col min="8960" max="8960" width="5" style="1" customWidth="1"/>
    <col min="8961" max="8961" width="20.5" style="1" customWidth="1"/>
    <col min="8962" max="8962" width="2.375" style="1" customWidth="1"/>
    <col min="8963" max="8963" width="3.75" style="1" customWidth="1"/>
    <col min="8964" max="8965" width="5" style="1" customWidth="1"/>
    <col min="8966" max="8967" width="3.75" style="1" customWidth="1"/>
    <col min="8968" max="8969" width="5" style="1" customWidth="1"/>
    <col min="8970" max="8971" width="3.75" style="1" customWidth="1"/>
    <col min="8972" max="8973" width="5" style="1" customWidth="1"/>
    <col min="8974" max="8975" width="3.75" style="1" customWidth="1"/>
    <col min="8976" max="8977" width="5" style="1" customWidth="1"/>
    <col min="8978" max="8979" width="3.75" style="1" customWidth="1"/>
    <col min="8980" max="8981" width="5" style="1" customWidth="1"/>
    <col min="8982" max="8983" width="3.75" style="1" customWidth="1"/>
    <col min="8984" max="8984" width="3.5" style="1" customWidth="1"/>
    <col min="8985" max="9215" width="9" style="1"/>
    <col min="9216" max="9216" width="5" style="1" customWidth="1"/>
    <col min="9217" max="9217" width="20.5" style="1" customWidth="1"/>
    <col min="9218" max="9218" width="2.375" style="1" customWidth="1"/>
    <col min="9219" max="9219" width="3.75" style="1" customWidth="1"/>
    <col min="9220" max="9221" width="5" style="1" customWidth="1"/>
    <col min="9222" max="9223" width="3.75" style="1" customWidth="1"/>
    <col min="9224" max="9225" width="5" style="1" customWidth="1"/>
    <col min="9226" max="9227" width="3.75" style="1" customWidth="1"/>
    <col min="9228" max="9229" width="5" style="1" customWidth="1"/>
    <col min="9230" max="9231" width="3.75" style="1" customWidth="1"/>
    <col min="9232" max="9233" width="5" style="1" customWidth="1"/>
    <col min="9234" max="9235" width="3.75" style="1" customWidth="1"/>
    <col min="9236" max="9237" width="5" style="1" customWidth="1"/>
    <col min="9238" max="9239" width="3.75" style="1" customWidth="1"/>
    <col min="9240" max="9240" width="3.5" style="1" customWidth="1"/>
    <col min="9241" max="9471" width="9" style="1"/>
    <col min="9472" max="9472" width="5" style="1" customWidth="1"/>
    <col min="9473" max="9473" width="20.5" style="1" customWidth="1"/>
    <col min="9474" max="9474" width="2.375" style="1" customWidth="1"/>
    <col min="9475" max="9475" width="3.75" style="1" customWidth="1"/>
    <col min="9476" max="9477" width="5" style="1" customWidth="1"/>
    <col min="9478" max="9479" width="3.75" style="1" customWidth="1"/>
    <col min="9480" max="9481" width="5" style="1" customWidth="1"/>
    <col min="9482" max="9483" width="3.75" style="1" customWidth="1"/>
    <col min="9484" max="9485" width="5" style="1" customWidth="1"/>
    <col min="9486" max="9487" width="3.75" style="1" customWidth="1"/>
    <col min="9488" max="9489" width="5" style="1" customWidth="1"/>
    <col min="9490" max="9491" width="3.75" style="1" customWidth="1"/>
    <col min="9492" max="9493" width="5" style="1" customWidth="1"/>
    <col min="9494" max="9495" width="3.75" style="1" customWidth="1"/>
    <col min="9496" max="9496" width="3.5" style="1" customWidth="1"/>
    <col min="9497" max="9727" width="9" style="1"/>
    <col min="9728" max="9728" width="5" style="1" customWidth="1"/>
    <col min="9729" max="9729" width="20.5" style="1" customWidth="1"/>
    <col min="9730" max="9730" width="2.375" style="1" customWidth="1"/>
    <col min="9731" max="9731" width="3.75" style="1" customWidth="1"/>
    <col min="9732" max="9733" width="5" style="1" customWidth="1"/>
    <col min="9734" max="9735" width="3.75" style="1" customWidth="1"/>
    <col min="9736" max="9737" width="5" style="1" customWidth="1"/>
    <col min="9738" max="9739" width="3.75" style="1" customWidth="1"/>
    <col min="9740" max="9741" width="5" style="1" customWidth="1"/>
    <col min="9742" max="9743" width="3.75" style="1" customWidth="1"/>
    <col min="9744" max="9745" width="5" style="1" customWidth="1"/>
    <col min="9746" max="9747" width="3.75" style="1" customWidth="1"/>
    <col min="9748" max="9749" width="5" style="1" customWidth="1"/>
    <col min="9750" max="9751" width="3.75" style="1" customWidth="1"/>
    <col min="9752" max="9752" width="3.5" style="1" customWidth="1"/>
    <col min="9753" max="9983" width="9" style="1"/>
    <col min="9984" max="9984" width="5" style="1" customWidth="1"/>
    <col min="9985" max="9985" width="20.5" style="1" customWidth="1"/>
    <col min="9986" max="9986" width="2.375" style="1" customWidth="1"/>
    <col min="9987" max="9987" width="3.75" style="1" customWidth="1"/>
    <col min="9988" max="9989" width="5" style="1" customWidth="1"/>
    <col min="9990" max="9991" width="3.75" style="1" customWidth="1"/>
    <col min="9992" max="9993" width="5" style="1" customWidth="1"/>
    <col min="9994" max="9995" width="3.75" style="1" customWidth="1"/>
    <col min="9996" max="9997" width="5" style="1" customWidth="1"/>
    <col min="9998" max="9999" width="3.75" style="1" customWidth="1"/>
    <col min="10000" max="10001" width="5" style="1" customWidth="1"/>
    <col min="10002" max="10003" width="3.75" style="1" customWidth="1"/>
    <col min="10004" max="10005" width="5" style="1" customWidth="1"/>
    <col min="10006" max="10007" width="3.75" style="1" customWidth="1"/>
    <col min="10008" max="10008" width="3.5" style="1" customWidth="1"/>
    <col min="10009" max="10239" width="9" style="1"/>
    <col min="10240" max="10240" width="5" style="1" customWidth="1"/>
    <col min="10241" max="10241" width="20.5" style="1" customWidth="1"/>
    <col min="10242" max="10242" width="2.375" style="1" customWidth="1"/>
    <col min="10243" max="10243" width="3.75" style="1" customWidth="1"/>
    <col min="10244" max="10245" width="5" style="1" customWidth="1"/>
    <col min="10246" max="10247" width="3.75" style="1" customWidth="1"/>
    <col min="10248" max="10249" width="5" style="1" customWidth="1"/>
    <col min="10250" max="10251" width="3.75" style="1" customWidth="1"/>
    <col min="10252" max="10253" width="5" style="1" customWidth="1"/>
    <col min="10254" max="10255" width="3.75" style="1" customWidth="1"/>
    <col min="10256" max="10257" width="5" style="1" customWidth="1"/>
    <col min="10258" max="10259" width="3.75" style="1" customWidth="1"/>
    <col min="10260" max="10261" width="5" style="1" customWidth="1"/>
    <col min="10262" max="10263" width="3.75" style="1" customWidth="1"/>
    <col min="10264" max="10264" width="3.5" style="1" customWidth="1"/>
    <col min="10265" max="10495" width="9" style="1"/>
    <col min="10496" max="10496" width="5" style="1" customWidth="1"/>
    <col min="10497" max="10497" width="20.5" style="1" customWidth="1"/>
    <col min="10498" max="10498" width="2.375" style="1" customWidth="1"/>
    <col min="10499" max="10499" width="3.75" style="1" customWidth="1"/>
    <col min="10500" max="10501" width="5" style="1" customWidth="1"/>
    <col min="10502" max="10503" width="3.75" style="1" customWidth="1"/>
    <col min="10504" max="10505" width="5" style="1" customWidth="1"/>
    <col min="10506" max="10507" width="3.75" style="1" customWidth="1"/>
    <col min="10508" max="10509" width="5" style="1" customWidth="1"/>
    <col min="10510" max="10511" width="3.75" style="1" customWidth="1"/>
    <col min="10512" max="10513" width="5" style="1" customWidth="1"/>
    <col min="10514" max="10515" width="3.75" style="1" customWidth="1"/>
    <col min="10516" max="10517" width="5" style="1" customWidth="1"/>
    <col min="10518" max="10519" width="3.75" style="1" customWidth="1"/>
    <col min="10520" max="10520" width="3.5" style="1" customWidth="1"/>
    <col min="10521" max="10751" width="9" style="1"/>
    <col min="10752" max="10752" width="5" style="1" customWidth="1"/>
    <col min="10753" max="10753" width="20.5" style="1" customWidth="1"/>
    <col min="10754" max="10754" width="2.375" style="1" customWidth="1"/>
    <col min="10755" max="10755" width="3.75" style="1" customWidth="1"/>
    <col min="10756" max="10757" width="5" style="1" customWidth="1"/>
    <col min="10758" max="10759" width="3.75" style="1" customWidth="1"/>
    <col min="10760" max="10761" width="5" style="1" customWidth="1"/>
    <col min="10762" max="10763" width="3.75" style="1" customWidth="1"/>
    <col min="10764" max="10765" width="5" style="1" customWidth="1"/>
    <col min="10766" max="10767" width="3.75" style="1" customWidth="1"/>
    <col min="10768" max="10769" width="5" style="1" customWidth="1"/>
    <col min="10770" max="10771" width="3.75" style="1" customWidth="1"/>
    <col min="10772" max="10773" width="5" style="1" customWidth="1"/>
    <col min="10774" max="10775" width="3.75" style="1" customWidth="1"/>
    <col min="10776" max="10776" width="3.5" style="1" customWidth="1"/>
    <col min="10777" max="11007" width="9" style="1"/>
    <col min="11008" max="11008" width="5" style="1" customWidth="1"/>
    <col min="11009" max="11009" width="20.5" style="1" customWidth="1"/>
    <col min="11010" max="11010" width="2.375" style="1" customWidth="1"/>
    <col min="11011" max="11011" width="3.75" style="1" customWidth="1"/>
    <col min="11012" max="11013" width="5" style="1" customWidth="1"/>
    <col min="11014" max="11015" width="3.75" style="1" customWidth="1"/>
    <col min="11016" max="11017" width="5" style="1" customWidth="1"/>
    <col min="11018" max="11019" width="3.75" style="1" customWidth="1"/>
    <col min="11020" max="11021" width="5" style="1" customWidth="1"/>
    <col min="11022" max="11023" width="3.75" style="1" customWidth="1"/>
    <col min="11024" max="11025" width="5" style="1" customWidth="1"/>
    <col min="11026" max="11027" width="3.75" style="1" customWidth="1"/>
    <col min="11028" max="11029" width="5" style="1" customWidth="1"/>
    <col min="11030" max="11031" width="3.75" style="1" customWidth="1"/>
    <col min="11032" max="11032" width="3.5" style="1" customWidth="1"/>
    <col min="11033" max="11263" width="9" style="1"/>
    <col min="11264" max="11264" width="5" style="1" customWidth="1"/>
    <col min="11265" max="11265" width="20.5" style="1" customWidth="1"/>
    <col min="11266" max="11266" width="2.375" style="1" customWidth="1"/>
    <col min="11267" max="11267" width="3.75" style="1" customWidth="1"/>
    <col min="11268" max="11269" width="5" style="1" customWidth="1"/>
    <col min="11270" max="11271" width="3.75" style="1" customWidth="1"/>
    <col min="11272" max="11273" width="5" style="1" customWidth="1"/>
    <col min="11274" max="11275" width="3.75" style="1" customWidth="1"/>
    <col min="11276" max="11277" width="5" style="1" customWidth="1"/>
    <col min="11278" max="11279" width="3.75" style="1" customWidth="1"/>
    <col min="11280" max="11281" width="5" style="1" customWidth="1"/>
    <col min="11282" max="11283" width="3.75" style="1" customWidth="1"/>
    <col min="11284" max="11285" width="5" style="1" customWidth="1"/>
    <col min="11286" max="11287" width="3.75" style="1" customWidth="1"/>
    <col min="11288" max="11288" width="3.5" style="1" customWidth="1"/>
    <col min="11289" max="11519" width="9" style="1"/>
    <col min="11520" max="11520" width="5" style="1" customWidth="1"/>
    <col min="11521" max="11521" width="20.5" style="1" customWidth="1"/>
    <col min="11522" max="11522" width="2.375" style="1" customWidth="1"/>
    <col min="11523" max="11523" width="3.75" style="1" customWidth="1"/>
    <col min="11524" max="11525" width="5" style="1" customWidth="1"/>
    <col min="11526" max="11527" width="3.75" style="1" customWidth="1"/>
    <col min="11528" max="11529" width="5" style="1" customWidth="1"/>
    <col min="11530" max="11531" width="3.75" style="1" customWidth="1"/>
    <col min="11532" max="11533" width="5" style="1" customWidth="1"/>
    <col min="11534" max="11535" width="3.75" style="1" customWidth="1"/>
    <col min="11536" max="11537" width="5" style="1" customWidth="1"/>
    <col min="11538" max="11539" width="3.75" style="1" customWidth="1"/>
    <col min="11540" max="11541" width="5" style="1" customWidth="1"/>
    <col min="11542" max="11543" width="3.75" style="1" customWidth="1"/>
    <col min="11544" max="11544" width="3.5" style="1" customWidth="1"/>
    <col min="11545" max="11775" width="9" style="1"/>
    <col min="11776" max="11776" width="5" style="1" customWidth="1"/>
    <col min="11777" max="11777" width="20.5" style="1" customWidth="1"/>
    <col min="11778" max="11778" width="2.375" style="1" customWidth="1"/>
    <col min="11779" max="11779" width="3.75" style="1" customWidth="1"/>
    <col min="11780" max="11781" width="5" style="1" customWidth="1"/>
    <col min="11782" max="11783" width="3.75" style="1" customWidth="1"/>
    <col min="11784" max="11785" width="5" style="1" customWidth="1"/>
    <col min="11786" max="11787" width="3.75" style="1" customWidth="1"/>
    <col min="11788" max="11789" width="5" style="1" customWidth="1"/>
    <col min="11790" max="11791" width="3.75" style="1" customWidth="1"/>
    <col min="11792" max="11793" width="5" style="1" customWidth="1"/>
    <col min="11794" max="11795" width="3.75" style="1" customWidth="1"/>
    <col min="11796" max="11797" width="5" style="1" customWidth="1"/>
    <col min="11798" max="11799" width="3.75" style="1" customWidth="1"/>
    <col min="11800" max="11800" width="3.5" style="1" customWidth="1"/>
    <col min="11801" max="12031" width="9" style="1"/>
    <col min="12032" max="12032" width="5" style="1" customWidth="1"/>
    <col min="12033" max="12033" width="20.5" style="1" customWidth="1"/>
    <col min="12034" max="12034" width="2.375" style="1" customWidth="1"/>
    <col min="12035" max="12035" width="3.75" style="1" customWidth="1"/>
    <col min="12036" max="12037" width="5" style="1" customWidth="1"/>
    <col min="12038" max="12039" width="3.75" style="1" customWidth="1"/>
    <col min="12040" max="12041" width="5" style="1" customWidth="1"/>
    <col min="12042" max="12043" width="3.75" style="1" customWidth="1"/>
    <col min="12044" max="12045" width="5" style="1" customWidth="1"/>
    <col min="12046" max="12047" width="3.75" style="1" customWidth="1"/>
    <col min="12048" max="12049" width="5" style="1" customWidth="1"/>
    <col min="12050" max="12051" width="3.75" style="1" customWidth="1"/>
    <col min="12052" max="12053" width="5" style="1" customWidth="1"/>
    <col min="12054" max="12055" width="3.75" style="1" customWidth="1"/>
    <col min="12056" max="12056" width="3.5" style="1" customWidth="1"/>
    <col min="12057" max="12287" width="9" style="1"/>
    <col min="12288" max="12288" width="5" style="1" customWidth="1"/>
    <col min="12289" max="12289" width="20.5" style="1" customWidth="1"/>
    <col min="12290" max="12290" width="2.375" style="1" customWidth="1"/>
    <col min="12291" max="12291" width="3.75" style="1" customWidth="1"/>
    <col min="12292" max="12293" width="5" style="1" customWidth="1"/>
    <col min="12294" max="12295" width="3.75" style="1" customWidth="1"/>
    <col min="12296" max="12297" width="5" style="1" customWidth="1"/>
    <col min="12298" max="12299" width="3.75" style="1" customWidth="1"/>
    <col min="12300" max="12301" width="5" style="1" customWidth="1"/>
    <col min="12302" max="12303" width="3.75" style="1" customWidth="1"/>
    <col min="12304" max="12305" width="5" style="1" customWidth="1"/>
    <col min="12306" max="12307" width="3.75" style="1" customWidth="1"/>
    <col min="12308" max="12309" width="5" style="1" customWidth="1"/>
    <col min="12310" max="12311" width="3.75" style="1" customWidth="1"/>
    <col min="12312" max="12312" width="3.5" style="1" customWidth="1"/>
    <col min="12313" max="12543" width="9" style="1"/>
    <col min="12544" max="12544" width="5" style="1" customWidth="1"/>
    <col min="12545" max="12545" width="20.5" style="1" customWidth="1"/>
    <col min="12546" max="12546" width="2.375" style="1" customWidth="1"/>
    <col min="12547" max="12547" width="3.75" style="1" customWidth="1"/>
    <col min="12548" max="12549" width="5" style="1" customWidth="1"/>
    <col min="12550" max="12551" width="3.75" style="1" customWidth="1"/>
    <col min="12552" max="12553" width="5" style="1" customWidth="1"/>
    <col min="12554" max="12555" width="3.75" style="1" customWidth="1"/>
    <col min="12556" max="12557" width="5" style="1" customWidth="1"/>
    <col min="12558" max="12559" width="3.75" style="1" customWidth="1"/>
    <col min="12560" max="12561" width="5" style="1" customWidth="1"/>
    <col min="12562" max="12563" width="3.75" style="1" customWidth="1"/>
    <col min="12564" max="12565" width="5" style="1" customWidth="1"/>
    <col min="12566" max="12567" width="3.75" style="1" customWidth="1"/>
    <col min="12568" max="12568" width="3.5" style="1" customWidth="1"/>
    <col min="12569" max="12799" width="9" style="1"/>
    <col min="12800" max="12800" width="5" style="1" customWidth="1"/>
    <col min="12801" max="12801" width="20.5" style="1" customWidth="1"/>
    <col min="12802" max="12802" width="2.375" style="1" customWidth="1"/>
    <col min="12803" max="12803" width="3.75" style="1" customWidth="1"/>
    <col min="12804" max="12805" width="5" style="1" customWidth="1"/>
    <col min="12806" max="12807" width="3.75" style="1" customWidth="1"/>
    <col min="12808" max="12809" width="5" style="1" customWidth="1"/>
    <col min="12810" max="12811" width="3.75" style="1" customWidth="1"/>
    <col min="12812" max="12813" width="5" style="1" customWidth="1"/>
    <col min="12814" max="12815" width="3.75" style="1" customWidth="1"/>
    <col min="12816" max="12817" width="5" style="1" customWidth="1"/>
    <col min="12818" max="12819" width="3.75" style="1" customWidth="1"/>
    <col min="12820" max="12821" width="5" style="1" customWidth="1"/>
    <col min="12822" max="12823" width="3.75" style="1" customWidth="1"/>
    <col min="12824" max="12824" width="3.5" style="1" customWidth="1"/>
    <col min="12825" max="13055" width="9" style="1"/>
    <col min="13056" max="13056" width="5" style="1" customWidth="1"/>
    <col min="13057" max="13057" width="20.5" style="1" customWidth="1"/>
    <col min="13058" max="13058" width="2.375" style="1" customWidth="1"/>
    <col min="13059" max="13059" width="3.75" style="1" customWidth="1"/>
    <col min="13060" max="13061" width="5" style="1" customWidth="1"/>
    <col min="13062" max="13063" width="3.75" style="1" customWidth="1"/>
    <col min="13064" max="13065" width="5" style="1" customWidth="1"/>
    <col min="13066" max="13067" width="3.75" style="1" customWidth="1"/>
    <col min="13068" max="13069" width="5" style="1" customWidth="1"/>
    <col min="13070" max="13071" width="3.75" style="1" customWidth="1"/>
    <col min="13072" max="13073" width="5" style="1" customWidth="1"/>
    <col min="13074" max="13075" width="3.75" style="1" customWidth="1"/>
    <col min="13076" max="13077" width="5" style="1" customWidth="1"/>
    <col min="13078" max="13079" width="3.75" style="1" customWidth="1"/>
    <col min="13080" max="13080" width="3.5" style="1" customWidth="1"/>
    <col min="13081" max="13311" width="9" style="1"/>
    <col min="13312" max="13312" width="5" style="1" customWidth="1"/>
    <col min="13313" max="13313" width="20.5" style="1" customWidth="1"/>
    <col min="13314" max="13314" width="2.375" style="1" customWidth="1"/>
    <col min="13315" max="13315" width="3.75" style="1" customWidth="1"/>
    <col min="13316" max="13317" width="5" style="1" customWidth="1"/>
    <col min="13318" max="13319" width="3.75" style="1" customWidth="1"/>
    <col min="13320" max="13321" width="5" style="1" customWidth="1"/>
    <col min="13322" max="13323" width="3.75" style="1" customWidth="1"/>
    <col min="13324" max="13325" width="5" style="1" customWidth="1"/>
    <col min="13326" max="13327" width="3.75" style="1" customWidth="1"/>
    <col min="13328" max="13329" width="5" style="1" customWidth="1"/>
    <col min="13330" max="13331" width="3.75" style="1" customWidth="1"/>
    <col min="13332" max="13333" width="5" style="1" customWidth="1"/>
    <col min="13334" max="13335" width="3.75" style="1" customWidth="1"/>
    <col min="13336" max="13336" width="3.5" style="1" customWidth="1"/>
    <col min="13337" max="13567" width="9" style="1"/>
    <col min="13568" max="13568" width="5" style="1" customWidth="1"/>
    <col min="13569" max="13569" width="20.5" style="1" customWidth="1"/>
    <col min="13570" max="13570" width="2.375" style="1" customWidth="1"/>
    <col min="13571" max="13571" width="3.75" style="1" customWidth="1"/>
    <col min="13572" max="13573" width="5" style="1" customWidth="1"/>
    <col min="13574" max="13575" width="3.75" style="1" customWidth="1"/>
    <col min="13576" max="13577" width="5" style="1" customWidth="1"/>
    <col min="13578" max="13579" width="3.75" style="1" customWidth="1"/>
    <col min="13580" max="13581" width="5" style="1" customWidth="1"/>
    <col min="13582" max="13583" width="3.75" style="1" customWidth="1"/>
    <col min="13584" max="13585" width="5" style="1" customWidth="1"/>
    <col min="13586" max="13587" width="3.75" style="1" customWidth="1"/>
    <col min="13588" max="13589" width="5" style="1" customWidth="1"/>
    <col min="13590" max="13591" width="3.75" style="1" customWidth="1"/>
    <col min="13592" max="13592" width="3.5" style="1" customWidth="1"/>
    <col min="13593" max="13823" width="9" style="1"/>
    <col min="13824" max="13824" width="5" style="1" customWidth="1"/>
    <col min="13825" max="13825" width="20.5" style="1" customWidth="1"/>
    <col min="13826" max="13826" width="2.375" style="1" customWidth="1"/>
    <col min="13827" max="13827" width="3.75" style="1" customWidth="1"/>
    <col min="13828" max="13829" width="5" style="1" customWidth="1"/>
    <col min="13830" max="13831" width="3.75" style="1" customWidth="1"/>
    <col min="13832" max="13833" width="5" style="1" customWidth="1"/>
    <col min="13834" max="13835" width="3.75" style="1" customWidth="1"/>
    <col min="13836" max="13837" width="5" style="1" customWidth="1"/>
    <col min="13838" max="13839" width="3.75" style="1" customWidth="1"/>
    <col min="13840" max="13841" width="5" style="1" customWidth="1"/>
    <col min="13842" max="13843" width="3.75" style="1" customWidth="1"/>
    <col min="13844" max="13845" width="5" style="1" customWidth="1"/>
    <col min="13846" max="13847" width="3.75" style="1" customWidth="1"/>
    <col min="13848" max="13848" width="3.5" style="1" customWidth="1"/>
    <col min="13849" max="14079" width="9" style="1"/>
    <col min="14080" max="14080" width="5" style="1" customWidth="1"/>
    <col min="14081" max="14081" width="20.5" style="1" customWidth="1"/>
    <col min="14082" max="14082" width="2.375" style="1" customWidth="1"/>
    <col min="14083" max="14083" width="3.75" style="1" customWidth="1"/>
    <col min="14084" max="14085" width="5" style="1" customWidth="1"/>
    <col min="14086" max="14087" width="3.75" style="1" customWidth="1"/>
    <col min="14088" max="14089" width="5" style="1" customWidth="1"/>
    <col min="14090" max="14091" width="3.75" style="1" customWidth="1"/>
    <col min="14092" max="14093" width="5" style="1" customWidth="1"/>
    <col min="14094" max="14095" width="3.75" style="1" customWidth="1"/>
    <col min="14096" max="14097" width="5" style="1" customWidth="1"/>
    <col min="14098" max="14099" width="3.75" style="1" customWidth="1"/>
    <col min="14100" max="14101" width="5" style="1" customWidth="1"/>
    <col min="14102" max="14103" width="3.75" style="1" customWidth="1"/>
    <col min="14104" max="14104" width="3.5" style="1" customWidth="1"/>
    <col min="14105" max="14335" width="9" style="1"/>
    <col min="14336" max="14336" width="5" style="1" customWidth="1"/>
    <col min="14337" max="14337" width="20.5" style="1" customWidth="1"/>
    <col min="14338" max="14338" width="2.375" style="1" customWidth="1"/>
    <col min="14339" max="14339" width="3.75" style="1" customWidth="1"/>
    <col min="14340" max="14341" width="5" style="1" customWidth="1"/>
    <col min="14342" max="14343" width="3.75" style="1" customWidth="1"/>
    <col min="14344" max="14345" width="5" style="1" customWidth="1"/>
    <col min="14346" max="14347" width="3.75" style="1" customWidth="1"/>
    <col min="14348" max="14349" width="5" style="1" customWidth="1"/>
    <col min="14350" max="14351" width="3.75" style="1" customWidth="1"/>
    <col min="14352" max="14353" width="5" style="1" customWidth="1"/>
    <col min="14354" max="14355" width="3.75" style="1" customWidth="1"/>
    <col min="14356" max="14357" width="5" style="1" customWidth="1"/>
    <col min="14358" max="14359" width="3.75" style="1" customWidth="1"/>
    <col min="14360" max="14360" width="3.5" style="1" customWidth="1"/>
    <col min="14361" max="14591" width="9" style="1"/>
    <col min="14592" max="14592" width="5" style="1" customWidth="1"/>
    <col min="14593" max="14593" width="20.5" style="1" customWidth="1"/>
    <col min="14594" max="14594" width="2.375" style="1" customWidth="1"/>
    <col min="14595" max="14595" width="3.75" style="1" customWidth="1"/>
    <col min="14596" max="14597" width="5" style="1" customWidth="1"/>
    <col min="14598" max="14599" width="3.75" style="1" customWidth="1"/>
    <col min="14600" max="14601" width="5" style="1" customWidth="1"/>
    <col min="14602" max="14603" width="3.75" style="1" customWidth="1"/>
    <col min="14604" max="14605" width="5" style="1" customWidth="1"/>
    <col min="14606" max="14607" width="3.75" style="1" customWidth="1"/>
    <col min="14608" max="14609" width="5" style="1" customWidth="1"/>
    <col min="14610" max="14611" width="3.75" style="1" customWidth="1"/>
    <col min="14612" max="14613" width="5" style="1" customWidth="1"/>
    <col min="14614" max="14615" width="3.75" style="1" customWidth="1"/>
    <col min="14616" max="14616" width="3.5" style="1" customWidth="1"/>
    <col min="14617" max="14847" width="9" style="1"/>
    <col min="14848" max="14848" width="5" style="1" customWidth="1"/>
    <col min="14849" max="14849" width="20.5" style="1" customWidth="1"/>
    <col min="14850" max="14850" width="2.375" style="1" customWidth="1"/>
    <col min="14851" max="14851" width="3.75" style="1" customWidth="1"/>
    <col min="14852" max="14853" width="5" style="1" customWidth="1"/>
    <col min="14854" max="14855" width="3.75" style="1" customWidth="1"/>
    <col min="14856" max="14857" width="5" style="1" customWidth="1"/>
    <col min="14858" max="14859" width="3.75" style="1" customWidth="1"/>
    <col min="14860" max="14861" width="5" style="1" customWidth="1"/>
    <col min="14862" max="14863" width="3.75" style="1" customWidth="1"/>
    <col min="14864" max="14865" width="5" style="1" customWidth="1"/>
    <col min="14866" max="14867" width="3.75" style="1" customWidth="1"/>
    <col min="14868" max="14869" width="5" style="1" customWidth="1"/>
    <col min="14870" max="14871" width="3.75" style="1" customWidth="1"/>
    <col min="14872" max="14872" width="3.5" style="1" customWidth="1"/>
    <col min="14873" max="15103" width="9" style="1"/>
    <col min="15104" max="15104" width="5" style="1" customWidth="1"/>
    <col min="15105" max="15105" width="20.5" style="1" customWidth="1"/>
    <col min="15106" max="15106" width="2.375" style="1" customWidth="1"/>
    <col min="15107" max="15107" width="3.75" style="1" customWidth="1"/>
    <col min="15108" max="15109" width="5" style="1" customWidth="1"/>
    <col min="15110" max="15111" width="3.75" style="1" customWidth="1"/>
    <col min="15112" max="15113" width="5" style="1" customWidth="1"/>
    <col min="15114" max="15115" width="3.75" style="1" customWidth="1"/>
    <col min="15116" max="15117" width="5" style="1" customWidth="1"/>
    <col min="15118" max="15119" width="3.75" style="1" customWidth="1"/>
    <col min="15120" max="15121" width="5" style="1" customWidth="1"/>
    <col min="15122" max="15123" width="3.75" style="1" customWidth="1"/>
    <col min="15124" max="15125" width="5" style="1" customWidth="1"/>
    <col min="15126" max="15127" width="3.75" style="1" customWidth="1"/>
    <col min="15128" max="15128" width="3.5" style="1" customWidth="1"/>
    <col min="15129" max="15359" width="9" style="1"/>
    <col min="15360" max="15360" width="5" style="1" customWidth="1"/>
    <col min="15361" max="15361" width="20.5" style="1" customWidth="1"/>
    <col min="15362" max="15362" width="2.375" style="1" customWidth="1"/>
    <col min="15363" max="15363" width="3.75" style="1" customWidth="1"/>
    <col min="15364" max="15365" width="5" style="1" customWidth="1"/>
    <col min="15366" max="15367" width="3.75" style="1" customWidth="1"/>
    <col min="15368" max="15369" width="5" style="1" customWidth="1"/>
    <col min="15370" max="15371" width="3.75" style="1" customWidth="1"/>
    <col min="15372" max="15373" width="5" style="1" customWidth="1"/>
    <col min="15374" max="15375" width="3.75" style="1" customWidth="1"/>
    <col min="15376" max="15377" width="5" style="1" customWidth="1"/>
    <col min="15378" max="15379" width="3.75" style="1" customWidth="1"/>
    <col min="15380" max="15381" width="5" style="1" customWidth="1"/>
    <col min="15382" max="15383" width="3.75" style="1" customWidth="1"/>
    <col min="15384" max="15384" width="3.5" style="1" customWidth="1"/>
    <col min="15385" max="15615" width="9" style="1"/>
    <col min="15616" max="15616" width="5" style="1" customWidth="1"/>
    <col min="15617" max="15617" width="20.5" style="1" customWidth="1"/>
    <col min="15618" max="15618" width="2.375" style="1" customWidth="1"/>
    <col min="15619" max="15619" width="3.75" style="1" customWidth="1"/>
    <col min="15620" max="15621" width="5" style="1" customWidth="1"/>
    <col min="15622" max="15623" width="3.75" style="1" customWidth="1"/>
    <col min="15624" max="15625" width="5" style="1" customWidth="1"/>
    <col min="15626" max="15627" width="3.75" style="1" customWidth="1"/>
    <col min="15628" max="15629" width="5" style="1" customWidth="1"/>
    <col min="15630" max="15631" width="3.75" style="1" customWidth="1"/>
    <col min="15632" max="15633" width="5" style="1" customWidth="1"/>
    <col min="15634" max="15635" width="3.75" style="1" customWidth="1"/>
    <col min="15636" max="15637" width="5" style="1" customWidth="1"/>
    <col min="15638" max="15639" width="3.75" style="1" customWidth="1"/>
    <col min="15640" max="15640" width="3.5" style="1" customWidth="1"/>
    <col min="15641" max="15871" width="9" style="1"/>
    <col min="15872" max="15872" width="5" style="1" customWidth="1"/>
    <col min="15873" max="15873" width="20.5" style="1" customWidth="1"/>
    <col min="15874" max="15874" width="2.375" style="1" customWidth="1"/>
    <col min="15875" max="15875" width="3.75" style="1" customWidth="1"/>
    <col min="15876" max="15877" width="5" style="1" customWidth="1"/>
    <col min="15878" max="15879" width="3.75" style="1" customWidth="1"/>
    <col min="15880" max="15881" width="5" style="1" customWidth="1"/>
    <col min="15882" max="15883" width="3.75" style="1" customWidth="1"/>
    <col min="15884" max="15885" width="5" style="1" customWidth="1"/>
    <col min="15886" max="15887" width="3.75" style="1" customWidth="1"/>
    <col min="15888" max="15889" width="5" style="1" customWidth="1"/>
    <col min="15890" max="15891" width="3.75" style="1" customWidth="1"/>
    <col min="15892" max="15893" width="5" style="1" customWidth="1"/>
    <col min="15894" max="15895" width="3.75" style="1" customWidth="1"/>
    <col min="15896" max="15896" width="3.5" style="1" customWidth="1"/>
    <col min="15897" max="16127" width="9" style="1"/>
    <col min="16128" max="16128" width="5" style="1" customWidth="1"/>
    <col min="16129" max="16129" width="20.5" style="1" customWidth="1"/>
    <col min="16130" max="16130" width="2.375" style="1" customWidth="1"/>
    <col min="16131" max="16131" width="3.75" style="1" customWidth="1"/>
    <col min="16132" max="16133" width="5" style="1" customWidth="1"/>
    <col min="16134" max="16135" width="3.75" style="1" customWidth="1"/>
    <col min="16136" max="16137" width="5" style="1" customWidth="1"/>
    <col min="16138" max="16139" width="3.75" style="1" customWidth="1"/>
    <col min="16140" max="16141" width="5" style="1" customWidth="1"/>
    <col min="16142" max="16143" width="3.75" style="1" customWidth="1"/>
    <col min="16144" max="16145" width="5" style="1" customWidth="1"/>
    <col min="16146" max="16147" width="3.75" style="1" customWidth="1"/>
    <col min="16148" max="16149" width="5" style="1" customWidth="1"/>
    <col min="16150" max="16151" width="3.75" style="1" customWidth="1"/>
    <col min="16152" max="16152" width="3.5" style="1" customWidth="1"/>
    <col min="16153" max="16383" width="9" style="1"/>
    <col min="16384" max="16384" width="9" style="1" customWidth="1"/>
  </cols>
  <sheetData>
    <row r="1" spans="1:29" x14ac:dyDescent="0.2">
      <c r="A1" s="2" t="s">
        <v>0</v>
      </c>
      <c r="K1" s="127" t="s">
        <v>23</v>
      </c>
      <c r="L1" s="127"/>
      <c r="M1" s="127"/>
    </row>
    <row r="2" spans="1:29" x14ac:dyDescent="0.2">
      <c r="A2" s="2" t="s">
        <v>18</v>
      </c>
      <c r="K2" s="127"/>
      <c r="L2" s="127"/>
      <c r="M2" s="127"/>
      <c r="U2" s="128" t="str">
        <f ca="1">Y2</f>
        <v>PE7</v>
      </c>
      <c r="V2" s="128"/>
      <c r="W2" s="128"/>
      <c r="Y2" s="5" t="str">
        <f ca="1">MID(CELL("filename",A1),FIND("]",CELL("filename",A1))+1,256)</f>
        <v>PE7</v>
      </c>
    </row>
    <row r="3" spans="1:29" x14ac:dyDescent="0.2">
      <c r="A3" s="2" t="s">
        <v>1</v>
      </c>
      <c r="U3" s="128"/>
      <c r="V3" s="128"/>
      <c r="W3" s="128"/>
    </row>
    <row r="4" spans="1:29" x14ac:dyDescent="0.2">
      <c r="A4" s="8" t="s">
        <v>19</v>
      </c>
      <c r="I4" s="127" t="s">
        <v>3</v>
      </c>
      <c r="J4" s="127"/>
      <c r="K4" s="127"/>
      <c r="L4" s="127"/>
      <c r="M4" s="127"/>
      <c r="N4" s="127"/>
      <c r="O4" s="127"/>
      <c r="U4" s="128"/>
      <c r="V4" s="128"/>
      <c r="W4" s="128"/>
    </row>
    <row r="5" spans="1:29" x14ac:dyDescent="0.2">
      <c r="A5" s="9" t="s">
        <v>21</v>
      </c>
      <c r="B5" s="2" t="s">
        <v>27</v>
      </c>
      <c r="I5" s="127"/>
      <c r="J5" s="127"/>
      <c r="K5" s="127"/>
      <c r="L5" s="127"/>
      <c r="M5" s="127"/>
      <c r="N5" s="127"/>
      <c r="O5" s="127"/>
    </row>
    <row r="6" spans="1:29" ht="13.5" thickBot="1" x14ac:dyDescent="0.25"/>
    <row r="7" spans="1:29" ht="15.95" customHeight="1" thickTop="1" thickBot="1" x14ac:dyDescent="0.25">
      <c r="A7" s="150" t="s">
        <v>4</v>
      </c>
      <c r="B7" s="130"/>
      <c r="C7" s="130"/>
      <c r="D7" s="131" t="s">
        <v>311</v>
      </c>
      <c r="E7" s="132"/>
      <c r="F7" s="133"/>
      <c r="G7" s="134"/>
      <c r="H7" s="131" t="s">
        <v>312</v>
      </c>
      <c r="I7" s="132"/>
      <c r="J7" s="133"/>
      <c r="K7" s="134"/>
      <c r="L7" s="131" t="s">
        <v>318</v>
      </c>
      <c r="M7" s="132"/>
      <c r="N7" s="133"/>
      <c r="O7" s="134"/>
      <c r="P7" s="131" t="s">
        <v>315</v>
      </c>
      <c r="Q7" s="132"/>
      <c r="R7" s="133"/>
      <c r="S7" s="134"/>
      <c r="T7" s="131"/>
      <c r="U7" s="132"/>
      <c r="V7" s="133"/>
      <c r="W7" s="134"/>
      <c r="X7" s="131"/>
      <c r="Y7" s="132"/>
      <c r="Z7" s="133"/>
      <c r="AA7" s="134"/>
    </row>
    <row r="8" spans="1:29" ht="15" customHeight="1" thickTop="1" x14ac:dyDescent="0.2">
      <c r="A8" s="147" t="s">
        <v>5</v>
      </c>
      <c r="B8" s="136" t="s">
        <v>6</v>
      </c>
      <c r="C8" s="142" t="s">
        <v>25</v>
      </c>
      <c r="D8" s="138" t="s">
        <v>7</v>
      </c>
      <c r="E8" s="139"/>
      <c r="F8" s="140"/>
      <c r="G8" s="141"/>
      <c r="H8" s="144" t="s">
        <v>8</v>
      </c>
      <c r="I8" s="145"/>
      <c r="J8" s="145"/>
      <c r="K8" s="146"/>
      <c r="L8" s="144" t="s">
        <v>9</v>
      </c>
      <c r="M8" s="145"/>
      <c r="N8" s="145"/>
      <c r="O8" s="146"/>
      <c r="P8" s="138" t="s">
        <v>10</v>
      </c>
      <c r="Q8" s="139"/>
      <c r="R8" s="140"/>
      <c r="S8" s="141"/>
      <c r="T8" s="138" t="s">
        <v>11</v>
      </c>
      <c r="U8" s="139"/>
      <c r="V8" s="140"/>
      <c r="W8" s="141"/>
      <c r="X8" s="138" t="s">
        <v>24</v>
      </c>
      <c r="Y8" s="139"/>
      <c r="Z8" s="140"/>
      <c r="AA8" s="141"/>
    </row>
    <row r="9" spans="1:29" s="3" customFormat="1" ht="67.5" customHeight="1" thickBot="1" x14ac:dyDescent="0.3">
      <c r="A9" s="148"/>
      <c r="B9" s="137"/>
      <c r="C9" s="149"/>
      <c r="D9" s="10" t="s">
        <v>12</v>
      </c>
      <c r="E9" s="11" t="s">
        <v>13</v>
      </c>
      <c r="F9" s="12" t="s">
        <v>14</v>
      </c>
      <c r="G9" s="13" t="s">
        <v>15</v>
      </c>
      <c r="H9" s="10" t="s">
        <v>12</v>
      </c>
      <c r="I9" s="11" t="s">
        <v>13</v>
      </c>
      <c r="J9" s="12" t="s">
        <v>14</v>
      </c>
      <c r="K9" s="13" t="s">
        <v>15</v>
      </c>
      <c r="L9" s="10" t="s">
        <v>12</v>
      </c>
      <c r="M9" s="11" t="s">
        <v>13</v>
      </c>
      <c r="N9" s="12" t="s">
        <v>14</v>
      </c>
      <c r="O9" s="13" t="s">
        <v>15</v>
      </c>
      <c r="P9" s="10" t="s">
        <v>12</v>
      </c>
      <c r="Q9" s="11" t="s">
        <v>13</v>
      </c>
      <c r="R9" s="12" t="s">
        <v>14</v>
      </c>
      <c r="S9" s="13" t="s">
        <v>15</v>
      </c>
      <c r="T9" s="10" t="s">
        <v>12</v>
      </c>
      <c r="U9" s="11" t="s">
        <v>13</v>
      </c>
      <c r="V9" s="12" t="s">
        <v>14</v>
      </c>
      <c r="W9" s="13" t="s">
        <v>15</v>
      </c>
      <c r="X9" s="10" t="s">
        <v>12</v>
      </c>
      <c r="Y9" s="11" t="s">
        <v>13</v>
      </c>
      <c r="Z9" s="12" t="s">
        <v>14</v>
      </c>
      <c r="AA9" s="13" t="s">
        <v>15</v>
      </c>
      <c r="AC9" s="152" t="s">
        <v>319</v>
      </c>
    </row>
    <row r="10" spans="1:29" ht="18" customHeight="1" thickTop="1" x14ac:dyDescent="0.25">
      <c r="A10" s="53" t="s">
        <v>198</v>
      </c>
      <c r="B10" s="53" t="s">
        <v>259</v>
      </c>
      <c r="C10" s="50"/>
      <c r="D10" s="49"/>
      <c r="E10" s="50">
        <v>1</v>
      </c>
      <c r="F10" s="52"/>
      <c r="G10" s="51"/>
      <c r="H10" s="49" t="s">
        <v>242</v>
      </c>
      <c r="I10" s="50">
        <v>1</v>
      </c>
      <c r="J10" s="52"/>
      <c r="K10" s="51"/>
      <c r="L10" s="49"/>
      <c r="M10" s="123">
        <v>1.5</v>
      </c>
      <c r="N10" s="52"/>
      <c r="O10" s="51"/>
      <c r="P10" s="49" t="s">
        <v>242</v>
      </c>
      <c r="Q10" s="50">
        <v>1</v>
      </c>
      <c r="R10" s="52"/>
      <c r="S10" s="51"/>
      <c r="T10" s="49" t="s">
        <v>242</v>
      </c>
      <c r="U10" s="50">
        <v>5.5</v>
      </c>
      <c r="V10" s="52"/>
      <c r="W10" s="51"/>
      <c r="X10" s="49" t="s">
        <v>242</v>
      </c>
      <c r="Y10" s="50">
        <v>5</v>
      </c>
      <c r="Z10" s="52"/>
      <c r="AA10" s="51"/>
      <c r="AC10" s="153">
        <f>(E10+I10+M10+Q10+U10+Y10)/2</f>
        <v>7.5</v>
      </c>
    </row>
    <row r="11" spans="1:29" s="3" customFormat="1" ht="18" customHeight="1" x14ac:dyDescent="0.25">
      <c r="A11" s="53" t="s">
        <v>199</v>
      </c>
      <c r="B11" s="53" t="s">
        <v>260</v>
      </c>
      <c r="C11" s="30"/>
      <c r="D11" s="29"/>
      <c r="E11" s="30">
        <v>1</v>
      </c>
      <c r="F11" s="32"/>
      <c r="G11" s="33"/>
      <c r="H11" s="29" t="s">
        <v>242</v>
      </c>
      <c r="I11" s="30">
        <v>1</v>
      </c>
      <c r="J11" s="32"/>
      <c r="K11" s="33"/>
      <c r="L11" s="29"/>
      <c r="M11" s="30">
        <v>1.5</v>
      </c>
      <c r="N11" s="32"/>
      <c r="O11" s="33"/>
      <c r="P11" s="29" t="s">
        <v>242</v>
      </c>
      <c r="Q11" s="30">
        <v>1.5</v>
      </c>
      <c r="R11" s="32"/>
      <c r="S11" s="33"/>
      <c r="T11" s="29" t="s">
        <v>242</v>
      </c>
      <c r="U11" s="30">
        <v>5.5</v>
      </c>
      <c r="V11" s="32"/>
      <c r="W11" s="33"/>
      <c r="X11" s="29" t="s">
        <v>242</v>
      </c>
      <c r="Y11" s="30">
        <v>5</v>
      </c>
      <c r="Z11" s="32"/>
      <c r="AA11" s="33"/>
      <c r="AC11" s="153">
        <f t="shared" ref="AC11:AC24" si="0">(E11+I11+M11+Q11+U11+Y11)/2</f>
        <v>7.75</v>
      </c>
    </row>
    <row r="12" spans="1:29" ht="18" customHeight="1" x14ac:dyDescent="0.25">
      <c r="A12" s="53" t="s">
        <v>200</v>
      </c>
      <c r="B12" s="53" t="s">
        <v>261</v>
      </c>
      <c r="C12" s="30"/>
      <c r="D12" s="29"/>
      <c r="E12" s="30">
        <v>1.5</v>
      </c>
      <c r="F12" s="32"/>
      <c r="G12" s="33"/>
      <c r="H12" s="29" t="s">
        <v>242</v>
      </c>
      <c r="I12" s="30">
        <v>1</v>
      </c>
      <c r="J12" s="32"/>
      <c r="K12" s="33"/>
      <c r="L12" s="29"/>
      <c r="M12" s="30">
        <v>1.5</v>
      </c>
      <c r="N12" s="32"/>
      <c r="O12" s="33"/>
      <c r="P12" s="29" t="s">
        <v>242</v>
      </c>
      <c r="Q12" s="30">
        <v>1</v>
      </c>
      <c r="R12" s="32"/>
      <c r="S12" s="33"/>
      <c r="T12" s="29" t="s">
        <v>242</v>
      </c>
      <c r="U12" s="30">
        <v>5.5</v>
      </c>
      <c r="V12" s="32"/>
      <c r="W12" s="33"/>
      <c r="X12" s="29" t="s">
        <v>242</v>
      </c>
      <c r="Y12" s="30">
        <v>5</v>
      </c>
      <c r="Z12" s="32"/>
      <c r="AA12" s="33"/>
      <c r="AC12" s="153">
        <f t="shared" si="0"/>
        <v>7.75</v>
      </c>
    </row>
    <row r="13" spans="1:29" ht="18" customHeight="1" x14ac:dyDescent="0.25">
      <c r="A13" s="53" t="s">
        <v>201</v>
      </c>
      <c r="B13" s="47" t="s">
        <v>262</v>
      </c>
      <c r="C13" s="30"/>
      <c r="D13" s="29"/>
      <c r="E13" s="30">
        <v>1.5</v>
      </c>
      <c r="F13" s="32"/>
      <c r="G13" s="33"/>
      <c r="H13" s="29" t="s">
        <v>242</v>
      </c>
      <c r="I13" s="30">
        <v>1.5</v>
      </c>
      <c r="J13" s="32"/>
      <c r="K13" s="33"/>
      <c r="L13" s="29"/>
      <c r="M13" s="30">
        <v>1.5</v>
      </c>
      <c r="N13" s="32"/>
      <c r="O13" s="33"/>
      <c r="P13" s="29" t="s">
        <v>242</v>
      </c>
      <c r="Q13" s="30">
        <v>1.5</v>
      </c>
      <c r="R13" s="32"/>
      <c r="S13" s="33"/>
      <c r="T13" s="29" t="s">
        <v>242</v>
      </c>
      <c r="U13" s="30">
        <v>6</v>
      </c>
      <c r="V13" s="32"/>
      <c r="W13" s="33"/>
      <c r="X13" s="29" t="s">
        <v>242</v>
      </c>
      <c r="Y13" s="30">
        <v>5.5</v>
      </c>
      <c r="Z13" s="32"/>
      <c r="AA13" s="33"/>
      <c r="AC13" s="153">
        <f t="shared" si="0"/>
        <v>8.75</v>
      </c>
    </row>
    <row r="14" spans="1:29" ht="18" customHeight="1" x14ac:dyDescent="0.25">
      <c r="A14" s="53" t="s">
        <v>202</v>
      </c>
      <c r="B14" s="54" t="s">
        <v>263</v>
      </c>
      <c r="C14" s="30"/>
      <c r="D14" s="29"/>
      <c r="E14" s="30">
        <v>1.5</v>
      </c>
      <c r="F14" s="32"/>
      <c r="G14" s="33"/>
      <c r="H14" s="29" t="s">
        <v>242</v>
      </c>
      <c r="I14" s="30">
        <v>1</v>
      </c>
      <c r="J14" s="32"/>
      <c r="K14" s="33"/>
      <c r="L14" s="29"/>
      <c r="M14" s="30">
        <v>1.5</v>
      </c>
      <c r="N14" s="32"/>
      <c r="O14" s="33"/>
      <c r="P14" s="29" t="s">
        <v>242</v>
      </c>
      <c r="Q14" s="30">
        <v>1.2</v>
      </c>
      <c r="R14" s="32"/>
      <c r="S14" s="33"/>
      <c r="T14" s="29" t="s">
        <v>242</v>
      </c>
      <c r="U14" s="30">
        <v>5</v>
      </c>
      <c r="V14" s="32"/>
      <c r="W14" s="33"/>
      <c r="X14" s="29" t="s">
        <v>242</v>
      </c>
      <c r="Y14" s="30">
        <v>5</v>
      </c>
      <c r="Z14" s="32"/>
      <c r="AA14" s="33"/>
      <c r="AC14" s="153">
        <f t="shared" si="0"/>
        <v>7.6</v>
      </c>
    </row>
    <row r="15" spans="1:29" ht="18" customHeight="1" x14ac:dyDescent="0.25">
      <c r="A15" s="53" t="s">
        <v>203</v>
      </c>
      <c r="B15" s="54" t="s">
        <v>264</v>
      </c>
      <c r="C15" s="30"/>
      <c r="D15" s="29"/>
      <c r="E15" s="30">
        <v>1</v>
      </c>
      <c r="F15" s="32"/>
      <c r="G15" s="33"/>
      <c r="H15" s="29" t="s">
        <v>242</v>
      </c>
      <c r="I15" s="30">
        <v>1</v>
      </c>
      <c r="J15" s="32"/>
      <c r="K15" s="33"/>
      <c r="L15" s="29"/>
      <c r="M15" s="30">
        <v>1.5</v>
      </c>
      <c r="N15" s="32"/>
      <c r="O15" s="33"/>
      <c r="P15" s="29" t="s">
        <v>242</v>
      </c>
      <c r="Q15" s="30">
        <v>1.5</v>
      </c>
      <c r="R15" s="32"/>
      <c r="S15" s="33"/>
      <c r="T15" s="29" t="s">
        <v>242</v>
      </c>
      <c r="U15" s="30">
        <v>5</v>
      </c>
      <c r="V15" s="32"/>
      <c r="W15" s="33"/>
      <c r="X15" s="29" t="s">
        <v>242</v>
      </c>
      <c r="Y15" s="30">
        <v>5</v>
      </c>
      <c r="Z15" s="32"/>
      <c r="AA15" s="33"/>
      <c r="AC15" s="153">
        <f t="shared" si="0"/>
        <v>7.5</v>
      </c>
    </row>
    <row r="16" spans="1:29" ht="18" customHeight="1" x14ac:dyDescent="0.25">
      <c r="A16" s="53" t="s">
        <v>204</v>
      </c>
      <c r="B16" s="54" t="s">
        <v>265</v>
      </c>
      <c r="C16" s="30"/>
      <c r="D16" s="29"/>
      <c r="E16" s="30">
        <v>1</v>
      </c>
      <c r="F16" s="32"/>
      <c r="G16" s="33"/>
      <c r="H16" s="29" t="s">
        <v>242</v>
      </c>
      <c r="I16" s="30">
        <v>0.8</v>
      </c>
      <c r="J16" s="32"/>
      <c r="K16" s="33"/>
      <c r="L16" s="29"/>
      <c r="M16" s="30">
        <v>1.5</v>
      </c>
      <c r="N16" s="32"/>
      <c r="O16" s="33"/>
      <c r="P16" s="29" t="s">
        <v>242</v>
      </c>
      <c r="Q16" s="30">
        <v>1</v>
      </c>
      <c r="R16" s="32"/>
      <c r="S16" s="33"/>
      <c r="T16" s="29" t="s">
        <v>242</v>
      </c>
      <c r="U16" s="30">
        <v>5</v>
      </c>
      <c r="V16" s="32"/>
      <c r="W16" s="33"/>
      <c r="X16" s="29" t="s">
        <v>242</v>
      </c>
      <c r="Y16" s="30">
        <v>5</v>
      </c>
      <c r="Z16" s="32"/>
      <c r="AA16" s="33"/>
      <c r="AC16" s="153">
        <f t="shared" si="0"/>
        <v>7.15</v>
      </c>
    </row>
    <row r="17" spans="1:29" ht="18" customHeight="1" x14ac:dyDescent="0.25">
      <c r="A17" s="53" t="s">
        <v>205</v>
      </c>
      <c r="B17" s="54" t="s">
        <v>266</v>
      </c>
      <c r="C17" s="30"/>
      <c r="D17" s="29"/>
      <c r="E17" s="30">
        <v>1.5</v>
      </c>
      <c r="F17" s="35"/>
      <c r="G17" s="33"/>
      <c r="H17" s="29" t="s">
        <v>242</v>
      </c>
      <c r="I17" s="30">
        <v>1</v>
      </c>
      <c r="J17" s="32"/>
      <c r="K17" s="33"/>
      <c r="L17" s="29"/>
      <c r="M17" s="30">
        <v>1.5</v>
      </c>
      <c r="N17" s="32"/>
      <c r="O17" s="33"/>
      <c r="P17" s="29" t="s">
        <v>242</v>
      </c>
      <c r="Q17" s="57">
        <v>1</v>
      </c>
      <c r="R17" s="32"/>
      <c r="S17" s="33"/>
      <c r="T17" s="29" t="s">
        <v>242</v>
      </c>
      <c r="U17" s="30">
        <v>6</v>
      </c>
      <c r="V17" s="32"/>
      <c r="W17" s="33"/>
      <c r="X17" s="29" t="s">
        <v>242</v>
      </c>
      <c r="Y17" s="30">
        <v>6</v>
      </c>
      <c r="Z17" s="32"/>
      <c r="AA17" s="33"/>
      <c r="AC17" s="153">
        <f t="shared" si="0"/>
        <v>8.5</v>
      </c>
    </row>
    <row r="18" spans="1:29" ht="18" customHeight="1" x14ac:dyDescent="0.25">
      <c r="A18" s="53" t="s">
        <v>206</v>
      </c>
      <c r="B18" s="54" t="s">
        <v>267</v>
      </c>
      <c r="C18" s="30"/>
      <c r="D18" s="29"/>
      <c r="E18" s="30">
        <v>2</v>
      </c>
      <c r="F18" s="32"/>
      <c r="G18" s="33"/>
      <c r="H18" s="29" t="s">
        <v>242</v>
      </c>
      <c r="I18" s="30">
        <v>2</v>
      </c>
      <c r="J18" s="32"/>
      <c r="K18" s="33"/>
      <c r="L18" s="29"/>
      <c r="M18" s="66">
        <v>1.5</v>
      </c>
      <c r="N18" s="32"/>
      <c r="O18" s="33"/>
      <c r="P18" s="29" t="s">
        <v>242</v>
      </c>
      <c r="Q18" s="30">
        <v>2</v>
      </c>
      <c r="R18" s="32"/>
      <c r="S18" s="33"/>
      <c r="T18" s="29" t="s">
        <v>242</v>
      </c>
      <c r="U18" s="30">
        <v>6</v>
      </c>
      <c r="V18" s="32"/>
      <c r="W18" s="33"/>
      <c r="X18" s="29" t="s">
        <v>242</v>
      </c>
      <c r="Y18" s="30">
        <v>6</v>
      </c>
      <c r="Z18" s="32"/>
      <c r="AA18" s="33"/>
      <c r="AC18" s="153">
        <f t="shared" si="0"/>
        <v>9.75</v>
      </c>
    </row>
    <row r="19" spans="1:29" ht="18" customHeight="1" x14ac:dyDescent="0.25">
      <c r="A19" s="101" t="s">
        <v>207</v>
      </c>
      <c r="B19" s="97" t="s">
        <v>268</v>
      </c>
      <c r="C19" s="89"/>
      <c r="D19" s="88"/>
      <c r="E19" s="89"/>
      <c r="F19" s="100"/>
      <c r="G19" s="99"/>
      <c r="H19" s="88"/>
      <c r="I19" s="89"/>
      <c r="J19" s="100"/>
      <c r="K19" s="99"/>
      <c r="L19" s="88"/>
      <c r="M19" s="89"/>
      <c r="N19" s="100"/>
      <c r="O19" s="99"/>
      <c r="P19" s="88"/>
      <c r="Q19" s="89"/>
      <c r="R19" s="100"/>
      <c r="S19" s="99"/>
      <c r="T19" s="88"/>
      <c r="U19" s="89"/>
      <c r="V19" s="100"/>
      <c r="W19" s="99"/>
      <c r="X19" s="88"/>
      <c r="Y19" s="89"/>
      <c r="Z19" s="100"/>
      <c r="AA19" s="99"/>
      <c r="AC19" s="154"/>
    </row>
    <row r="20" spans="1:29" ht="18" customHeight="1" x14ac:dyDescent="0.25">
      <c r="A20" s="53" t="s">
        <v>208</v>
      </c>
      <c r="B20" s="54" t="s">
        <v>269</v>
      </c>
      <c r="C20" s="30"/>
      <c r="D20" s="29"/>
      <c r="E20" s="30">
        <v>1</v>
      </c>
      <c r="F20" s="32"/>
      <c r="G20" s="33"/>
      <c r="H20" s="29" t="s">
        <v>242</v>
      </c>
      <c r="I20" s="30">
        <v>0.8</v>
      </c>
      <c r="J20" s="32"/>
      <c r="K20" s="33"/>
      <c r="L20" s="29"/>
      <c r="M20" s="30">
        <v>1.5</v>
      </c>
      <c r="N20" s="32"/>
      <c r="O20" s="33"/>
      <c r="P20" s="29" t="s">
        <v>242</v>
      </c>
      <c r="Q20" s="30">
        <v>1.2</v>
      </c>
      <c r="R20" s="32"/>
      <c r="S20" s="33"/>
      <c r="T20" s="29" t="s">
        <v>242</v>
      </c>
      <c r="U20" s="30">
        <v>5</v>
      </c>
      <c r="V20" s="32"/>
      <c r="W20" s="33"/>
      <c r="X20" s="29" t="s">
        <v>242</v>
      </c>
      <c r="Y20" s="30">
        <v>6</v>
      </c>
      <c r="Z20" s="32"/>
      <c r="AA20" s="33"/>
      <c r="AC20" s="153">
        <f t="shared" si="0"/>
        <v>7.75</v>
      </c>
    </row>
    <row r="21" spans="1:29" ht="18" customHeight="1" x14ac:dyDescent="0.25">
      <c r="A21" s="53" t="s">
        <v>209</v>
      </c>
      <c r="B21" s="54" t="s">
        <v>270</v>
      </c>
      <c r="C21" s="30"/>
      <c r="D21" s="29"/>
      <c r="E21" s="30">
        <v>1.5</v>
      </c>
      <c r="F21" s="32"/>
      <c r="G21" s="33"/>
      <c r="H21" s="29" t="s">
        <v>242</v>
      </c>
      <c r="I21" s="30">
        <v>1</v>
      </c>
      <c r="J21" s="32"/>
      <c r="K21" s="33"/>
      <c r="L21" s="29"/>
      <c r="M21" s="30">
        <v>1.5</v>
      </c>
      <c r="N21" s="32"/>
      <c r="O21" s="33"/>
      <c r="P21" s="29" t="s">
        <v>242</v>
      </c>
      <c r="Q21" s="30">
        <v>0.7</v>
      </c>
      <c r="R21" s="32"/>
      <c r="S21" s="33"/>
      <c r="T21" s="29" t="s">
        <v>242</v>
      </c>
      <c r="U21" s="30">
        <v>5</v>
      </c>
      <c r="V21" s="32"/>
      <c r="W21" s="33"/>
      <c r="X21" s="29" t="s">
        <v>242</v>
      </c>
      <c r="Y21" s="30">
        <v>6</v>
      </c>
      <c r="Z21" s="32"/>
      <c r="AA21" s="33"/>
      <c r="AC21" s="153">
        <f t="shared" si="0"/>
        <v>7.85</v>
      </c>
    </row>
    <row r="22" spans="1:29" ht="18" customHeight="1" x14ac:dyDescent="0.25">
      <c r="A22" s="53" t="s">
        <v>210</v>
      </c>
      <c r="B22" s="54" t="s">
        <v>271</v>
      </c>
      <c r="C22" s="30"/>
      <c r="D22" s="29"/>
      <c r="E22" s="30">
        <v>1.5</v>
      </c>
      <c r="F22" s="32"/>
      <c r="G22" s="33"/>
      <c r="H22" s="29" t="s">
        <v>242</v>
      </c>
      <c r="I22" s="30">
        <v>1</v>
      </c>
      <c r="J22" s="32"/>
      <c r="K22" s="33"/>
      <c r="L22" s="29"/>
      <c r="M22" s="30">
        <v>1.5</v>
      </c>
      <c r="N22" s="32"/>
      <c r="O22" s="33"/>
      <c r="P22" s="29" t="s">
        <v>242</v>
      </c>
      <c r="Q22" s="30">
        <v>1.2</v>
      </c>
      <c r="R22" s="32"/>
      <c r="S22" s="33"/>
      <c r="T22" s="29" t="s">
        <v>242</v>
      </c>
      <c r="U22" s="30">
        <v>6</v>
      </c>
      <c r="V22" s="32"/>
      <c r="W22" s="33"/>
      <c r="X22" s="29" t="s">
        <v>242</v>
      </c>
      <c r="Y22" s="30">
        <v>6</v>
      </c>
      <c r="Z22" s="32"/>
      <c r="AA22" s="33"/>
      <c r="AC22" s="153">
        <f t="shared" si="0"/>
        <v>8.6</v>
      </c>
    </row>
    <row r="23" spans="1:29" ht="18" customHeight="1" x14ac:dyDescent="0.25">
      <c r="A23" s="71" t="s">
        <v>211</v>
      </c>
      <c r="B23" s="71" t="s">
        <v>272</v>
      </c>
      <c r="C23" s="30"/>
      <c r="D23" s="29"/>
      <c r="E23" s="30">
        <v>1.5</v>
      </c>
      <c r="F23" s="32"/>
      <c r="G23" s="33"/>
      <c r="H23" s="29" t="s">
        <v>242</v>
      </c>
      <c r="I23" s="30">
        <v>2</v>
      </c>
      <c r="J23" s="32"/>
      <c r="K23" s="33"/>
      <c r="L23" s="29"/>
      <c r="M23" s="30">
        <v>1.5</v>
      </c>
      <c r="N23" s="32"/>
      <c r="O23" s="33"/>
      <c r="P23" s="29" t="s">
        <v>242</v>
      </c>
      <c r="Q23" s="30">
        <v>2</v>
      </c>
      <c r="R23" s="32"/>
      <c r="S23" s="33"/>
      <c r="T23" s="29" t="s">
        <v>242</v>
      </c>
      <c r="U23" s="30">
        <v>6</v>
      </c>
      <c r="V23" s="32"/>
      <c r="W23" s="33"/>
      <c r="X23" s="29" t="s">
        <v>242</v>
      </c>
      <c r="Y23" s="30">
        <v>6</v>
      </c>
      <c r="Z23" s="32"/>
      <c r="AA23" s="33"/>
      <c r="AC23" s="153">
        <f t="shared" si="0"/>
        <v>9.5</v>
      </c>
    </row>
    <row r="24" spans="1:29" ht="18" customHeight="1" x14ac:dyDescent="0.25">
      <c r="A24" s="119" t="s">
        <v>212</v>
      </c>
      <c r="B24" s="120" t="s">
        <v>273</v>
      </c>
      <c r="C24" s="111"/>
      <c r="D24" s="88"/>
      <c r="E24" s="89"/>
      <c r="F24" s="100"/>
      <c r="G24" s="99"/>
      <c r="H24" s="88"/>
      <c r="I24" s="89"/>
      <c r="J24" s="100"/>
      <c r="K24" s="99"/>
      <c r="L24" s="88"/>
      <c r="M24" s="89"/>
      <c r="N24" s="100"/>
      <c r="O24" s="99"/>
      <c r="P24" s="88"/>
      <c r="Q24" s="89"/>
      <c r="R24" s="100"/>
      <c r="S24" s="99"/>
      <c r="T24" s="88"/>
      <c r="U24" s="89"/>
      <c r="V24" s="100"/>
      <c r="W24" s="99"/>
      <c r="X24" s="88"/>
      <c r="Y24" s="89"/>
      <c r="Z24" s="100"/>
      <c r="AA24" s="99"/>
      <c r="AC24" s="154"/>
    </row>
    <row r="25" spans="1:29" ht="18" customHeight="1" x14ac:dyDescent="0.2">
      <c r="A25" s="22"/>
      <c r="B25" s="23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19"/>
      <c r="Y25" s="20"/>
      <c r="Z25" s="20"/>
      <c r="AA25" s="20"/>
    </row>
    <row r="26" spans="1:29" ht="18" customHeight="1" x14ac:dyDescent="0.2">
      <c r="A26" s="22"/>
      <c r="B26" s="23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19"/>
      <c r="Y26" s="20"/>
      <c r="Z26" s="20"/>
      <c r="AA26" s="20"/>
    </row>
    <row r="27" spans="1:29" ht="18" customHeight="1" x14ac:dyDescent="0.2">
      <c r="A27" s="22"/>
      <c r="B27" s="23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19"/>
      <c r="Y27" s="20"/>
      <c r="Z27" s="20"/>
      <c r="AA27" s="20"/>
    </row>
    <row r="28" spans="1:29" ht="18" customHeight="1" x14ac:dyDescent="0.2">
      <c r="A28" s="22"/>
      <c r="B28" s="23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19"/>
      <c r="Y28" s="20"/>
      <c r="Z28" s="20"/>
      <c r="AA28" s="20"/>
    </row>
    <row r="29" spans="1:29" ht="18" customHeight="1" x14ac:dyDescent="0.2">
      <c r="A29" s="22"/>
      <c r="B29" s="23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19"/>
      <c r="Y29" s="20"/>
      <c r="Z29" s="20"/>
      <c r="AA29" s="20"/>
    </row>
    <row r="30" spans="1:29" ht="18" customHeight="1" x14ac:dyDescent="0.2">
      <c r="A30" s="22"/>
      <c r="B30" s="23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19"/>
      <c r="Y30" s="20"/>
      <c r="Z30" s="20"/>
      <c r="AA30" s="20"/>
    </row>
    <row r="31" spans="1:29" ht="18" customHeight="1" x14ac:dyDescent="0.2">
      <c r="A31" s="22"/>
      <c r="B31" s="23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19"/>
      <c r="Y31" s="20"/>
      <c r="Z31" s="20"/>
      <c r="AA31" s="20"/>
    </row>
    <row r="32" spans="1:29" x14ac:dyDescent="0.2">
      <c r="A32" s="20"/>
      <c r="B32" s="20"/>
      <c r="C32" s="20"/>
      <c r="D32" s="20"/>
      <c r="E32" s="20"/>
      <c r="F32" s="20"/>
      <c r="G32" s="20"/>
      <c r="H32" s="21"/>
      <c r="I32" s="20"/>
      <c r="J32" s="20"/>
      <c r="K32" s="20"/>
      <c r="L32" s="21"/>
      <c r="M32" s="20"/>
      <c r="N32" s="20"/>
      <c r="O32" s="20"/>
      <c r="P32" s="20"/>
      <c r="Q32" s="20"/>
      <c r="R32" s="20"/>
      <c r="S32" s="20"/>
      <c r="T32" s="21"/>
      <c r="U32" s="20"/>
      <c r="V32" s="20"/>
      <c r="W32" s="20"/>
      <c r="X32" s="20"/>
      <c r="Y32" s="20"/>
      <c r="Z32" s="20"/>
      <c r="AA32" s="20"/>
    </row>
    <row r="33" spans="1:27" x14ac:dyDescent="0.2">
      <c r="A33" s="20"/>
      <c r="B33" s="20"/>
      <c r="C33" s="20"/>
      <c r="D33" s="20"/>
      <c r="E33" s="20"/>
      <c r="F33" s="20"/>
      <c r="G33" s="20"/>
      <c r="H33" s="21"/>
      <c r="I33" s="20"/>
      <c r="J33" s="20"/>
      <c r="K33" s="20"/>
      <c r="L33" s="21"/>
      <c r="M33" s="20"/>
      <c r="N33" s="20"/>
      <c r="O33" s="20"/>
      <c r="P33" s="20"/>
      <c r="Q33" s="20"/>
      <c r="R33" s="20"/>
      <c r="S33" s="20"/>
      <c r="T33" s="21"/>
      <c r="U33" s="20"/>
      <c r="V33" s="20"/>
      <c r="W33" s="20"/>
      <c r="X33" s="20"/>
      <c r="Y33" s="20"/>
      <c r="Z33" s="20"/>
      <c r="AA33" s="20"/>
    </row>
  </sheetData>
  <mergeCells count="19">
    <mergeCell ref="X7:AA7"/>
    <mergeCell ref="X8:AA8"/>
    <mergeCell ref="K1:M2"/>
    <mergeCell ref="U2:W4"/>
    <mergeCell ref="I4:O5"/>
    <mergeCell ref="T7:W7"/>
    <mergeCell ref="L8:O8"/>
    <mergeCell ref="P8:S8"/>
    <mergeCell ref="T8:W8"/>
    <mergeCell ref="A7:C7"/>
    <mergeCell ref="D7:G7"/>
    <mergeCell ref="H7:K7"/>
    <mergeCell ref="L7:O7"/>
    <mergeCell ref="P7:S7"/>
    <mergeCell ref="A8:A9"/>
    <mergeCell ref="B8:B9"/>
    <mergeCell ref="C8:C9"/>
    <mergeCell ref="D8:G8"/>
    <mergeCell ref="H8:K8"/>
  </mergeCells>
  <pageMargins left="0.78740157480314965" right="0.39370078740157483" top="0.39370078740157483" bottom="0.39370078740157483" header="0.31496062992125984" footer="0.31496062992125984"/>
  <pageSetup paperSize="9" scale="92" orientation="landscape" r:id="rId1"/>
  <headerFooter alignWithMargins="0"/>
  <colBreaks count="1" manualBreakCount="1">
    <brk id="27" max="2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32"/>
  <sheetViews>
    <sheetView view="pageBreakPreview" topLeftCell="A3" zoomScaleNormal="100" zoomScaleSheetLayoutView="100" workbookViewId="0">
      <selection activeCell="AC9" sqref="AC9"/>
    </sheetView>
  </sheetViews>
  <sheetFormatPr defaultRowHeight="12.75" x14ac:dyDescent="0.2"/>
  <cols>
    <col min="1" max="1" width="6.625" style="1" customWidth="1"/>
    <col min="2" max="2" width="21.625" style="1" customWidth="1"/>
    <col min="3" max="3" width="3.625" style="1" customWidth="1"/>
    <col min="4" max="4" width="5" style="1" customWidth="1"/>
    <col min="5" max="6" width="3.875" style="1" customWidth="1"/>
    <col min="7" max="7" width="4.875" style="1" customWidth="1"/>
    <col min="8" max="8" width="5" style="7" customWidth="1"/>
    <col min="9" max="10" width="3.875" style="1" customWidth="1"/>
    <col min="11" max="11" width="4.625" style="1" customWidth="1"/>
    <col min="12" max="12" width="5" style="7" customWidth="1"/>
    <col min="13" max="14" width="3.875" style="1" customWidth="1"/>
    <col min="15" max="15" width="4.625" style="1" customWidth="1"/>
    <col min="16" max="16" width="5" style="1" customWidth="1"/>
    <col min="17" max="18" width="3.875" style="1" customWidth="1"/>
    <col min="19" max="19" width="4.625" style="1" customWidth="1"/>
    <col min="20" max="20" width="4.625" style="7" customWidth="1"/>
    <col min="21" max="22" width="3.875" style="1" customWidth="1"/>
    <col min="23" max="23" width="4.625" style="1" customWidth="1"/>
    <col min="24" max="24" width="4.375" style="1" customWidth="1"/>
    <col min="25" max="25" width="4" style="1" customWidth="1"/>
    <col min="26" max="26" width="3.75" style="1" customWidth="1"/>
    <col min="27" max="27" width="4.125" style="1" customWidth="1"/>
    <col min="28" max="28" width="4" style="1" customWidth="1"/>
    <col min="29" max="255" width="9" style="1"/>
    <col min="256" max="256" width="5" style="1" customWidth="1"/>
    <col min="257" max="257" width="20.5" style="1" customWidth="1"/>
    <col min="258" max="258" width="2.375" style="1" customWidth="1"/>
    <col min="259" max="259" width="3.75" style="1" customWidth="1"/>
    <col min="260" max="261" width="5" style="1" customWidth="1"/>
    <col min="262" max="263" width="3.75" style="1" customWidth="1"/>
    <col min="264" max="265" width="5" style="1" customWidth="1"/>
    <col min="266" max="267" width="3.75" style="1" customWidth="1"/>
    <col min="268" max="269" width="5" style="1" customWidth="1"/>
    <col min="270" max="271" width="3.75" style="1" customWidth="1"/>
    <col min="272" max="273" width="5" style="1" customWidth="1"/>
    <col min="274" max="275" width="3.75" style="1" customWidth="1"/>
    <col min="276" max="277" width="5" style="1" customWidth="1"/>
    <col min="278" max="279" width="3.75" style="1" customWidth="1"/>
    <col min="280" max="280" width="3.5" style="1" customWidth="1"/>
    <col min="281" max="511" width="9" style="1"/>
    <col min="512" max="512" width="5" style="1" customWidth="1"/>
    <col min="513" max="513" width="20.5" style="1" customWidth="1"/>
    <col min="514" max="514" width="2.375" style="1" customWidth="1"/>
    <col min="515" max="515" width="3.75" style="1" customWidth="1"/>
    <col min="516" max="517" width="5" style="1" customWidth="1"/>
    <col min="518" max="519" width="3.75" style="1" customWidth="1"/>
    <col min="520" max="521" width="5" style="1" customWidth="1"/>
    <col min="522" max="523" width="3.75" style="1" customWidth="1"/>
    <col min="524" max="525" width="5" style="1" customWidth="1"/>
    <col min="526" max="527" width="3.75" style="1" customWidth="1"/>
    <col min="528" max="529" width="5" style="1" customWidth="1"/>
    <col min="530" max="531" width="3.75" style="1" customWidth="1"/>
    <col min="532" max="533" width="5" style="1" customWidth="1"/>
    <col min="534" max="535" width="3.75" style="1" customWidth="1"/>
    <col min="536" max="536" width="3.5" style="1" customWidth="1"/>
    <col min="537" max="767" width="9" style="1"/>
    <col min="768" max="768" width="5" style="1" customWidth="1"/>
    <col min="769" max="769" width="20.5" style="1" customWidth="1"/>
    <col min="770" max="770" width="2.375" style="1" customWidth="1"/>
    <col min="771" max="771" width="3.75" style="1" customWidth="1"/>
    <col min="772" max="773" width="5" style="1" customWidth="1"/>
    <col min="774" max="775" width="3.75" style="1" customWidth="1"/>
    <col min="776" max="777" width="5" style="1" customWidth="1"/>
    <col min="778" max="779" width="3.75" style="1" customWidth="1"/>
    <col min="780" max="781" width="5" style="1" customWidth="1"/>
    <col min="782" max="783" width="3.75" style="1" customWidth="1"/>
    <col min="784" max="785" width="5" style="1" customWidth="1"/>
    <col min="786" max="787" width="3.75" style="1" customWidth="1"/>
    <col min="788" max="789" width="5" style="1" customWidth="1"/>
    <col min="790" max="791" width="3.75" style="1" customWidth="1"/>
    <col min="792" max="792" width="3.5" style="1" customWidth="1"/>
    <col min="793" max="1023" width="9" style="1"/>
    <col min="1024" max="1024" width="5" style="1" customWidth="1"/>
    <col min="1025" max="1025" width="20.5" style="1" customWidth="1"/>
    <col min="1026" max="1026" width="2.375" style="1" customWidth="1"/>
    <col min="1027" max="1027" width="3.75" style="1" customWidth="1"/>
    <col min="1028" max="1029" width="5" style="1" customWidth="1"/>
    <col min="1030" max="1031" width="3.75" style="1" customWidth="1"/>
    <col min="1032" max="1033" width="5" style="1" customWidth="1"/>
    <col min="1034" max="1035" width="3.75" style="1" customWidth="1"/>
    <col min="1036" max="1037" width="5" style="1" customWidth="1"/>
    <col min="1038" max="1039" width="3.75" style="1" customWidth="1"/>
    <col min="1040" max="1041" width="5" style="1" customWidth="1"/>
    <col min="1042" max="1043" width="3.75" style="1" customWidth="1"/>
    <col min="1044" max="1045" width="5" style="1" customWidth="1"/>
    <col min="1046" max="1047" width="3.75" style="1" customWidth="1"/>
    <col min="1048" max="1048" width="3.5" style="1" customWidth="1"/>
    <col min="1049" max="1279" width="9" style="1"/>
    <col min="1280" max="1280" width="5" style="1" customWidth="1"/>
    <col min="1281" max="1281" width="20.5" style="1" customWidth="1"/>
    <col min="1282" max="1282" width="2.375" style="1" customWidth="1"/>
    <col min="1283" max="1283" width="3.75" style="1" customWidth="1"/>
    <col min="1284" max="1285" width="5" style="1" customWidth="1"/>
    <col min="1286" max="1287" width="3.75" style="1" customWidth="1"/>
    <col min="1288" max="1289" width="5" style="1" customWidth="1"/>
    <col min="1290" max="1291" width="3.75" style="1" customWidth="1"/>
    <col min="1292" max="1293" width="5" style="1" customWidth="1"/>
    <col min="1294" max="1295" width="3.75" style="1" customWidth="1"/>
    <col min="1296" max="1297" width="5" style="1" customWidth="1"/>
    <col min="1298" max="1299" width="3.75" style="1" customWidth="1"/>
    <col min="1300" max="1301" width="5" style="1" customWidth="1"/>
    <col min="1302" max="1303" width="3.75" style="1" customWidth="1"/>
    <col min="1304" max="1304" width="3.5" style="1" customWidth="1"/>
    <col min="1305" max="1535" width="9" style="1"/>
    <col min="1536" max="1536" width="5" style="1" customWidth="1"/>
    <col min="1537" max="1537" width="20.5" style="1" customWidth="1"/>
    <col min="1538" max="1538" width="2.375" style="1" customWidth="1"/>
    <col min="1539" max="1539" width="3.75" style="1" customWidth="1"/>
    <col min="1540" max="1541" width="5" style="1" customWidth="1"/>
    <col min="1542" max="1543" width="3.75" style="1" customWidth="1"/>
    <col min="1544" max="1545" width="5" style="1" customWidth="1"/>
    <col min="1546" max="1547" width="3.75" style="1" customWidth="1"/>
    <col min="1548" max="1549" width="5" style="1" customWidth="1"/>
    <col min="1550" max="1551" width="3.75" style="1" customWidth="1"/>
    <col min="1552" max="1553" width="5" style="1" customWidth="1"/>
    <col min="1554" max="1555" width="3.75" style="1" customWidth="1"/>
    <col min="1556" max="1557" width="5" style="1" customWidth="1"/>
    <col min="1558" max="1559" width="3.75" style="1" customWidth="1"/>
    <col min="1560" max="1560" width="3.5" style="1" customWidth="1"/>
    <col min="1561" max="1791" width="9" style="1"/>
    <col min="1792" max="1792" width="5" style="1" customWidth="1"/>
    <col min="1793" max="1793" width="20.5" style="1" customWidth="1"/>
    <col min="1794" max="1794" width="2.375" style="1" customWidth="1"/>
    <col min="1795" max="1795" width="3.75" style="1" customWidth="1"/>
    <col min="1796" max="1797" width="5" style="1" customWidth="1"/>
    <col min="1798" max="1799" width="3.75" style="1" customWidth="1"/>
    <col min="1800" max="1801" width="5" style="1" customWidth="1"/>
    <col min="1802" max="1803" width="3.75" style="1" customWidth="1"/>
    <col min="1804" max="1805" width="5" style="1" customWidth="1"/>
    <col min="1806" max="1807" width="3.75" style="1" customWidth="1"/>
    <col min="1808" max="1809" width="5" style="1" customWidth="1"/>
    <col min="1810" max="1811" width="3.75" style="1" customWidth="1"/>
    <col min="1812" max="1813" width="5" style="1" customWidth="1"/>
    <col min="1814" max="1815" width="3.75" style="1" customWidth="1"/>
    <col min="1816" max="1816" width="3.5" style="1" customWidth="1"/>
    <col min="1817" max="2047" width="9" style="1"/>
    <col min="2048" max="2048" width="5" style="1" customWidth="1"/>
    <col min="2049" max="2049" width="20.5" style="1" customWidth="1"/>
    <col min="2050" max="2050" width="2.375" style="1" customWidth="1"/>
    <col min="2051" max="2051" width="3.75" style="1" customWidth="1"/>
    <col min="2052" max="2053" width="5" style="1" customWidth="1"/>
    <col min="2054" max="2055" width="3.75" style="1" customWidth="1"/>
    <col min="2056" max="2057" width="5" style="1" customWidth="1"/>
    <col min="2058" max="2059" width="3.75" style="1" customWidth="1"/>
    <col min="2060" max="2061" width="5" style="1" customWidth="1"/>
    <col min="2062" max="2063" width="3.75" style="1" customWidth="1"/>
    <col min="2064" max="2065" width="5" style="1" customWidth="1"/>
    <col min="2066" max="2067" width="3.75" style="1" customWidth="1"/>
    <col min="2068" max="2069" width="5" style="1" customWidth="1"/>
    <col min="2070" max="2071" width="3.75" style="1" customWidth="1"/>
    <col min="2072" max="2072" width="3.5" style="1" customWidth="1"/>
    <col min="2073" max="2303" width="9" style="1"/>
    <col min="2304" max="2304" width="5" style="1" customWidth="1"/>
    <col min="2305" max="2305" width="20.5" style="1" customWidth="1"/>
    <col min="2306" max="2306" width="2.375" style="1" customWidth="1"/>
    <col min="2307" max="2307" width="3.75" style="1" customWidth="1"/>
    <col min="2308" max="2309" width="5" style="1" customWidth="1"/>
    <col min="2310" max="2311" width="3.75" style="1" customWidth="1"/>
    <col min="2312" max="2313" width="5" style="1" customWidth="1"/>
    <col min="2314" max="2315" width="3.75" style="1" customWidth="1"/>
    <col min="2316" max="2317" width="5" style="1" customWidth="1"/>
    <col min="2318" max="2319" width="3.75" style="1" customWidth="1"/>
    <col min="2320" max="2321" width="5" style="1" customWidth="1"/>
    <col min="2322" max="2323" width="3.75" style="1" customWidth="1"/>
    <col min="2324" max="2325" width="5" style="1" customWidth="1"/>
    <col min="2326" max="2327" width="3.75" style="1" customWidth="1"/>
    <col min="2328" max="2328" width="3.5" style="1" customWidth="1"/>
    <col min="2329" max="2559" width="9" style="1"/>
    <col min="2560" max="2560" width="5" style="1" customWidth="1"/>
    <col min="2561" max="2561" width="20.5" style="1" customWidth="1"/>
    <col min="2562" max="2562" width="2.375" style="1" customWidth="1"/>
    <col min="2563" max="2563" width="3.75" style="1" customWidth="1"/>
    <col min="2564" max="2565" width="5" style="1" customWidth="1"/>
    <col min="2566" max="2567" width="3.75" style="1" customWidth="1"/>
    <col min="2568" max="2569" width="5" style="1" customWidth="1"/>
    <col min="2570" max="2571" width="3.75" style="1" customWidth="1"/>
    <col min="2572" max="2573" width="5" style="1" customWidth="1"/>
    <col min="2574" max="2575" width="3.75" style="1" customWidth="1"/>
    <col min="2576" max="2577" width="5" style="1" customWidth="1"/>
    <col min="2578" max="2579" width="3.75" style="1" customWidth="1"/>
    <col min="2580" max="2581" width="5" style="1" customWidth="1"/>
    <col min="2582" max="2583" width="3.75" style="1" customWidth="1"/>
    <col min="2584" max="2584" width="3.5" style="1" customWidth="1"/>
    <col min="2585" max="2815" width="9" style="1"/>
    <col min="2816" max="2816" width="5" style="1" customWidth="1"/>
    <col min="2817" max="2817" width="20.5" style="1" customWidth="1"/>
    <col min="2818" max="2818" width="2.375" style="1" customWidth="1"/>
    <col min="2819" max="2819" width="3.75" style="1" customWidth="1"/>
    <col min="2820" max="2821" width="5" style="1" customWidth="1"/>
    <col min="2822" max="2823" width="3.75" style="1" customWidth="1"/>
    <col min="2824" max="2825" width="5" style="1" customWidth="1"/>
    <col min="2826" max="2827" width="3.75" style="1" customWidth="1"/>
    <col min="2828" max="2829" width="5" style="1" customWidth="1"/>
    <col min="2830" max="2831" width="3.75" style="1" customWidth="1"/>
    <col min="2832" max="2833" width="5" style="1" customWidth="1"/>
    <col min="2834" max="2835" width="3.75" style="1" customWidth="1"/>
    <col min="2836" max="2837" width="5" style="1" customWidth="1"/>
    <col min="2838" max="2839" width="3.75" style="1" customWidth="1"/>
    <col min="2840" max="2840" width="3.5" style="1" customWidth="1"/>
    <col min="2841" max="3071" width="9" style="1"/>
    <col min="3072" max="3072" width="5" style="1" customWidth="1"/>
    <col min="3073" max="3073" width="20.5" style="1" customWidth="1"/>
    <col min="3074" max="3074" width="2.375" style="1" customWidth="1"/>
    <col min="3075" max="3075" width="3.75" style="1" customWidth="1"/>
    <col min="3076" max="3077" width="5" style="1" customWidth="1"/>
    <col min="3078" max="3079" width="3.75" style="1" customWidth="1"/>
    <col min="3080" max="3081" width="5" style="1" customWidth="1"/>
    <col min="3082" max="3083" width="3.75" style="1" customWidth="1"/>
    <col min="3084" max="3085" width="5" style="1" customWidth="1"/>
    <col min="3086" max="3087" width="3.75" style="1" customWidth="1"/>
    <col min="3088" max="3089" width="5" style="1" customWidth="1"/>
    <col min="3090" max="3091" width="3.75" style="1" customWidth="1"/>
    <col min="3092" max="3093" width="5" style="1" customWidth="1"/>
    <col min="3094" max="3095" width="3.75" style="1" customWidth="1"/>
    <col min="3096" max="3096" width="3.5" style="1" customWidth="1"/>
    <col min="3097" max="3327" width="9" style="1"/>
    <col min="3328" max="3328" width="5" style="1" customWidth="1"/>
    <col min="3329" max="3329" width="20.5" style="1" customWidth="1"/>
    <col min="3330" max="3330" width="2.375" style="1" customWidth="1"/>
    <col min="3331" max="3331" width="3.75" style="1" customWidth="1"/>
    <col min="3332" max="3333" width="5" style="1" customWidth="1"/>
    <col min="3334" max="3335" width="3.75" style="1" customWidth="1"/>
    <col min="3336" max="3337" width="5" style="1" customWidth="1"/>
    <col min="3338" max="3339" width="3.75" style="1" customWidth="1"/>
    <col min="3340" max="3341" width="5" style="1" customWidth="1"/>
    <col min="3342" max="3343" width="3.75" style="1" customWidth="1"/>
    <col min="3344" max="3345" width="5" style="1" customWidth="1"/>
    <col min="3346" max="3347" width="3.75" style="1" customWidth="1"/>
    <col min="3348" max="3349" width="5" style="1" customWidth="1"/>
    <col min="3350" max="3351" width="3.75" style="1" customWidth="1"/>
    <col min="3352" max="3352" width="3.5" style="1" customWidth="1"/>
    <col min="3353" max="3583" width="9" style="1"/>
    <col min="3584" max="3584" width="5" style="1" customWidth="1"/>
    <col min="3585" max="3585" width="20.5" style="1" customWidth="1"/>
    <col min="3586" max="3586" width="2.375" style="1" customWidth="1"/>
    <col min="3587" max="3587" width="3.75" style="1" customWidth="1"/>
    <col min="3588" max="3589" width="5" style="1" customWidth="1"/>
    <col min="3590" max="3591" width="3.75" style="1" customWidth="1"/>
    <col min="3592" max="3593" width="5" style="1" customWidth="1"/>
    <col min="3594" max="3595" width="3.75" style="1" customWidth="1"/>
    <col min="3596" max="3597" width="5" style="1" customWidth="1"/>
    <col min="3598" max="3599" width="3.75" style="1" customWidth="1"/>
    <col min="3600" max="3601" width="5" style="1" customWidth="1"/>
    <col min="3602" max="3603" width="3.75" style="1" customWidth="1"/>
    <col min="3604" max="3605" width="5" style="1" customWidth="1"/>
    <col min="3606" max="3607" width="3.75" style="1" customWidth="1"/>
    <col min="3608" max="3608" width="3.5" style="1" customWidth="1"/>
    <col min="3609" max="3839" width="9" style="1"/>
    <col min="3840" max="3840" width="5" style="1" customWidth="1"/>
    <col min="3841" max="3841" width="20.5" style="1" customWidth="1"/>
    <col min="3842" max="3842" width="2.375" style="1" customWidth="1"/>
    <col min="3843" max="3843" width="3.75" style="1" customWidth="1"/>
    <col min="3844" max="3845" width="5" style="1" customWidth="1"/>
    <col min="3846" max="3847" width="3.75" style="1" customWidth="1"/>
    <col min="3848" max="3849" width="5" style="1" customWidth="1"/>
    <col min="3850" max="3851" width="3.75" style="1" customWidth="1"/>
    <col min="3852" max="3853" width="5" style="1" customWidth="1"/>
    <col min="3854" max="3855" width="3.75" style="1" customWidth="1"/>
    <col min="3856" max="3857" width="5" style="1" customWidth="1"/>
    <col min="3858" max="3859" width="3.75" style="1" customWidth="1"/>
    <col min="3860" max="3861" width="5" style="1" customWidth="1"/>
    <col min="3862" max="3863" width="3.75" style="1" customWidth="1"/>
    <col min="3864" max="3864" width="3.5" style="1" customWidth="1"/>
    <col min="3865" max="4095" width="9" style="1"/>
    <col min="4096" max="4096" width="5" style="1" customWidth="1"/>
    <col min="4097" max="4097" width="20.5" style="1" customWidth="1"/>
    <col min="4098" max="4098" width="2.375" style="1" customWidth="1"/>
    <col min="4099" max="4099" width="3.75" style="1" customWidth="1"/>
    <col min="4100" max="4101" width="5" style="1" customWidth="1"/>
    <col min="4102" max="4103" width="3.75" style="1" customWidth="1"/>
    <col min="4104" max="4105" width="5" style="1" customWidth="1"/>
    <col min="4106" max="4107" width="3.75" style="1" customWidth="1"/>
    <col min="4108" max="4109" width="5" style="1" customWidth="1"/>
    <col min="4110" max="4111" width="3.75" style="1" customWidth="1"/>
    <col min="4112" max="4113" width="5" style="1" customWidth="1"/>
    <col min="4114" max="4115" width="3.75" style="1" customWidth="1"/>
    <col min="4116" max="4117" width="5" style="1" customWidth="1"/>
    <col min="4118" max="4119" width="3.75" style="1" customWidth="1"/>
    <col min="4120" max="4120" width="3.5" style="1" customWidth="1"/>
    <col min="4121" max="4351" width="9" style="1"/>
    <col min="4352" max="4352" width="5" style="1" customWidth="1"/>
    <col min="4353" max="4353" width="20.5" style="1" customWidth="1"/>
    <col min="4354" max="4354" width="2.375" style="1" customWidth="1"/>
    <col min="4355" max="4355" width="3.75" style="1" customWidth="1"/>
    <col min="4356" max="4357" width="5" style="1" customWidth="1"/>
    <col min="4358" max="4359" width="3.75" style="1" customWidth="1"/>
    <col min="4360" max="4361" width="5" style="1" customWidth="1"/>
    <col min="4362" max="4363" width="3.75" style="1" customWidth="1"/>
    <col min="4364" max="4365" width="5" style="1" customWidth="1"/>
    <col min="4366" max="4367" width="3.75" style="1" customWidth="1"/>
    <col min="4368" max="4369" width="5" style="1" customWidth="1"/>
    <col min="4370" max="4371" width="3.75" style="1" customWidth="1"/>
    <col min="4372" max="4373" width="5" style="1" customWidth="1"/>
    <col min="4374" max="4375" width="3.75" style="1" customWidth="1"/>
    <col min="4376" max="4376" width="3.5" style="1" customWidth="1"/>
    <col min="4377" max="4607" width="9" style="1"/>
    <col min="4608" max="4608" width="5" style="1" customWidth="1"/>
    <col min="4609" max="4609" width="20.5" style="1" customWidth="1"/>
    <col min="4610" max="4610" width="2.375" style="1" customWidth="1"/>
    <col min="4611" max="4611" width="3.75" style="1" customWidth="1"/>
    <col min="4612" max="4613" width="5" style="1" customWidth="1"/>
    <col min="4614" max="4615" width="3.75" style="1" customWidth="1"/>
    <col min="4616" max="4617" width="5" style="1" customWidth="1"/>
    <col min="4618" max="4619" width="3.75" style="1" customWidth="1"/>
    <col min="4620" max="4621" width="5" style="1" customWidth="1"/>
    <col min="4622" max="4623" width="3.75" style="1" customWidth="1"/>
    <col min="4624" max="4625" width="5" style="1" customWidth="1"/>
    <col min="4626" max="4627" width="3.75" style="1" customWidth="1"/>
    <col min="4628" max="4629" width="5" style="1" customWidth="1"/>
    <col min="4630" max="4631" width="3.75" style="1" customWidth="1"/>
    <col min="4632" max="4632" width="3.5" style="1" customWidth="1"/>
    <col min="4633" max="4863" width="9" style="1"/>
    <col min="4864" max="4864" width="5" style="1" customWidth="1"/>
    <col min="4865" max="4865" width="20.5" style="1" customWidth="1"/>
    <col min="4866" max="4866" width="2.375" style="1" customWidth="1"/>
    <col min="4867" max="4867" width="3.75" style="1" customWidth="1"/>
    <col min="4868" max="4869" width="5" style="1" customWidth="1"/>
    <col min="4870" max="4871" width="3.75" style="1" customWidth="1"/>
    <col min="4872" max="4873" width="5" style="1" customWidth="1"/>
    <col min="4874" max="4875" width="3.75" style="1" customWidth="1"/>
    <col min="4876" max="4877" width="5" style="1" customWidth="1"/>
    <col min="4878" max="4879" width="3.75" style="1" customWidth="1"/>
    <col min="4880" max="4881" width="5" style="1" customWidth="1"/>
    <col min="4882" max="4883" width="3.75" style="1" customWidth="1"/>
    <col min="4884" max="4885" width="5" style="1" customWidth="1"/>
    <col min="4886" max="4887" width="3.75" style="1" customWidth="1"/>
    <col min="4888" max="4888" width="3.5" style="1" customWidth="1"/>
    <col min="4889" max="5119" width="9" style="1"/>
    <col min="5120" max="5120" width="5" style="1" customWidth="1"/>
    <col min="5121" max="5121" width="20.5" style="1" customWidth="1"/>
    <col min="5122" max="5122" width="2.375" style="1" customWidth="1"/>
    <col min="5123" max="5123" width="3.75" style="1" customWidth="1"/>
    <col min="5124" max="5125" width="5" style="1" customWidth="1"/>
    <col min="5126" max="5127" width="3.75" style="1" customWidth="1"/>
    <col min="5128" max="5129" width="5" style="1" customWidth="1"/>
    <col min="5130" max="5131" width="3.75" style="1" customWidth="1"/>
    <col min="5132" max="5133" width="5" style="1" customWidth="1"/>
    <col min="5134" max="5135" width="3.75" style="1" customWidth="1"/>
    <col min="5136" max="5137" width="5" style="1" customWidth="1"/>
    <col min="5138" max="5139" width="3.75" style="1" customWidth="1"/>
    <col min="5140" max="5141" width="5" style="1" customWidth="1"/>
    <col min="5142" max="5143" width="3.75" style="1" customWidth="1"/>
    <col min="5144" max="5144" width="3.5" style="1" customWidth="1"/>
    <col min="5145" max="5375" width="9" style="1"/>
    <col min="5376" max="5376" width="5" style="1" customWidth="1"/>
    <col min="5377" max="5377" width="20.5" style="1" customWidth="1"/>
    <col min="5378" max="5378" width="2.375" style="1" customWidth="1"/>
    <col min="5379" max="5379" width="3.75" style="1" customWidth="1"/>
    <col min="5380" max="5381" width="5" style="1" customWidth="1"/>
    <col min="5382" max="5383" width="3.75" style="1" customWidth="1"/>
    <col min="5384" max="5385" width="5" style="1" customWidth="1"/>
    <col min="5386" max="5387" width="3.75" style="1" customWidth="1"/>
    <col min="5388" max="5389" width="5" style="1" customWidth="1"/>
    <col min="5390" max="5391" width="3.75" style="1" customWidth="1"/>
    <col min="5392" max="5393" width="5" style="1" customWidth="1"/>
    <col min="5394" max="5395" width="3.75" style="1" customWidth="1"/>
    <col min="5396" max="5397" width="5" style="1" customWidth="1"/>
    <col min="5398" max="5399" width="3.75" style="1" customWidth="1"/>
    <col min="5400" max="5400" width="3.5" style="1" customWidth="1"/>
    <col min="5401" max="5631" width="9" style="1"/>
    <col min="5632" max="5632" width="5" style="1" customWidth="1"/>
    <col min="5633" max="5633" width="20.5" style="1" customWidth="1"/>
    <col min="5634" max="5634" width="2.375" style="1" customWidth="1"/>
    <col min="5635" max="5635" width="3.75" style="1" customWidth="1"/>
    <col min="5636" max="5637" width="5" style="1" customWidth="1"/>
    <col min="5638" max="5639" width="3.75" style="1" customWidth="1"/>
    <col min="5640" max="5641" width="5" style="1" customWidth="1"/>
    <col min="5642" max="5643" width="3.75" style="1" customWidth="1"/>
    <col min="5644" max="5645" width="5" style="1" customWidth="1"/>
    <col min="5646" max="5647" width="3.75" style="1" customWidth="1"/>
    <col min="5648" max="5649" width="5" style="1" customWidth="1"/>
    <col min="5650" max="5651" width="3.75" style="1" customWidth="1"/>
    <col min="5652" max="5653" width="5" style="1" customWidth="1"/>
    <col min="5654" max="5655" width="3.75" style="1" customWidth="1"/>
    <col min="5656" max="5656" width="3.5" style="1" customWidth="1"/>
    <col min="5657" max="5887" width="9" style="1"/>
    <col min="5888" max="5888" width="5" style="1" customWidth="1"/>
    <col min="5889" max="5889" width="20.5" style="1" customWidth="1"/>
    <col min="5890" max="5890" width="2.375" style="1" customWidth="1"/>
    <col min="5891" max="5891" width="3.75" style="1" customWidth="1"/>
    <col min="5892" max="5893" width="5" style="1" customWidth="1"/>
    <col min="5894" max="5895" width="3.75" style="1" customWidth="1"/>
    <col min="5896" max="5897" width="5" style="1" customWidth="1"/>
    <col min="5898" max="5899" width="3.75" style="1" customWidth="1"/>
    <col min="5900" max="5901" width="5" style="1" customWidth="1"/>
    <col min="5902" max="5903" width="3.75" style="1" customWidth="1"/>
    <col min="5904" max="5905" width="5" style="1" customWidth="1"/>
    <col min="5906" max="5907" width="3.75" style="1" customWidth="1"/>
    <col min="5908" max="5909" width="5" style="1" customWidth="1"/>
    <col min="5910" max="5911" width="3.75" style="1" customWidth="1"/>
    <col min="5912" max="5912" width="3.5" style="1" customWidth="1"/>
    <col min="5913" max="6143" width="9" style="1"/>
    <col min="6144" max="6144" width="5" style="1" customWidth="1"/>
    <col min="6145" max="6145" width="20.5" style="1" customWidth="1"/>
    <col min="6146" max="6146" width="2.375" style="1" customWidth="1"/>
    <col min="6147" max="6147" width="3.75" style="1" customWidth="1"/>
    <col min="6148" max="6149" width="5" style="1" customWidth="1"/>
    <col min="6150" max="6151" width="3.75" style="1" customWidth="1"/>
    <col min="6152" max="6153" width="5" style="1" customWidth="1"/>
    <col min="6154" max="6155" width="3.75" style="1" customWidth="1"/>
    <col min="6156" max="6157" width="5" style="1" customWidth="1"/>
    <col min="6158" max="6159" width="3.75" style="1" customWidth="1"/>
    <col min="6160" max="6161" width="5" style="1" customWidth="1"/>
    <col min="6162" max="6163" width="3.75" style="1" customWidth="1"/>
    <col min="6164" max="6165" width="5" style="1" customWidth="1"/>
    <col min="6166" max="6167" width="3.75" style="1" customWidth="1"/>
    <col min="6168" max="6168" width="3.5" style="1" customWidth="1"/>
    <col min="6169" max="6399" width="9" style="1"/>
    <col min="6400" max="6400" width="5" style="1" customWidth="1"/>
    <col min="6401" max="6401" width="20.5" style="1" customWidth="1"/>
    <col min="6402" max="6402" width="2.375" style="1" customWidth="1"/>
    <col min="6403" max="6403" width="3.75" style="1" customWidth="1"/>
    <col min="6404" max="6405" width="5" style="1" customWidth="1"/>
    <col min="6406" max="6407" width="3.75" style="1" customWidth="1"/>
    <col min="6408" max="6409" width="5" style="1" customWidth="1"/>
    <col min="6410" max="6411" width="3.75" style="1" customWidth="1"/>
    <col min="6412" max="6413" width="5" style="1" customWidth="1"/>
    <col min="6414" max="6415" width="3.75" style="1" customWidth="1"/>
    <col min="6416" max="6417" width="5" style="1" customWidth="1"/>
    <col min="6418" max="6419" width="3.75" style="1" customWidth="1"/>
    <col min="6420" max="6421" width="5" style="1" customWidth="1"/>
    <col min="6422" max="6423" width="3.75" style="1" customWidth="1"/>
    <col min="6424" max="6424" width="3.5" style="1" customWidth="1"/>
    <col min="6425" max="6655" width="9" style="1"/>
    <col min="6656" max="6656" width="5" style="1" customWidth="1"/>
    <col min="6657" max="6657" width="20.5" style="1" customWidth="1"/>
    <col min="6658" max="6658" width="2.375" style="1" customWidth="1"/>
    <col min="6659" max="6659" width="3.75" style="1" customWidth="1"/>
    <col min="6660" max="6661" width="5" style="1" customWidth="1"/>
    <col min="6662" max="6663" width="3.75" style="1" customWidth="1"/>
    <col min="6664" max="6665" width="5" style="1" customWidth="1"/>
    <col min="6666" max="6667" width="3.75" style="1" customWidth="1"/>
    <col min="6668" max="6669" width="5" style="1" customWidth="1"/>
    <col min="6670" max="6671" width="3.75" style="1" customWidth="1"/>
    <col min="6672" max="6673" width="5" style="1" customWidth="1"/>
    <col min="6674" max="6675" width="3.75" style="1" customWidth="1"/>
    <col min="6676" max="6677" width="5" style="1" customWidth="1"/>
    <col min="6678" max="6679" width="3.75" style="1" customWidth="1"/>
    <col min="6680" max="6680" width="3.5" style="1" customWidth="1"/>
    <col min="6681" max="6911" width="9" style="1"/>
    <col min="6912" max="6912" width="5" style="1" customWidth="1"/>
    <col min="6913" max="6913" width="20.5" style="1" customWidth="1"/>
    <col min="6914" max="6914" width="2.375" style="1" customWidth="1"/>
    <col min="6915" max="6915" width="3.75" style="1" customWidth="1"/>
    <col min="6916" max="6917" width="5" style="1" customWidth="1"/>
    <col min="6918" max="6919" width="3.75" style="1" customWidth="1"/>
    <col min="6920" max="6921" width="5" style="1" customWidth="1"/>
    <col min="6922" max="6923" width="3.75" style="1" customWidth="1"/>
    <col min="6924" max="6925" width="5" style="1" customWidth="1"/>
    <col min="6926" max="6927" width="3.75" style="1" customWidth="1"/>
    <col min="6928" max="6929" width="5" style="1" customWidth="1"/>
    <col min="6930" max="6931" width="3.75" style="1" customWidth="1"/>
    <col min="6932" max="6933" width="5" style="1" customWidth="1"/>
    <col min="6934" max="6935" width="3.75" style="1" customWidth="1"/>
    <col min="6936" max="6936" width="3.5" style="1" customWidth="1"/>
    <col min="6937" max="7167" width="9" style="1"/>
    <col min="7168" max="7168" width="5" style="1" customWidth="1"/>
    <col min="7169" max="7169" width="20.5" style="1" customWidth="1"/>
    <col min="7170" max="7170" width="2.375" style="1" customWidth="1"/>
    <col min="7171" max="7171" width="3.75" style="1" customWidth="1"/>
    <col min="7172" max="7173" width="5" style="1" customWidth="1"/>
    <col min="7174" max="7175" width="3.75" style="1" customWidth="1"/>
    <col min="7176" max="7177" width="5" style="1" customWidth="1"/>
    <col min="7178" max="7179" width="3.75" style="1" customWidth="1"/>
    <col min="7180" max="7181" width="5" style="1" customWidth="1"/>
    <col min="7182" max="7183" width="3.75" style="1" customWidth="1"/>
    <col min="7184" max="7185" width="5" style="1" customWidth="1"/>
    <col min="7186" max="7187" width="3.75" style="1" customWidth="1"/>
    <col min="7188" max="7189" width="5" style="1" customWidth="1"/>
    <col min="7190" max="7191" width="3.75" style="1" customWidth="1"/>
    <col min="7192" max="7192" width="3.5" style="1" customWidth="1"/>
    <col min="7193" max="7423" width="9" style="1"/>
    <col min="7424" max="7424" width="5" style="1" customWidth="1"/>
    <col min="7425" max="7425" width="20.5" style="1" customWidth="1"/>
    <col min="7426" max="7426" width="2.375" style="1" customWidth="1"/>
    <col min="7427" max="7427" width="3.75" style="1" customWidth="1"/>
    <col min="7428" max="7429" width="5" style="1" customWidth="1"/>
    <col min="7430" max="7431" width="3.75" style="1" customWidth="1"/>
    <col min="7432" max="7433" width="5" style="1" customWidth="1"/>
    <col min="7434" max="7435" width="3.75" style="1" customWidth="1"/>
    <col min="7436" max="7437" width="5" style="1" customWidth="1"/>
    <col min="7438" max="7439" width="3.75" style="1" customWidth="1"/>
    <col min="7440" max="7441" width="5" style="1" customWidth="1"/>
    <col min="7442" max="7443" width="3.75" style="1" customWidth="1"/>
    <col min="7444" max="7445" width="5" style="1" customWidth="1"/>
    <col min="7446" max="7447" width="3.75" style="1" customWidth="1"/>
    <col min="7448" max="7448" width="3.5" style="1" customWidth="1"/>
    <col min="7449" max="7679" width="9" style="1"/>
    <col min="7680" max="7680" width="5" style="1" customWidth="1"/>
    <col min="7681" max="7681" width="20.5" style="1" customWidth="1"/>
    <col min="7682" max="7682" width="2.375" style="1" customWidth="1"/>
    <col min="7683" max="7683" width="3.75" style="1" customWidth="1"/>
    <col min="7684" max="7685" width="5" style="1" customWidth="1"/>
    <col min="7686" max="7687" width="3.75" style="1" customWidth="1"/>
    <col min="7688" max="7689" width="5" style="1" customWidth="1"/>
    <col min="7690" max="7691" width="3.75" style="1" customWidth="1"/>
    <col min="7692" max="7693" width="5" style="1" customWidth="1"/>
    <col min="7694" max="7695" width="3.75" style="1" customWidth="1"/>
    <col min="7696" max="7697" width="5" style="1" customWidth="1"/>
    <col min="7698" max="7699" width="3.75" style="1" customWidth="1"/>
    <col min="7700" max="7701" width="5" style="1" customWidth="1"/>
    <col min="7702" max="7703" width="3.75" style="1" customWidth="1"/>
    <col min="7704" max="7704" width="3.5" style="1" customWidth="1"/>
    <col min="7705" max="7935" width="9" style="1"/>
    <col min="7936" max="7936" width="5" style="1" customWidth="1"/>
    <col min="7937" max="7937" width="20.5" style="1" customWidth="1"/>
    <col min="7938" max="7938" width="2.375" style="1" customWidth="1"/>
    <col min="7939" max="7939" width="3.75" style="1" customWidth="1"/>
    <col min="7940" max="7941" width="5" style="1" customWidth="1"/>
    <col min="7942" max="7943" width="3.75" style="1" customWidth="1"/>
    <col min="7944" max="7945" width="5" style="1" customWidth="1"/>
    <col min="7946" max="7947" width="3.75" style="1" customWidth="1"/>
    <col min="7948" max="7949" width="5" style="1" customWidth="1"/>
    <col min="7950" max="7951" width="3.75" style="1" customWidth="1"/>
    <col min="7952" max="7953" width="5" style="1" customWidth="1"/>
    <col min="7954" max="7955" width="3.75" style="1" customWidth="1"/>
    <col min="7956" max="7957" width="5" style="1" customWidth="1"/>
    <col min="7958" max="7959" width="3.75" style="1" customWidth="1"/>
    <col min="7960" max="7960" width="3.5" style="1" customWidth="1"/>
    <col min="7961" max="8191" width="9" style="1"/>
    <col min="8192" max="8192" width="5" style="1" customWidth="1"/>
    <col min="8193" max="8193" width="20.5" style="1" customWidth="1"/>
    <col min="8194" max="8194" width="2.375" style="1" customWidth="1"/>
    <col min="8195" max="8195" width="3.75" style="1" customWidth="1"/>
    <col min="8196" max="8197" width="5" style="1" customWidth="1"/>
    <col min="8198" max="8199" width="3.75" style="1" customWidth="1"/>
    <col min="8200" max="8201" width="5" style="1" customWidth="1"/>
    <col min="8202" max="8203" width="3.75" style="1" customWidth="1"/>
    <col min="8204" max="8205" width="5" style="1" customWidth="1"/>
    <col min="8206" max="8207" width="3.75" style="1" customWidth="1"/>
    <col min="8208" max="8209" width="5" style="1" customWidth="1"/>
    <col min="8210" max="8211" width="3.75" style="1" customWidth="1"/>
    <col min="8212" max="8213" width="5" style="1" customWidth="1"/>
    <col min="8214" max="8215" width="3.75" style="1" customWidth="1"/>
    <col min="8216" max="8216" width="3.5" style="1" customWidth="1"/>
    <col min="8217" max="8447" width="9" style="1"/>
    <col min="8448" max="8448" width="5" style="1" customWidth="1"/>
    <col min="8449" max="8449" width="20.5" style="1" customWidth="1"/>
    <col min="8450" max="8450" width="2.375" style="1" customWidth="1"/>
    <col min="8451" max="8451" width="3.75" style="1" customWidth="1"/>
    <col min="8452" max="8453" width="5" style="1" customWidth="1"/>
    <col min="8454" max="8455" width="3.75" style="1" customWidth="1"/>
    <col min="8456" max="8457" width="5" style="1" customWidth="1"/>
    <col min="8458" max="8459" width="3.75" style="1" customWidth="1"/>
    <col min="8460" max="8461" width="5" style="1" customWidth="1"/>
    <col min="8462" max="8463" width="3.75" style="1" customWidth="1"/>
    <col min="8464" max="8465" width="5" style="1" customWidth="1"/>
    <col min="8466" max="8467" width="3.75" style="1" customWidth="1"/>
    <col min="8468" max="8469" width="5" style="1" customWidth="1"/>
    <col min="8470" max="8471" width="3.75" style="1" customWidth="1"/>
    <col min="8472" max="8472" width="3.5" style="1" customWidth="1"/>
    <col min="8473" max="8703" width="9" style="1"/>
    <col min="8704" max="8704" width="5" style="1" customWidth="1"/>
    <col min="8705" max="8705" width="20.5" style="1" customWidth="1"/>
    <col min="8706" max="8706" width="2.375" style="1" customWidth="1"/>
    <col min="8707" max="8707" width="3.75" style="1" customWidth="1"/>
    <col min="8708" max="8709" width="5" style="1" customWidth="1"/>
    <col min="8710" max="8711" width="3.75" style="1" customWidth="1"/>
    <col min="8712" max="8713" width="5" style="1" customWidth="1"/>
    <col min="8714" max="8715" width="3.75" style="1" customWidth="1"/>
    <col min="8716" max="8717" width="5" style="1" customWidth="1"/>
    <col min="8718" max="8719" width="3.75" style="1" customWidth="1"/>
    <col min="8720" max="8721" width="5" style="1" customWidth="1"/>
    <col min="8722" max="8723" width="3.75" style="1" customWidth="1"/>
    <col min="8724" max="8725" width="5" style="1" customWidth="1"/>
    <col min="8726" max="8727" width="3.75" style="1" customWidth="1"/>
    <col min="8728" max="8728" width="3.5" style="1" customWidth="1"/>
    <col min="8729" max="8959" width="9" style="1"/>
    <col min="8960" max="8960" width="5" style="1" customWidth="1"/>
    <col min="8961" max="8961" width="20.5" style="1" customWidth="1"/>
    <col min="8962" max="8962" width="2.375" style="1" customWidth="1"/>
    <col min="8963" max="8963" width="3.75" style="1" customWidth="1"/>
    <col min="8964" max="8965" width="5" style="1" customWidth="1"/>
    <col min="8966" max="8967" width="3.75" style="1" customWidth="1"/>
    <col min="8968" max="8969" width="5" style="1" customWidth="1"/>
    <col min="8970" max="8971" width="3.75" style="1" customWidth="1"/>
    <col min="8972" max="8973" width="5" style="1" customWidth="1"/>
    <col min="8974" max="8975" width="3.75" style="1" customWidth="1"/>
    <col min="8976" max="8977" width="5" style="1" customWidth="1"/>
    <col min="8978" max="8979" width="3.75" style="1" customWidth="1"/>
    <col min="8980" max="8981" width="5" style="1" customWidth="1"/>
    <col min="8982" max="8983" width="3.75" style="1" customWidth="1"/>
    <col min="8984" max="8984" width="3.5" style="1" customWidth="1"/>
    <col min="8985" max="9215" width="9" style="1"/>
    <col min="9216" max="9216" width="5" style="1" customWidth="1"/>
    <col min="9217" max="9217" width="20.5" style="1" customWidth="1"/>
    <col min="9218" max="9218" width="2.375" style="1" customWidth="1"/>
    <col min="9219" max="9219" width="3.75" style="1" customWidth="1"/>
    <col min="9220" max="9221" width="5" style="1" customWidth="1"/>
    <col min="9222" max="9223" width="3.75" style="1" customWidth="1"/>
    <col min="9224" max="9225" width="5" style="1" customWidth="1"/>
    <col min="9226" max="9227" width="3.75" style="1" customWidth="1"/>
    <col min="9228" max="9229" width="5" style="1" customWidth="1"/>
    <col min="9230" max="9231" width="3.75" style="1" customWidth="1"/>
    <col min="9232" max="9233" width="5" style="1" customWidth="1"/>
    <col min="9234" max="9235" width="3.75" style="1" customWidth="1"/>
    <col min="9236" max="9237" width="5" style="1" customWidth="1"/>
    <col min="9238" max="9239" width="3.75" style="1" customWidth="1"/>
    <col min="9240" max="9240" width="3.5" style="1" customWidth="1"/>
    <col min="9241" max="9471" width="9" style="1"/>
    <col min="9472" max="9472" width="5" style="1" customWidth="1"/>
    <col min="9473" max="9473" width="20.5" style="1" customWidth="1"/>
    <col min="9474" max="9474" width="2.375" style="1" customWidth="1"/>
    <col min="9475" max="9475" width="3.75" style="1" customWidth="1"/>
    <col min="9476" max="9477" width="5" style="1" customWidth="1"/>
    <col min="9478" max="9479" width="3.75" style="1" customWidth="1"/>
    <col min="9480" max="9481" width="5" style="1" customWidth="1"/>
    <col min="9482" max="9483" width="3.75" style="1" customWidth="1"/>
    <col min="9484" max="9485" width="5" style="1" customWidth="1"/>
    <col min="9486" max="9487" width="3.75" style="1" customWidth="1"/>
    <col min="9488" max="9489" width="5" style="1" customWidth="1"/>
    <col min="9490" max="9491" width="3.75" style="1" customWidth="1"/>
    <col min="9492" max="9493" width="5" style="1" customWidth="1"/>
    <col min="9494" max="9495" width="3.75" style="1" customWidth="1"/>
    <col min="9496" max="9496" width="3.5" style="1" customWidth="1"/>
    <col min="9497" max="9727" width="9" style="1"/>
    <col min="9728" max="9728" width="5" style="1" customWidth="1"/>
    <col min="9729" max="9729" width="20.5" style="1" customWidth="1"/>
    <col min="9730" max="9730" width="2.375" style="1" customWidth="1"/>
    <col min="9731" max="9731" width="3.75" style="1" customWidth="1"/>
    <col min="9732" max="9733" width="5" style="1" customWidth="1"/>
    <col min="9734" max="9735" width="3.75" style="1" customWidth="1"/>
    <col min="9736" max="9737" width="5" style="1" customWidth="1"/>
    <col min="9738" max="9739" width="3.75" style="1" customWidth="1"/>
    <col min="9740" max="9741" width="5" style="1" customWidth="1"/>
    <col min="9742" max="9743" width="3.75" style="1" customWidth="1"/>
    <col min="9744" max="9745" width="5" style="1" customWidth="1"/>
    <col min="9746" max="9747" width="3.75" style="1" customWidth="1"/>
    <col min="9748" max="9749" width="5" style="1" customWidth="1"/>
    <col min="9750" max="9751" width="3.75" style="1" customWidth="1"/>
    <col min="9752" max="9752" width="3.5" style="1" customWidth="1"/>
    <col min="9753" max="9983" width="9" style="1"/>
    <col min="9984" max="9984" width="5" style="1" customWidth="1"/>
    <col min="9985" max="9985" width="20.5" style="1" customWidth="1"/>
    <col min="9986" max="9986" width="2.375" style="1" customWidth="1"/>
    <col min="9987" max="9987" width="3.75" style="1" customWidth="1"/>
    <col min="9988" max="9989" width="5" style="1" customWidth="1"/>
    <col min="9990" max="9991" width="3.75" style="1" customWidth="1"/>
    <col min="9992" max="9993" width="5" style="1" customWidth="1"/>
    <col min="9994" max="9995" width="3.75" style="1" customWidth="1"/>
    <col min="9996" max="9997" width="5" style="1" customWidth="1"/>
    <col min="9998" max="9999" width="3.75" style="1" customWidth="1"/>
    <col min="10000" max="10001" width="5" style="1" customWidth="1"/>
    <col min="10002" max="10003" width="3.75" style="1" customWidth="1"/>
    <col min="10004" max="10005" width="5" style="1" customWidth="1"/>
    <col min="10006" max="10007" width="3.75" style="1" customWidth="1"/>
    <col min="10008" max="10008" width="3.5" style="1" customWidth="1"/>
    <col min="10009" max="10239" width="9" style="1"/>
    <col min="10240" max="10240" width="5" style="1" customWidth="1"/>
    <col min="10241" max="10241" width="20.5" style="1" customWidth="1"/>
    <col min="10242" max="10242" width="2.375" style="1" customWidth="1"/>
    <col min="10243" max="10243" width="3.75" style="1" customWidth="1"/>
    <col min="10244" max="10245" width="5" style="1" customWidth="1"/>
    <col min="10246" max="10247" width="3.75" style="1" customWidth="1"/>
    <col min="10248" max="10249" width="5" style="1" customWidth="1"/>
    <col min="10250" max="10251" width="3.75" style="1" customWidth="1"/>
    <col min="10252" max="10253" width="5" style="1" customWidth="1"/>
    <col min="10254" max="10255" width="3.75" style="1" customWidth="1"/>
    <col min="10256" max="10257" width="5" style="1" customWidth="1"/>
    <col min="10258" max="10259" width="3.75" style="1" customWidth="1"/>
    <col min="10260" max="10261" width="5" style="1" customWidth="1"/>
    <col min="10262" max="10263" width="3.75" style="1" customWidth="1"/>
    <col min="10264" max="10264" width="3.5" style="1" customWidth="1"/>
    <col min="10265" max="10495" width="9" style="1"/>
    <col min="10496" max="10496" width="5" style="1" customWidth="1"/>
    <col min="10497" max="10497" width="20.5" style="1" customWidth="1"/>
    <col min="10498" max="10498" width="2.375" style="1" customWidth="1"/>
    <col min="10499" max="10499" width="3.75" style="1" customWidth="1"/>
    <col min="10500" max="10501" width="5" style="1" customWidth="1"/>
    <col min="10502" max="10503" width="3.75" style="1" customWidth="1"/>
    <col min="10504" max="10505" width="5" style="1" customWidth="1"/>
    <col min="10506" max="10507" width="3.75" style="1" customWidth="1"/>
    <col min="10508" max="10509" width="5" style="1" customWidth="1"/>
    <col min="10510" max="10511" width="3.75" style="1" customWidth="1"/>
    <col min="10512" max="10513" width="5" style="1" customWidth="1"/>
    <col min="10514" max="10515" width="3.75" style="1" customWidth="1"/>
    <col min="10516" max="10517" width="5" style="1" customWidth="1"/>
    <col min="10518" max="10519" width="3.75" style="1" customWidth="1"/>
    <col min="10520" max="10520" width="3.5" style="1" customWidth="1"/>
    <col min="10521" max="10751" width="9" style="1"/>
    <col min="10752" max="10752" width="5" style="1" customWidth="1"/>
    <col min="10753" max="10753" width="20.5" style="1" customWidth="1"/>
    <col min="10754" max="10754" width="2.375" style="1" customWidth="1"/>
    <col min="10755" max="10755" width="3.75" style="1" customWidth="1"/>
    <col min="10756" max="10757" width="5" style="1" customWidth="1"/>
    <col min="10758" max="10759" width="3.75" style="1" customWidth="1"/>
    <col min="10760" max="10761" width="5" style="1" customWidth="1"/>
    <col min="10762" max="10763" width="3.75" style="1" customWidth="1"/>
    <col min="10764" max="10765" width="5" style="1" customWidth="1"/>
    <col min="10766" max="10767" width="3.75" style="1" customWidth="1"/>
    <col min="10768" max="10769" width="5" style="1" customWidth="1"/>
    <col min="10770" max="10771" width="3.75" style="1" customWidth="1"/>
    <col min="10772" max="10773" width="5" style="1" customWidth="1"/>
    <col min="10774" max="10775" width="3.75" style="1" customWidth="1"/>
    <col min="10776" max="10776" width="3.5" style="1" customWidth="1"/>
    <col min="10777" max="11007" width="9" style="1"/>
    <col min="11008" max="11008" width="5" style="1" customWidth="1"/>
    <col min="11009" max="11009" width="20.5" style="1" customWidth="1"/>
    <col min="11010" max="11010" width="2.375" style="1" customWidth="1"/>
    <col min="11011" max="11011" width="3.75" style="1" customWidth="1"/>
    <col min="11012" max="11013" width="5" style="1" customWidth="1"/>
    <col min="11014" max="11015" width="3.75" style="1" customWidth="1"/>
    <col min="11016" max="11017" width="5" style="1" customWidth="1"/>
    <col min="11018" max="11019" width="3.75" style="1" customWidth="1"/>
    <col min="11020" max="11021" width="5" style="1" customWidth="1"/>
    <col min="11022" max="11023" width="3.75" style="1" customWidth="1"/>
    <col min="11024" max="11025" width="5" style="1" customWidth="1"/>
    <col min="11026" max="11027" width="3.75" style="1" customWidth="1"/>
    <col min="11028" max="11029" width="5" style="1" customWidth="1"/>
    <col min="11030" max="11031" width="3.75" style="1" customWidth="1"/>
    <col min="11032" max="11032" width="3.5" style="1" customWidth="1"/>
    <col min="11033" max="11263" width="9" style="1"/>
    <col min="11264" max="11264" width="5" style="1" customWidth="1"/>
    <col min="11265" max="11265" width="20.5" style="1" customWidth="1"/>
    <col min="11266" max="11266" width="2.375" style="1" customWidth="1"/>
    <col min="11267" max="11267" width="3.75" style="1" customWidth="1"/>
    <col min="11268" max="11269" width="5" style="1" customWidth="1"/>
    <col min="11270" max="11271" width="3.75" style="1" customWidth="1"/>
    <col min="11272" max="11273" width="5" style="1" customWidth="1"/>
    <col min="11274" max="11275" width="3.75" style="1" customWidth="1"/>
    <col min="11276" max="11277" width="5" style="1" customWidth="1"/>
    <col min="11278" max="11279" width="3.75" style="1" customWidth="1"/>
    <col min="11280" max="11281" width="5" style="1" customWidth="1"/>
    <col min="11282" max="11283" width="3.75" style="1" customWidth="1"/>
    <col min="11284" max="11285" width="5" style="1" customWidth="1"/>
    <col min="11286" max="11287" width="3.75" style="1" customWidth="1"/>
    <col min="11288" max="11288" width="3.5" style="1" customWidth="1"/>
    <col min="11289" max="11519" width="9" style="1"/>
    <col min="11520" max="11520" width="5" style="1" customWidth="1"/>
    <col min="11521" max="11521" width="20.5" style="1" customWidth="1"/>
    <col min="11522" max="11522" width="2.375" style="1" customWidth="1"/>
    <col min="11523" max="11523" width="3.75" style="1" customWidth="1"/>
    <col min="11524" max="11525" width="5" style="1" customWidth="1"/>
    <col min="11526" max="11527" width="3.75" style="1" customWidth="1"/>
    <col min="11528" max="11529" width="5" style="1" customWidth="1"/>
    <col min="11530" max="11531" width="3.75" style="1" customWidth="1"/>
    <col min="11532" max="11533" width="5" style="1" customWidth="1"/>
    <col min="11534" max="11535" width="3.75" style="1" customWidth="1"/>
    <col min="11536" max="11537" width="5" style="1" customWidth="1"/>
    <col min="11538" max="11539" width="3.75" style="1" customWidth="1"/>
    <col min="11540" max="11541" width="5" style="1" customWidth="1"/>
    <col min="11542" max="11543" width="3.75" style="1" customWidth="1"/>
    <col min="11544" max="11544" width="3.5" style="1" customWidth="1"/>
    <col min="11545" max="11775" width="9" style="1"/>
    <col min="11776" max="11776" width="5" style="1" customWidth="1"/>
    <col min="11777" max="11777" width="20.5" style="1" customWidth="1"/>
    <col min="11778" max="11778" width="2.375" style="1" customWidth="1"/>
    <col min="11779" max="11779" width="3.75" style="1" customWidth="1"/>
    <col min="11780" max="11781" width="5" style="1" customWidth="1"/>
    <col min="11782" max="11783" width="3.75" style="1" customWidth="1"/>
    <col min="11784" max="11785" width="5" style="1" customWidth="1"/>
    <col min="11786" max="11787" width="3.75" style="1" customWidth="1"/>
    <col min="11788" max="11789" width="5" style="1" customWidth="1"/>
    <col min="11790" max="11791" width="3.75" style="1" customWidth="1"/>
    <col min="11792" max="11793" width="5" style="1" customWidth="1"/>
    <col min="11794" max="11795" width="3.75" style="1" customWidth="1"/>
    <col min="11796" max="11797" width="5" style="1" customWidth="1"/>
    <col min="11798" max="11799" width="3.75" style="1" customWidth="1"/>
    <col min="11800" max="11800" width="3.5" style="1" customWidth="1"/>
    <col min="11801" max="12031" width="9" style="1"/>
    <col min="12032" max="12032" width="5" style="1" customWidth="1"/>
    <col min="12033" max="12033" width="20.5" style="1" customWidth="1"/>
    <col min="12034" max="12034" width="2.375" style="1" customWidth="1"/>
    <col min="12035" max="12035" width="3.75" style="1" customWidth="1"/>
    <col min="12036" max="12037" width="5" style="1" customWidth="1"/>
    <col min="12038" max="12039" width="3.75" style="1" customWidth="1"/>
    <col min="12040" max="12041" width="5" style="1" customWidth="1"/>
    <col min="12042" max="12043" width="3.75" style="1" customWidth="1"/>
    <col min="12044" max="12045" width="5" style="1" customWidth="1"/>
    <col min="12046" max="12047" width="3.75" style="1" customWidth="1"/>
    <col min="12048" max="12049" width="5" style="1" customWidth="1"/>
    <col min="12050" max="12051" width="3.75" style="1" customWidth="1"/>
    <col min="12052" max="12053" width="5" style="1" customWidth="1"/>
    <col min="12054" max="12055" width="3.75" style="1" customWidth="1"/>
    <col min="12056" max="12056" width="3.5" style="1" customWidth="1"/>
    <col min="12057" max="12287" width="9" style="1"/>
    <col min="12288" max="12288" width="5" style="1" customWidth="1"/>
    <col min="12289" max="12289" width="20.5" style="1" customWidth="1"/>
    <col min="12290" max="12290" width="2.375" style="1" customWidth="1"/>
    <col min="12291" max="12291" width="3.75" style="1" customWidth="1"/>
    <col min="12292" max="12293" width="5" style="1" customWidth="1"/>
    <col min="12294" max="12295" width="3.75" style="1" customWidth="1"/>
    <col min="12296" max="12297" width="5" style="1" customWidth="1"/>
    <col min="12298" max="12299" width="3.75" style="1" customWidth="1"/>
    <col min="12300" max="12301" width="5" style="1" customWidth="1"/>
    <col min="12302" max="12303" width="3.75" style="1" customWidth="1"/>
    <col min="12304" max="12305" width="5" style="1" customWidth="1"/>
    <col min="12306" max="12307" width="3.75" style="1" customWidth="1"/>
    <col min="12308" max="12309" width="5" style="1" customWidth="1"/>
    <col min="12310" max="12311" width="3.75" style="1" customWidth="1"/>
    <col min="12312" max="12312" width="3.5" style="1" customWidth="1"/>
    <col min="12313" max="12543" width="9" style="1"/>
    <col min="12544" max="12544" width="5" style="1" customWidth="1"/>
    <col min="12545" max="12545" width="20.5" style="1" customWidth="1"/>
    <col min="12546" max="12546" width="2.375" style="1" customWidth="1"/>
    <col min="12547" max="12547" width="3.75" style="1" customWidth="1"/>
    <col min="12548" max="12549" width="5" style="1" customWidth="1"/>
    <col min="12550" max="12551" width="3.75" style="1" customWidth="1"/>
    <col min="12552" max="12553" width="5" style="1" customWidth="1"/>
    <col min="12554" max="12555" width="3.75" style="1" customWidth="1"/>
    <col min="12556" max="12557" width="5" style="1" customWidth="1"/>
    <col min="12558" max="12559" width="3.75" style="1" customWidth="1"/>
    <col min="12560" max="12561" width="5" style="1" customWidth="1"/>
    <col min="12562" max="12563" width="3.75" style="1" customWidth="1"/>
    <col min="12564" max="12565" width="5" style="1" customWidth="1"/>
    <col min="12566" max="12567" width="3.75" style="1" customWidth="1"/>
    <col min="12568" max="12568" width="3.5" style="1" customWidth="1"/>
    <col min="12569" max="12799" width="9" style="1"/>
    <col min="12800" max="12800" width="5" style="1" customWidth="1"/>
    <col min="12801" max="12801" width="20.5" style="1" customWidth="1"/>
    <col min="12802" max="12802" width="2.375" style="1" customWidth="1"/>
    <col min="12803" max="12803" width="3.75" style="1" customWidth="1"/>
    <col min="12804" max="12805" width="5" style="1" customWidth="1"/>
    <col min="12806" max="12807" width="3.75" style="1" customWidth="1"/>
    <col min="12808" max="12809" width="5" style="1" customWidth="1"/>
    <col min="12810" max="12811" width="3.75" style="1" customWidth="1"/>
    <col min="12812" max="12813" width="5" style="1" customWidth="1"/>
    <col min="12814" max="12815" width="3.75" style="1" customWidth="1"/>
    <col min="12816" max="12817" width="5" style="1" customWidth="1"/>
    <col min="12818" max="12819" width="3.75" style="1" customWidth="1"/>
    <col min="12820" max="12821" width="5" style="1" customWidth="1"/>
    <col min="12822" max="12823" width="3.75" style="1" customWidth="1"/>
    <col min="12824" max="12824" width="3.5" style="1" customWidth="1"/>
    <col min="12825" max="13055" width="9" style="1"/>
    <col min="13056" max="13056" width="5" style="1" customWidth="1"/>
    <col min="13057" max="13057" width="20.5" style="1" customWidth="1"/>
    <col min="13058" max="13058" width="2.375" style="1" customWidth="1"/>
    <col min="13059" max="13059" width="3.75" style="1" customWidth="1"/>
    <col min="13060" max="13061" width="5" style="1" customWidth="1"/>
    <col min="13062" max="13063" width="3.75" style="1" customWidth="1"/>
    <col min="13064" max="13065" width="5" style="1" customWidth="1"/>
    <col min="13066" max="13067" width="3.75" style="1" customWidth="1"/>
    <col min="13068" max="13069" width="5" style="1" customWidth="1"/>
    <col min="13070" max="13071" width="3.75" style="1" customWidth="1"/>
    <col min="13072" max="13073" width="5" style="1" customWidth="1"/>
    <col min="13074" max="13075" width="3.75" style="1" customWidth="1"/>
    <col min="13076" max="13077" width="5" style="1" customWidth="1"/>
    <col min="13078" max="13079" width="3.75" style="1" customWidth="1"/>
    <col min="13080" max="13080" width="3.5" style="1" customWidth="1"/>
    <col min="13081" max="13311" width="9" style="1"/>
    <col min="13312" max="13312" width="5" style="1" customWidth="1"/>
    <col min="13313" max="13313" width="20.5" style="1" customWidth="1"/>
    <col min="13314" max="13314" width="2.375" style="1" customWidth="1"/>
    <col min="13315" max="13315" width="3.75" style="1" customWidth="1"/>
    <col min="13316" max="13317" width="5" style="1" customWidth="1"/>
    <col min="13318" max="13319" width="3.75" style="1" customWidth="1"/>
    <col min="13320" max="13321" width="5" style="1" customWidth="1"/>
    <col min="13322" max="13323" width="3.75" style="1" customWidth="1"/>
    <col min="13324" max="13325" width="5" style="1" customWidth="1"/>
    <col min="13326" max="13327" width="3.75" style="1" customWidth="1"/>
    <col min="13328" max="13329" width="5" style="1" customWidth="1"/>
    <col min="13330" max="13331" width="3.75" style="1" customWidth="1"/>
    <col min="13332" max="13333" width="5" style="1" customWidth="1"/>
    <col min="13334" max="13335" width="3.75" style="1" customWidth="1"/>
    <col min="13336" max="13336" width="3.5" style="1" customWidth="1"/>
    <col min="13337" max="13567" width="9" style="1"/>
    <col min="13568" max="13568" width="5" style="1" customWidth="1"/>
    <col min="13569" max="13569" width="20.5" style="1" customWidth="1"/>
    <col min="13570" max="13570" width="2.375" style="1" customWidth="1"/>
    <col min="13571" max="13571" width="3.75" style="1" customWidth="1"/>
    <col min="13572" max="13573" width="5" style="1" customWidth="1"/>
    <col min="13574" max="13575" width="3.75" style="1" customWidth="1"/>
    <col min="13576" max="13577" width="5" style="1" customWidth="1"/>
    <col min="13578" max="13579" width="3.75" style="1" customWidth="1"/>
    <col min="13580" max="13581" width="5" style="1" customWidth="1"/>
    <col min="13582" max="13583" width="3.75" style="1" customWidth="1"/>
    <col min="13584" max="13585" width="5" style="1" customWidth="1"/>
    <col min="13586" max="13587" width="3.75" style="1" customWidth="1"/>
    <col min="13588" max="13589" width="5" style="1" customWidth="1"/>
    <col min="13590" max="13591" width="3.75" style="1" customWidth="1"/>
    <col min="13592" max="13592" width="3.5" style="1" customWidth="1"/>
    <col min="13593" max="13823" width="9" style="1"/>
    <col min="13824" max="13824" width="5" style="1" customWidth="1"/>
    <col min="13825" max="13825" width="20.5" style="1" customWidth="1"/>
    <col min="13826" max="13826" width="2.375" style="1" customWidth="1"/>
    <col min="13827" max="13827" width="3.75" style="1" customWidth="1"/>
    <col min="13828" max="13829" width="5" style="1" customWidth="1"/>
    <col min="13830" max="13831" width="3.75" style="1" customWidth="1"/>
    <col min="13832" max="13833" width="5" style="1" customWidth="1"/>
    <col min="13834" max="13835" width="3.75" style="1" customWidth="1"/>
    <col min="13836" max="13837" width="5" style="1" customWidth="1"/>
    <col min="13838" max="13839" width="3.75" style="1" customWidth="1"/>
    <col min="13840" max="13841" width="5" style="1" customWidth="1"/>
    <col min="13842" max="13843" width="3.75" style="1" customWidth="1"/>
    <col min="13844" max="13845" width="5" style="1" customWidth="1"/>
    <col min="13846" max="13847" width="3.75" style="1" customWidth="1"/>
    <col min="13848" max="13848" width="3.5" style="1" customWidth="1"/>
    <col min="13849" max="14079" width="9" style="1"/>
    <col min="14080" max="14080" width="5" style="1" customWidth="1"/>
    <col min="14081" max="14081" width="20.5" style="1" customWidth="1"/>
    <col min="14082" max="14082" width="2.375" style="1" customWidth="1"/>
    <col min="14083" max="14083" width="3.75" style="1" customWidth="1"/>
    <col min="14084" max="14085" width="5" style="1" customWidth="1"/>
    <col min="14086" max="14087" width="3.75" style="1" customWidth="1"/>
    <col min="14088" max="14089" width="5" style="1" customWidth="1"/>
    <col min="14090" max="14091" width="3.75" style="1" customWidth="1"/>
    <col min="14092" max="14093" width="5" style="1" customWidth="1"/>
    <col min="14094" max="14095" width="3.75" style="1" customWidth="1"/>
    <col min="14096" max="14097" width="5" style="1" customWidth="1"/>
    <col min="14098" max="14099" width="3.75" style="1" customWidth="1"/>
    <col min="14100" max="14101" width="5" style="1" customWidth="1"/>
    <col min="14102" max="14103" width="3.75" style="1" customWidth="1"/>
    <col min="14104" max="14104" width="3.5" style="1" customWidth="1"/>
    <col min="14105" max="14335" width="9" style="1"/>
    <col min="14336" max="14336" width="5" style="1" customWidth="1"/>
    <col min="14337" max="14337" width="20.5" style="1" customWidth="1"/>
    <col min="14338" max="14338" width="2.375" style="1" customWidth="1"/>
    <col min="14339" max="14339" width="3.75" style="1" customWidth="1"/>
    <col min="14340" max="14341" width="5" style="1" customWidth="1"/>
    <col min="14342" max="14343" width="3.75" style="1" customWidth="1"/>
    <col min="14344" max="14345" width="5" style="1" customWidth="1"/>
    <col min="14346" max="14347" width="3.75" style="1" customWidth="1"/>
    <col min="14348" max="14349" width="5" style="1" customWidth="1"/>
    <col min="14350" max="14351" width="3.75" style="1" customWidth="1"/>
    <col min="14352" max="14353" width="5" style="1" customWidth="1"/>
    <col min="14354" max="14355" width="3.75" style="1" customWidth="1"/>
    <col min="14356" max="14357" width="5" style="1" customWidth="1"/>
    <col min="14358" max="14359" width="3.75" style="1" customWidth="1"/>
    <col min="14360" max="14360" width="3.5" style="1" customWidth="1"/>
    <col min="14361" max="14591" width="9" style="1"/>
    <col min="14592" max="14592" width="5" style="1" customWidth="1"/>
    <col min="14593" max="14593" width="20.5" style="1" customWidth="1"/>
    <col min="14594" max="14594" width="2.375" style="1" customWidth="1"/>
    <col min="14595" max="14595" width="3.75" style="1" customWidth="1"/>
    <col min="14596" max="14597" width="5" style="1" customWidth="1"/>
    <col min="14598" max="14599" width="3.75" style="1" customWidth="1"/>
    <col min="14600" max="14601" width="5" style="1" customWidth="1"/>
    <col min="14602" max="14603" width="3.75" style="1" customWidth="1"/>
    <col min="14604" max="14605" width="5" style="1" customWidth="1"/>
    <col min="14606" max="14607" width="3.75" style="1" customWidth="1"/>
    <col min="14608" max="14609" width="5" style="1" customWidth="1"/>
    <col min="14610" max="14611" width="3.75" style="1" customWidth="1"/>
    <col min="14612" max="14613" width="5" style="1" customWidth="1"/>
    <col min="14614" max="14615" width="3.75" style="1" customWidth="1"/>
    <col min="14616" max="14616" width="3.5" style="1" customWidth="1"/>
    <col min="14617" max="14847" width="9" style="1"/>
    <col min="14848" max="14848" width="5" style="1" customWidth="1"/>
    <col min="14849" max="14849" width="20.5" style="1" customWidth="1"/>
    <col min="14850" max="14850" width="2.375" style="1" customWidth="1"/>
    <col min="14851" max="14851" width="3.75" style="1" customWidth="1"/>
    <col min="14852" max="14853" width="5" style="1" customWidth="1"/>
    <col min="14854" max="14855" width="3.75" style="1" customWidth="1"/>
    <col min="14856" max="14857" width="5" style="1" customWidth="1"/>
    <col min="14858" max="14859" width="3.75" style="1" customWidth="1"/>
    <col min="14860" max="14861" width="5" style="1" customWidth="1"/>
    <col min="14862" max="14863" width="3.75" style="1" customWidth="1"/>
    <col min="14864" max="14865" width="5" style="1" customWidth="1"/>
    <col min="14866" max="14867" width="3.75" style="1" customWidth="1"/>
    <col min="14868" max="14869" width="5" style="1" customWidth="1"/>
    <col min="14870" max="14871" width="3.75" style="1" customWidth="1"/>
    <col min="14872" max="14872" width="3.5" style="1" customWidth="1"/>
    <col min="14873" max="15103" width="9" style="1"/>
    <col min="15104" max="15104" width="5" style="1" customWidth="1"/>
    <col min="15105" max="15105" width="20.5" style="1" customWidth="1"/>
    <col min="15106" max="15106" width="2.375" style="1" customWidth="1"/>
    <col min="15107" max="15107" width="3.75" style="1" customWidth="1"/>
    <col min="15108" max="15109" width="5" style="1" customWidth="1"/>
    <col min="15110" max="15111" width="3.75" style="1" customWidth="1"/>
    <col min="15112" max="15113" width="5" style="1" customWidth="1"/>
    <col min="15114" max="15115" width="3.75" style="1" customWidth="1"/>
    <col min="15116" max="15117" width="5" style="1" customWidth="1"/>
    <col min="15118" max="15119" width="3.75" style="1" customWidth="1"/>
    <col min="15120" max="15121" width="5" style="1" customWidth="1"/>
    <col min="15122" max="15123" width="3.75" style="1" customWidth="1"/>
    <col min="15124" max="15125" width="5" style="1" customWidth="1"/>
    <col min="15126" max="15127" width="3.75" style="1" customWidth="1"/>
    <col min="15128" max="15128" width="3.5" style="1" customWidth="1"/>
    <col min="15129" max="15359" width="9" style="1"/>
    <col min="15360" max="15360" width="5" style="1" customWidth="1"/>
    <col min="15361" max="15361" width="20.5" style="1" customWidth="1"/>
    <col min="15362" max="15362" width="2.375" style="1" customWidth="1"/>
    <col min="15363" max="15363" width="3.75" style="1" customWidth="1"/>
    <col min="15364" max="15365" width="5" style="1" customWidth="1"/>
    <col min="15366" max="15367" width="3.75" style="1" customWidth="1"/>
    <col min="15368" max="15369" width="5" style="1" customWidth="1"/>
    <col min="15370" max="15371" width="3.75" style="1" customWidth="1"/>
    <col min="15372" max="15373" width="5" style="1" customWidth="1"/>
    <col min="15374" max="15375" width="3.75" style="1" customWidth="1"/>
    <col min="15376" max="15377" width="5" style="1" customWidth="1"/>
    <col min="15378" max="15379" width="3.75" style="1" customWidth="1"/>
    <col min="15380" max="15381" width="5" style="1" customWidth="1"/>
    <col min="15382" max="15383" width="3.75" style="1" customWidth="1"/>
    <col min="15384" max="15384" width="3.5" style="1" customWidth="1"/>
    <col min="15385" max="15615" width="9" style="1"/>
    <col min="15616" max="15616" width="5" style="1" customWidth="1"/>
    <col min="15617" max="15617" width="20.5" style="1" customWidth="1"/>
    <col min="15618" max="15618" width="2.375" style="1" customWidth="1"/>
    <col min="15619" max="15619" width="3.75" style="1" customWidth="1"/>
    <col min="15620" max="15621" width="5" style="1" customWidth="1"/>
    <col min="15622" max="15623" width="3.75" style="1" customWidth="1"/>
    <col min="15624" max="15625" width="5" style="1" customWidth="1"/>
    <col min="15626" max="15627" width="3.75" style="1" customWidth="1"/>
    <col min="15628" max="15629" width="5" style="1" customWidth="1"/>
    <col min="15630" max="15631" width="3.75" style="1" customWidth="1"/>
    <col min="15632" max="15633" width="5" style="1" customWidth="1"/>
    <col min="15634" max="15635" width="3.75" style="1" customWidth="1"/>
    <col min="15636" max="15637" width="5" style="1" customWidth="1"/>
    <col min="15638" max="15639" width="3.75" style="1" customWidth="1"/>
    <col min="15640" max="15640" width="3.5" style="1" customWidth="1"/>
    <col min="15641" max="15871" width="9" style="1"/>
    <col min="15872" max="15872" width="5" style="1" customWidth="1"/>
    <col min="15873" max="15873" width="20.5" style="1" customWidth="1"/>
    <col min="15874" max="15874" width="2.375" style="1" customWidth="1"/>
    <col min="15875" max="15875" width="3.75" style="1" customWidth="1"/>
    <col min="15876" max="15877" width="5" style="1" customWidth="1"/>
    <col min="15878" max="15879" width="3.75" style="1" customWidth="1"/>
    <col min="15880" max="15881" width="5" style="1" customWidth="1"/>
    <col min="15882" max="15883" width="3.75" style="1" customWidth="1"/>
    <col min="15884" max="15885" width="5" style="1" customWidth="1"/>
    <col min="15886" max="15887" width="3.75" style="1" customWidth="1"/>
    <col min="15888" max="15889" width="5" style="1" customWidth="1"/>
    <col min="15890" max="15891" width="3.75" style="1" customWidth="1"/>
    <col min="15892" max="15893" width="5" style="1" customWidth="1"/>
    <col min="15894" max="15895" width="3.75" style="1" customWidth="1"/>
    <col min="15896" max="15896" width="3.5" style="1" customWidth="1"/>
    <col min="15897" max="16127" width="9" style="1"/>
    <col min="16128" max="16128" width="5" style="1" customWidth="1"/>
    <col min="16129" max="16129" width="20.5" style="1" customWidth="1"/>
    <col min="16130" max="16130" width="2.375" style="1" customWidth="1"/>
    <col min="16131" max="16131" width="3.75" style="1" customWidth="1"/>
    <col min="16132" max="16133" width="5" style="1" customWidth="1"/>
    <col min="16134" max="16135" width="3.75" style="1" customWidth="1"/>
    <col min="16136" max="16137" width="5" style="1" customWidth="1"/>
    <col min="16138" max="16139" width="3.75" style="1" customWidth="1"/>
    <col min="16140" max="16141" width="5" style="1" customWidth="1"/>
    <col min="16142" max="16143" width="3.75" style="1" customWidth="1"/>
    <col min="16144" max="16145" width="5" style="1" customWidth="1"/>
    <col min="16146" max="16147" width="3.75" style="1" customWidth="1"/>
    <col min="16148" max="16149" width="5" style="1" customWidth="1"/>
    <col min="16150" max="16151" width="3.75" style="1" customWidth="1"/>
    <col min="16152" max="16152" width="3.5" style="1" customWidth="1"/>
    <col min="16153" max="16383" width="9" style="1"/>
    <col min="16384" max="16384" width="9" style="1" customWidth="1"/>
  </cols>
  <sheetData>
    <row r="1" spans="1:29" x14ac:dyDescent="0.2">
      <c r="A1" s="2" t="s">
        <v>0</v>
      </c>
      <c r="K1" s="127" t="s">
        <v>23</v>
      </c>
      <c r="L1" s="127"/>
      <c r="M1" s="127"/>
    </row>
    <row r="2" spans="1:29" x14ac:dyDescent="0.2">
      <c r="A2" s="2" t="s">
        <v>18</v>
      </c>
      <c r="K2" s="127"/>
      <c r="L2" s="127"/>
      <c r="M2" s="127"/>
      <c r="U2" s="128" t="str">
        <f ca="1">Y2</f>
        <v>PE8</v>
      </c>
      <c r="V2" s="128"/>
      <c r="W2" s="128"/>
      <c r="Y2" s="5" t="str">
        <f ca="1">MID(CELL("filename",A1),FIND("]",CELL("filename",A1))+1,256)</f>
        <v>PE8</v>
      </c>
    </row>
    <row r="3" spans="1:29" x14ac:dyDescent="0.2">
      <c r="A3" s="2" t="s">
        <v>1</v>
      </c>
      <c r="U3" s="128"/>
      <c r="V3" s="128"/>
      <c r="W3" s="128"/>
    </row>
    <row r="4" spans="1:29" x14ac:dyDescent="0.2">
      <c r="A4" s="8" t="s">
        <v>19</v>
      </c>
      <c r="I4" s="127" t="s">
        <v>3</v>
      </c>
      <c r="J4" s="127"/>
      <c r="K4" s="127"/>
      <c r="L4" s="127"/>
      <c r="M4" s="127"/>
      <c r="N4" s="127"/>
      <c r="O4" s="127"/>
      <c r="U4" s="128"/>
      <c r="V4" s="128"/>
      <c r="W4" s="128"/>
    </row>
    <row r="5" spans="1:29" x14ac:dyDescent="0.2">
      <c r="A5" s="9" t="s">
        <v>21</v>
      </c>
      <c r="B5" s="2" t="s">
        <v>27</v>
      </c>
      <c r="I5" s="127"/>
      <c r="J5" s="127"/>
      <c r="K5" s="127"/>
      <c r="L5" s="127"/>
      <c r="M5" s="127"/>
      <c r="N5" s="127"/>
      <c r="O5" s="127"/>
    </row>
    <row r="6" spans="1:29" ht="13.5" thickBot="1" x14ac:dyDescent="0.25"/>
    <row r="7" spans="1:29" ht="15.95" customHeight="1" thickTop="1" thickBot="1" x14ac:dyDescent="0.25">
      <c r="A7" s="150" t="s">
        <v>4</v>
      </c>
      <c r="B7" s="130"/>
      <c r="C7" s="130"/>
      <c r="D7" s="131" t="s">
        <v>311</v>
      </c>
      <c r="E7" s="132"/>
      <c r="F7" s="133"/>
      <c r="G7" s="134"/>
      <c r="H7" s="131" t="s">
        <v>312</v>
      </c>
      <c r="I7" s="132"/>
      <c r="J7" s="133"/>
      <c r="K7" s="134"/>
      <c r="L7" s="131" t="s">
        <v>318</v>
      </c>
      <c r="M7" s="132"/>
      <c r="N7" s="133"/>
      <c r="O7" s="134"/>
      <c r="P7" s="131" t="s">
        <v>315</v>
      </c>
      <c r="Q7" s="132"/>
      <c r="R7" s="133"/>
      <c r="S7" s="134"/>
      <c r="T7" s="131"/>
      <c r="U7" s="132"/>
      <c r="V7" s="133"/>
      <c r="W7" s="134"/>
      <c r="X7" s="131"/>
      <c r="Y7" s="132"/>
      <c r="Z7" s="133"/>
      <c r="AA7" s="134"/>
    </row>
    <row r="8" spans="1:29" ht="15" customHeight="1" thickTop="1" x14ac:dyDescent="0.2">
      <c r="A8" s="147" t="s">
        <v>5</v>
      </c>
      <c r="B8" s="136" t="s">
        <v>6</v>
      </c>
      <c r="C8" s="142" t="s">
        <v>25</v>
      </c>
      <c r="D8" s="138" t="s">
        <v>7</v>
      </c>
      <c r="E8" s="139"/>
      <c r="F8" s="140"/>
      <c r="G8" s="141"/>
      <c r="H8" s="144" t="s">
        <v>8</v>
      </c>
      <c r="I8" s="145"/>
      <c r="J8" s="145"/>
      <c r="K8" s="146"/>
      <c r="L8" s="144" t="s">
        <v>9</v>
      </c>
      <c r="M8" s="145"/>
      <c r="N8" s="145"/>
      <c r="O8" s="146"/>
      <c r="P8" s="138" t="s">
        <v>10</v>
      </c>
      <c r="Q8" s="139"/>
      <c r="R8" s="140"/>
      <c r="S8" s="141"/>
      <c r="T8" s="138" t="s">
        <v>11</v>
      </c>
      <c r="U8" s="139"/>
      <c r="V8" s="140"/>
      <c r="W8" s="141"/>
      <c r="X8" s="138" t="s">
        <v>24</v>
      </c>
      <c r="Y8" s="139"/>
      <c r="Z8" s="140"/>
      <c r="AA8" s="141"/>
    </row>
    <row r="9" spans="1:29" s="3" customFormat="1" ht="67.5" customHeight="1" thickBot="1" x14ac:dyDescent="0.3">
      <c r="A9" s="148"/>
      <c r="B9" s="137"/>
      <c r="C9" s="149"/>
      <c r="D9" s="10" t="s">
        <v>12</v>
      </c>
      <c r="E9" s="11" t="s">
        <v>13</v>
      </c>
      <c r="F9" s="12" t="s">
        <v>14</v>
      </c>
      <c r="G9" s="13" t="s">
        <v>15</v>
      </c>
      <c r="H9" s="10" t="s">
        <v>12</v>
      </c>
      <c r="I9" s="11" t="s">
        <v>13</v>
      </c>
      <c r="J9" s="12" t="s">
        <v>14</v>
      </c>
      <c r="K9" s="13" t="s">
        <v>15</v>
      </c>
      <c r="L9" s="10" t="s">
        <v>12</v>
      </c>
      <c r="M9" s="11" t="s">
        <v>13</v>
      </c>
      <c r="N9" s="12" t="s">
        <v>14</v>
      </c>
      <c r="O9" s="13" t="s">
        <v>15</v>
      </c>
      <c r="P9" s="10" t="s">
        <v>12</v>
      </c>
      <c r="Q9" s="11" t="s">
        <v>13</v>
      </c>
      <c r="R9" s="12" t="s">
        <v>14</v>
      </c>
      <c r="S9" s="13" t="s">
        <v>15</v>
      </c>
      <c r="T9" s="10" t="s">
        <v>12</v>
      </c>
      <c r="U9" s="11" t="s">
        <v>13</v>
      </c>
      <c r="V9" s="12" t="s">
        <v>14</v>
      </c>
      <c r="W9" s="13" t="s">
        <v>15</v>
      </c>
      <c r="X9" s="10" t="s">
        <v>12</v>
      </c>
      <c r="Y9" s="11" t="s">
        <v>13</v>
      </c>
      <c r="Z9" s="12" t="s">
        <v>14</v>
      </c>
      <c r="AA9" s="13" t="s">
        <v>15</v>
      </c>
      <c r="AC9" s="152" t="s">
        <v>319</v>
      </c>
    </row>
    <row r="10" spans="1:29" ht="18" customHeight="1" thickTop="1" x14ac:dyDescent="0.25">
      <c r="A10" s="53" t="s">
        <v>154</v>
      </c>
      <c r="B10" s="54" t="s">
        <v>169</v>
      </c>
      <c r="C10" s="50" t="s">
        <v>242</v>
      </c>
      <c r="D10" s="49"/>
      <c r="E10" s="50">
        <v>1.5</v>
      </c>
      <c r="F10" s="52"/>
      <c r="G10" s="51"/>
      <c r="H10" s="49" t="s">
        <v>242</v>
      </c>
      <c r="I10" s="50">
        <v>1</v>
      </c>
      <c r="J10" s="52"/>
      <c r="K10" s="51"/>
      <c r="L10" s="49"/>
      <c r="M10" s="50">
        <v>1.5</v>
      </c>
      <c r="N10" s="52"/>
      <c r="O10" s="51"/>
      <c r="P10" s="49" t="s">
        <v>242</v>
      </c>
      <c r="Q10" s="50">
        <v>1.2</v>
      </c>
      <c r="R10" s="52"/>
      <c r="S10" s="51"/>
      <c r="T10" s="49" t="s">
        <v>242</v>
      </c>
      <c r="U10" s="50">
        <v>5.5</v>
      </c>
      <c r="V10" s="52"/>
      <c r="W10" s="51"/>
      <c r="X10" s="49" t="s">
        <v>242</v>
      </c>
      <c r="Y10" s="50">
        <v>5</v>
      </c>
      <c r="Z10" s="52"/>
      <c r="AA10" s="51"/>
      <c r="AC10" s="153">
        <f>(E10+I10+M10+Q10+U10+Y10)/2</f>
        <v>7.85</v>
      </c>
    </row>
    <row r="11" spans="1:29" s="3" customFormat="1" ht="18" customHeight="1" x14ac:dyDescent="0.25">
      <c r="A11" s="53" t="s">
        <v>155</v>
      </c>
      <c r="B11" s="54" t="s">
        <v>170</v>
      </c>
      <c r="C11" s="30" t="s">
        <v>242</v>
      </c>
      <c r="D11" s="29"/>
      <c r="E11" s="30">
        <v>1.5</v>
      </c>
      <c r="F11" s="32"/>
      <c r="G11" s="33"/>
      <c r="H11" s="29" t="s">
        <v>242</v>
      </c>
      <c r="I11" s="30">
        <v>2</v>
      </c>
      <c r="J11" s="32"/>
      <c r="K11" s="33"/>
      <c r="L11" s="29" t="s">
        <v>242</v>
      </c>
      <c r="M11" s="30">
        <v>2</v>
      </c>
      <c r="N11" s="32"/>
      <c r="O11" s="33"/>
      <c r="P11" s="29" t="s">
        <v>242</v>
      </c>
      <c r="Q11" s="30">
        <v>1.7</v>
      </c>
      <c r="R11" s="32"/>
      <c r="S11" s="33"/>
      <c r="T11" s="29" t="s">
        <v>242</v>
      </c>
      <c r="U11" s="30">
        <v>5.5</v>
      </c>
      <c r="V11" s="32"/>
      <c r="W11" s="33"/>
      <c r="X11" s="29" t="s">
        <v>242</v>
      </c>
      <c r="Y11" s="30">
        <v>5</v>
      </c>
      <c r="Z11" s="32"/>
      <c r="AA11" s="33"/>
      <c r="AC11" s="153">
        <f t="shared" ref="AC11:AC24" si="0">(E11+I11+M11+Q11+U11+Y11)/2</f>
        <v>8.85</v>
      </c>
    </row>
    <row r="12" spans="1:29" ht="18" customHeight="1" x14ac:dyDescent="0.25">
      <c r="A12" s="53" t="s">
        <v>156</v>
      </c>
      <c r="B12" s="54" t="s">
        <v>171</v>
      </c>
      <c r="C12" s="30" t="s">
        <v>242</v>
      </c>
      <c r="D12" s="29"/>
      <c r="E12" s="30">
        <v>1</v>
      </c>
      <c r="F12" s="32"/>
      <c r="G12" s="33"/>
      <c r="H12" s="29" t="s">
        <v>242</v>
      </c>
      <c r="I12" s="30">
        <v>1</v>
      </c>
      <c r="J12" s="32"/>
      <c r="K12" s="72"/>
      <c r="L12" s="29"/>
      <c r="M12" s="30">
        <v>1.5</v>
      </c>
      <c r="N12" s="32"/>
      <c r="O12" s="33"/>
      <c r="P12" s="29" t="s">
        <v>242</v>
      </c>
      <c r="Q12" s="30">
        <v>1.2</v>
      </c>
      <c r="R12" s="32"/>
      <c r="S12" s="33"/>
      <c r="T12" s="29" t="s">
        <v>242</v>
      </c>
      <c r="U12" s="30">
        <v>6</v>
      </c>
      <c r="V12" s="32"/>
      <c r="W12" s="33"/>
      <c r="X12" s="29" t="s">
        <v>242</v>
      </c>
      <c r="Y12" s="30">
        <v>6</v>
      </c>
      <c r="Z12" s="32"/>
      <c r="AA12" s="33"/>
      <c r="AC12" s="153">
        <f t="shared" si="0"/>
        <v>8.35</v>
      </c>
    </row>
    <row r="13" spans="1:29" ht="18" customHeight="1" x14ac:dyDescent="0.25">
      <c r="A13" s="64" t="s">
        <v>157</v>
      </c>
      <c r="B13" s="65" t="s">
        <v>172</v>
      </c>
      <c r="C13" s="44" t="s">
        <v>242</v>
      </c>
      <c r="D13" s="43"/>
      <c r="E13" s="44">
        <v>1.5</v>
      </c>
      <c r="F13" s="35"/>
      <c r="G13" s="56"/>
      <c r="H13" s="43" t="s">
        <v>242</v>
      </c>
      <c r="I13" s="44">
        <v>1</v>
      </c>
      <c r="J13" s="35"/>
      <c r="K13" s="56"/>
      <c r="L13" s="43"/>
      <c r="M13" s="30">
        <v>1.5</v>
      </c>
      <c r="N13" s="35"/>
      <c r="O13" s="56"/>
      <c r="P13" s="43" t="s">
        <v>242</v>
      </c>
      <c r="Q13" s="44">
        <v>2</v>
      </c>
      <c r="R13" s="35"/>
      <c r="S13" s="56"/>
      <c r="T13" s="43" t="s">
        <v>242</v>
      </c>
      <c r="U13" s="44">
        <v>6</v>
      </c>
      <c r="V13" s="35"/>
      <c r="W13" s="56"/>
      <c r="X13" s="43" t="s">
        <v>242</v>
      </c>
      <c r="Y13" s="44">
        <v>6</v>
      </c>
      <c r="Z13" s="35"/>
      <c r="AA13" s="56"/>
      <c r="AC13" s="153">
        <f t="shared" si="0"/>
        <v>9</v>
      </c>
    </row>
    <row r="14" spans="1:29" ht="18" customHeight="1" x14ac:dyDescent="0.25">
      <c r="A14" s="53" t="s">
        <v>158</v>
      </c>
      <c r="B14" s="54" t="s">
        <v>173</v>
      </c>
      <c r="C14" s="30" t="s">
        <v>242</v>
      </c>
      <c r="D14" s="29"/>
      <c r="E14" s="30">
        <v>1.5</v>
      </c>
      <c r="F14" s="32"/>
      <c r="G14" s="33"/>
      <c r="H14" s="29" t="s">
        <v>242</v>
      </c>
      <c r="I14" s="30">
        <v>1</v>
      </c>
      <c r="J14" s="35"/>
      <c r="K14" s="33"/>
      <c r="L14" s="29"/>
      <c r="M14" s="30">
        <v>1.5</v>
      </c>
      <c r="N14" s="32"/>
      <c r="O14" s="33"/>
      <c r="P14" s="29" t="s">
        <v>242</v>
      </c>
      <c r="Q14" s="30">
        <v>0.7</v>
      </c>
      <c r="R14" s="32"/>
      <c r="S14" s="33"/>
      <c r="T14" s="29" t="s">
        <v>242</v>
      </c>
      <c r="U14" s="30">
        <v>5</v>
      </c>
      <c r="V14" s="32"/>
      <c r="W14" s="33"/>
      <c r="X14" s="29" t="s">
        <v>242</v>
      </c>
      <c r="Y14" s="30">
        <v>6</v>
      </c>
      <c r="Z14" s="32"/>
      <c r="AA14" s="33"/>
      <c r="AC14" s="153">
        <f t="shared" si="0"/>
        <v>7.85</v>
      </c>
    </row>
    <row r="15" spans="1:29" ht="18" customHeight="1" x14ac:dyDescent="0.25">
      <c r="A15" s="53" t="s">
        <v>159</v>
      </c>
      <c r="B15" s="54" t="s">
        <v>174</v>
      </c>
      <c r="C15" s="30" t="s">
        <v>242</v>
      </c>
      <c r="D15" s="29"/>
      <c r="E15" s="30">
        <v>1</v>
      </c>
      <c r="F15" s="32"/>
      <c r="G15" s="33"/>
      <c r="H15" s="29" t="s">
        <v>242</v>
      </c>
      <c r="I15" s="30">
        <v>0.8</v>
      </c>
      <c r="J15" s="32"/>
      <c r="K15" s="33"/>
      <c r="L15" s="29"/>
      <c r="M15" s="30">
        <v>1.5</v>
      </c>
      <c r="N15" s="32"/>
      <c r="O15" s="33"/>
      <c r="P15" s="29" t="s">
        <v>242</v>
      </c>
      <c r="Q15" s="30">
        <v>1</v>
      </c>
      <c r="R15" s="32"/>
      <c r="S15" s="33"/>
      <c r="T15" s="29" t="s">
        <v>242</v>
      </c>
      <c r="U15" s="30">
        <v>6</v>
      </c>
      <c r="V15" s="32"/>
      <c r="W15" s="33"/>
      <c r="X15" s="29" t="s">
        <v>242</v>
      </c>
      <c r="Y15" s="30">
        <v>6</v>
      </c>
      <c r="Z15" s="32"/>
      <c r="AA15" s="33"/>
      <c r="AC15" s="153">
        <f t="shared" si="0"/>
        <v>8.15</v>
      </c>
    </row>
    <row r="16" spans="1:29" ht="18" customHeight="1" x14ac:dyDescent="0.25">
      <c r="A16" s="53" t="s">
        <v>160</v>
      </c>
      <c r="B16" s="53" t="s">
        <v>175</v>
      </c>
      <c r="C16" s="30" t="s">
        <v>242</v>
      </c>
      <c r="D16" s="29"/>
      <c r="E16" s="30">
        <v>1</v>
      </c>
      <c r="F16" s="32"/>
      <c r="G16" s="33"/>
      <c r="H16" s="29" t="s">
        <v>242</v>
      </c>
      <c r="I16" s="30">
        <v>1.5</v>
      </c>
      <c r="J16" s="35"/>
      <c r="K16" s="33"/>
      <c r="L16" s="29"/>
      <c r="M16" s="30">
        <v>1.5</v>
      </c>
      <c r="N16" s="32"/>
      <c r="O16" s="33"/>
      <c r="P16" s="29" t="s">
        <v>242</v>
      </c>
      <c r="Q16" s="30">
        <v>1.2</v>
      </c>
      <c r="R16" s="32"/>
      <c r="S16" s="33"/>
      <c r="T16" s="29" t="s">
        <v>242</v>
      </c>
      <c r="U16" s="30">
        <v>4</v>
      </c>
      <c r="V16" s="32"/>
      <c r="W16" s="33"/>
      <c r="X16" s="29" t="s">
        <v>242</v>
      </c>
      <c r="Y16" s="30">
        <v>6</v>
      </c>
      <c r="Z16" s="32"/>
      <c r="AA16" s="33"/>
      <c r="AC16" s="153">
        <f t="shared" si="0"/>
        <v>7.6</v>
      </c>
    </row>
    <row r="17" spans="1:29" ht="18" customHeight="1" x14ac:dyDescent="0.25">
      <c r="A17" s="53" t="s">
        <v>161</v>
      </c>
      <c r="B17" s="53" t="s">
        <v>176</v>
      </c>
      <c r="C17" s="30" t="s">
        <v>242</v>
      </c>
      <c r="D17" s="29"/>
      <c r="E17" s="30">
        <v>1</v>
      </c>
      <c r="F17" s="32"/>
      <c r="G17" s="33"/>
      <c r="H17" s="29" t="s">
        <v>242</v>
      </c>
      <c r="I17" s="30">
        <v>1</v>
      </c>
      <c r="J17" s="32"/>
      <c r="K17" s="33"/>
      <c r="L17" s="29"/>
      <c r="M17" s="30">
        <v>1.5</v>
      </c>
      <c r="N17" s="32"/>
      <c r="O17" s="33"/>
      <c r="P17" s="29" t="s">
        <v>242</v>
      </c>
      <c r="Q17" s="30">
        <v>2</v>
      </c>
      <c r="R17" s="32"/>
      <c r="S17" s="33"/>
      <c r="T17" s="29" t="s">
        <v>242</v>
      </c>
      <c r="U17" s="30">
        <v>5.5</v>
      </c>
      <c r="V17" s="32"/>
      <c r="W17" s="33"/>
      <c r="X17" s="29" t="s">
        <v>242</v>
      </c>
      <c r="Y17" s="30">
        <v>5.5</v>
      </c>
      <c r="Z17" s="32"/>
      <c r="AA17" s="33"/>
      <c r="AC17" s="153">
        <f t="shared" si="0"/>
        <v>8.25</v>
      </c>
    </row>
    <row r="18" spans="1:29" ht="18" customHeight="1" x14ac:dyDescent="0.25">
      <c r="A18" s="53" t="s">
        <v>162</v>
      </c>
      <c r="B18" s="53" t="s">
        <v>177</v>
      </c>
      <c r="C18" s="30" t="s">
        <v>242</v>
      </c>
      <c r="D18" s="29"/>
      <c r="E18" s="30">
        <v>1</v>
      </c>
      <c r="F18" s="32"/>
      <c r="G18" s="33"/>
      <c r="H18" s="29" t="s">
        <v>242</v>
      </c>
      <c r="I18" s="30">
        <v>1</v>
      </c>
      <c r="J18" s="32"/>
      <c r="K18" s="33"/>
      <c r="L18" s="29"/>
      <c r="M18" s="30">
        <v>1.5</v>
      </c>
      <c r="N18" s="32"/>
      <c r="O18" s="33"/>
      <c r="P18" s="29" t="s">
        <v>242</v>
      </c>
      <c r="Q18" s="30">
        <v>0.7</v>
      </c>
      <c r="R18" s="32"/>
      <c r="S18" s="33"/>
      <c r="T18" s="29" t="s">
        <v>242</v>
      </c>
      <c r="U18" s="30">
        <v>5</v>
      </c>
      <c r="V18" s="32"/>
      <c r="W18" s="33"/>
      <c r="X18" s="29" t="s">
        <v>242</v>
      </c>
      <c r="Y18" s="30">
        <v>5.5</v>
      </c>
      <c r="Z18" s="32"/>
      <c r="AA18" s="33"/>
      <c r="AC18" s="153">
        <f t="shared" si="0"/>
        <v>7.35</v>
      </c>
    </row>
    <row r="19" spans="1:29" ht="18" customHeight="1" x14ac:dyDescent="0.25">
      <c r="A19" s="53" t="s">
        <v>163</v>
      </c>
      <c r="B19" s="47" t="s">
        <v>178</v>
      </c>
      <c r="C19" s="30" t="s">
        <v>242</v>
      </c>
      <c r="D19" s="29"/>
      <c r="E19" s="30">
        <v>1</v>
      </c>
      <c r="F19" s="32"/>
      <c r="G19" s="33"/>
      <c r="H19" s="29" t="s">
        <v>242</v>
      </c>
      <c r="I19" s="30">
        <v>1</v>
      </c>
      <c r="J19" s="32"/>
      <c r="K19" s="33"/>
      <c r="L19" s="29"/>
      <c r="M19" s="30">
        <v>1.5</v>
      </c>
      <c r="N19" s="32"/>
      <c r="O19" s="33"/>
      <c r="P19" s="29" t="s">
        <v>242</v>
      </c>
      <c r="Q19" s="30">
        <v>0.7</v>
      </c>
      <c r="R19" s="35"/>
      <c r="S19" s="33"/>
      <c r="T19" s="29" t="s">
        <v>242</v>
      </c>
      <c r="U19" s="30">
        <v>5</v>
      </c>
      <c r="V19" s="32"/>
      <c r="W19" s="33"/>
      <c r="X19" s="29" t="s">
        <v>242</v>
      </c>
      <c r="Y19" s="30">
        <v>6</v>
      </c>
      <c r="Z19" s="32"/>
      <c r="AA19" s="33"/>
      <c r="AC19" s="153">
        <f t="shared" si="0"/>
        <v>7.6</v>
      </c>
    </row>
    <row r="20" spans="1:29" ht="18" customHeight="1" x14ac:dyDescent="0.25">
      <c r="A20" s="64" t="s">
        <v>164</v>
      </c>
      <c r="B20" s="65" t="s">
        <v>179</v>
      </c>
      <c r="C20" s="44" t="s">
        <v>242</v>
      </c>
      <c r="D20" s="43"/>
      <c r="E20" s="44">
        <v>1.5</v>
      </c>
      <c r="F20" s="35"/>
      <c r="G20" s="56"/>
      <c r="H20" s="43" t="s">
        <v>242</v>
      </c>
      <c r="I20" s="44">
        <v>2</v>
      </c>
      <c r="J20" s="35"/>
      <c r="K20" s="56"/>
      <c r="L20" s="43"/>
      <c r="M20" s="30">
        <v>1.5</v>
      </c>
      <c r="N20" s="35"/>
      <c r="O20" s="56"/>
      <c r="P20" s="43" t="s">
        <v>242</v>
      </c>
      <c r="Q20" s="44">
        <v>1.5</v>
      </c>
      <c r="R20" s="35"/>
      <c r="S20" s="56"/>
      <c r="T20" s="43" t="s">
        <v>242</v>
      </c>
      <c r="U20" s="44">
        <v>6</v>
      </c>
      <c r="V20" s="35"/>
      <c r="W20" s="56"/>
      <c r="X20" s="43" t="s">
        <v>242</v>
      </c>
      <c r="Y20" s="44">
        <v>6</v>
      </c>
      <c r="Z20" s="35"/>
      <c r="AA20" s="56"/>
      <c r="AC20" s="153">
        <f t="shared" si="0"/>
        <v>9.25</v>
      </c>
    </row>
    <row r="21" spans="1:29" ht="18" customHeight="1" x14ac:dyDescent="0.25">
      <c r="A21" s="53" t="s">
        <v>165</v>
      </c>
      <c r="B21" s="54" t="s">
        <v>180</v>
      </c>
      <c r="C21" s="30" t="s">
        <v>242</v>
      </c>
      <c r="D21" s="29"/>
      <c r="E21" s="30">
        <v>1</v>
      </c>
      <c r="F21" s="32"/>
      <c r="G21" s="33"/>
      <c r="H21" s="29" t="s">
        <v>242</v>
      </c>
      <c r="I21" s="30">
        <v>0.8</v>
      </c>
      <c r="J21" s="32"/>
      <c r="K21" s="33"/>
      <c r="L21" s="29"/>
      <c r="M21" s="30">
        <v>1.5</v>
      </c>
      <c r="N21" s="32"/>
      <c r="O21" s="33"/>
      <c r="P21" s="29" t="s">
        <v>242</v>
      </c>
      <c r="Q21" s="30">
        <v>0.7</v>
      </c>
      <c r="R21" s="32"/>
      <c r="S21" s="33"/>
      <c r="T21" s="29" t="s">
        <v>242</v>
      </c>
      <c r="U21" s="30">
        <v>4</v>
      </c>
      <c r="V21" s="32"/>
      <c r="W21" s="33"/>
      <c r="X21" s="29" t="s">
        <v>242</v>
      </c>
      <c r="Y21" s="30">
        <v>3</v>
      </c>
      <c r="Z21" s="32"/>
      <c r="AA21" s="33"/>
      <c r="AC21" s="153">
        <f t="shared" si="0"/>
        <v>5.5</v>
      </c>
    </row>
    <row r="22" spans="1:29" ht="18" customHeight="1" x14ac:dyDescent="0.25">
      <c r="A22" s="53" t="s">
        <v>166</v>
      </c>
      <c r="B22" s="53" t="s">
        <v>181</v>
      </c>
      <c r="C22" s="30" t="s">
        <v>242</v>
      </c>
      <c r="D22" s="29"/>
      <c r="E22" s="30">
        <v>1</v>
      </c>
      <c r="F22" s="32"/>
      <c r="G22" s="33"/>
      <c r="H22" s="29" t="s">
        <v>242</v>
      </c>
      <c r="I22" s="30">
        <v>0.8</v>
      </c>
      <c r="J22" s="32"/>
      <c r="K22" s="33"/>
      <c r="L22" s="29"/>
      <c r="M22" s="30">
        <v>1.5</v>
      </c>
      <c r="N22" s="32"/>
      <c r="O22" s="33"/>
      <c r="P22" s="29" t="s">
        <v>242</v>
      </c>
      <c r="Q22" s="30">
        <v>2</v>
      </c>
      <c r="R22" s="32"/>
      <c r="S22" s="33"/>
      <c r="T22" s="29" t="s">
        <v>242</v>
      </c>
      <c r="U22" s="30">
        <v>4.5</v>
      </c>
      <c r="V22" s="32"/>
      <c r="W22" s="33"/>
      <c r="X22" s="29" t="s">
        <v>242</v>
      </c>
      <c r="Y22" s="30">
        <v>6</v>
      </c>
      <c r="Z22" s="32"/>
      <c r="AA22" s="33"/>
      <c r="AC22" s="153">
        <f t="shared" si="0"/>
        <v>7.9</v>
      </c>
    </row>
    <row r="23" spans="1:29" ht="18" customHeight="1" x14ac:dyDescent="0.25">
      <c r="A23" s="53" t="s">
        <v>167</v>
      </c>
      <c r="B23" s="54" t="s">
        <v>182</v>
      </c>
      <c r="C23" s="30" t="s">
        <v>242</v>
      </c>
      <c r="D23" s="29"/>
      <c r="E23" s="30">
        <v>1.5</v>
      </c>
      <c r="F23" s="32"/>
      <c r="G23" s="33"/>
      <c r="H23" s="29" t="s">
        <v>242</v>
      </c>
      <c r="I23" s="30">
        <v>1</v>
      </c>
      <c r="J23" s="32"/>
      <c r="K23" s="33"/>
      <c r="L23" s="29"/>
      <c r="M23" s="30">
        <v>1.5</v>
      </c>
      <c r="N23" s="32"/>
      <c r="O23" s="33"/>
      <c r="P23" s="29" t="s">
        <v>242</v>
      </c>
      <c r="Q23" s="30">
        <v>2</v>
      </c>
      <c r="R23" s="32"/>
      <c r="S23" s="33"/>
      <c r="T23" s="29" t="s">
        <v>242</v>
      </c>
      <c r="U23" s="30">
        <v>6</v>
      </c>
      <c r="V23" s="32"/>
      <c r="W23" s="33"/>
      <c r="X23" s="29" t="s">
        <v>242</v>
      </c>
      <c r="Y23" s="30">
        <v>5</v>
      </c>
      <c r="Z23" s="32"/>
      <c r="AA23" s="33"/>
      <c r="AC23" s="153">
        <f t="shared" si="0"/>
        <v>8.5</v>
      </c>
    </row>
    <row r="24" spans="1:29" ht="18" customHeight="1" x14ac:dyDescent="0.2">
      <c r="A24" s="69" t="s">
        <v>168</v>
      </c>
      <c r="B24" s="70" t="s">
        <v>183</v>
      </c>
      <c r="C24" s="66" t="s">
        <v>242</v>
      </c>
      <c r="D24" s="29"/>
      <c r="E24" s="30">
        <v>1.5</v>
      </c>
      <c r="F24" s="32"/>
      <c r="G24" s="33"/>
      <c r="H24" s="29" t="s">
        <v>242</v>
      </c>
      <c r="I24" s="30">
        <v>1</v>
      </c>
      <c r="J24" s="32"/>
      <c r="K24" s="33"/>
      <c r="L24" s="29"/>
      <c r="M24" s="30">
        <v>1.5</v>
      </c>
      <c r="N24" s="32"/>
      <c r="O24" s="33"/>
      <c r="P24" s="29" t="s">
        <v>242</v>
      </c>
      <c r="Q24" s="30">
        <v>0.7</v>
      </c>
      <c r="R24" s="32"/>
      <c r="S24" s="33"/>
      <c r="T24" s="29" t="s">
        <v>242</v>
      </c>
      <c r="U24" s="30">
        <v>6</v>
      </c>
      <c r="V24" s="32"/>
      <c r="W24" s="33"/>
      <c r="X24" s="29" t="s">
        <v>242</v>
      </c>
      <c r="Y24" s="30">
        <v>4</v>
      </c>
      <c r="Z24" s="32"/>
      <c r="AA24" s="33"/>
      <c r="AC24" s="153">
        <f t="shared" si="0"/>
        <v>7.35</v>
      </c>
    </row>
    <row r="25" spans="1:29" ht="18" customHeight="1" x14ac:dyDescent="0.2">
      <c r="A25" s="69"/>
      <c r="B25" s="58"/>
      <c r="C25" s="30"/>
      <c r="D25" s="29"/>
      <c r="E25" s="30"/>
      <c r="F25" s="32"/>
      <c r="G25" s="33"/>
      <c r="H25" s="29"/>
      <c r="I25" s="30"/>
      <c r="J25" s="32"/>
      <c r="K25" s="33"/>
      <c r="L25" s="29"/>
      <c r="M25" s="30"/>
      <c r="N25" s="32"/>
      <c r="O25" s="33"/>
      <c r="P25" s="29"/>
      <c r="Q25" s="30"/>
      <c r="R25" s="32"/>
      <c r="S25" s="33"/>
      <c r="T25" s="29"/>
      <c r="U25" s="30"/>
      <c r="V25" s="32"/>
      <c r="W25" s="33"/>
      <c r="X25" s="29"/>
      <c r="Y25" s="30"/>
      <c r="Z25" s="32"/>
      <c r="AA25" s="33"/>
    </row>
    <row r="26" spans="1:29" ht="18" customHeight="1" x14ac:dyDescent="0.2">
      <c r="A26" s="22"/>
      <c r="B26" s="23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19"/>
      <c r="Y26" s="20"/>
    </row>
    <row r="27" spans="1:29" ht="18" customHeight="1" x14ac:dyDescent="0.2">
      <c r="A27" s="22"/>
      <c r="B27" s="23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19"/>
      <c r="Y27" s="20"/>
    </row>
    <row r="28" spans="1:29" ht="18" customHeight="1" x14ac:dyDescent="0.2">
      <c r="A28" s="22"/>
      <c r="B28" s="23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19"/>
      <c r="Y28" s="20"/>
    </row>
    <row r="29" spans="1:29" ht="18" customHeight="1" x14ac:dyDescent="0.2">
      <c r="A29" s="22"/>
      <c r="B29" s="23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19"/>
      <c r="Y29" s="20"/>
    </row>
    <row r="30" spans="1:29" ht="18" customHeight="1" x14ac:dyDescent="0.2">
      <c r="A30" s="22"/>
      <c r="B30" s="23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19"/>
      <c r="Y30" s="20"/>
    </row>
    <row r="31" spans="1:29" ht="18" customHeight="1" x14ac:dyDescent="0.2">
      <c r="A31" s="22"/>
      <c r="B31" s="23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19"/>
      <c r="Y31" s="20"/>
    </row>
    <row r="32" spans="1:29" x14ac:dyDescent="0.2">
      <c r="A32" s="20"/>
      <c r="B32" s="20"/>
      <c r="C32" s="20"/>
      <c r="D32" s="20"/>
      <c r="E32" s="20"/>
      <c r="F32" s="20"/>
      <c r="G32" s="20"/>
      <c r="H32" s="21"/>
      <c r="I32" s="20"/>
      <c r="J32" s="20"/>
      <c r="K32" s="20"/>
      <c r="L32" s="21"/>
      <c r="M32" s="20"/>
      <c r="N32" s="20"/>
      <c r="O32" s="20"/>
      <c r="P32" s="20"/>
      <c r="Q32" s="20"/>
      <c r="R32" s="20"/>
      <c r="S32" s="20"/>
      <c r="T32" s="21"/>
      <c r="U32" s="20"/>
      <c r="V32" s="20"/>
      <c r="W32" s="20"/>
      <c r="X32" s="20"/>
      <c r="Y32" s="20"/>
    </row>
  </sheetData>
  <mergeCells count="19">
    <mergeCell ref="X7:AA7"/>
    <mergeCell ref="X8:AA8"/>
    <mergeCell ref="K1:M2"/>
    <mergeCell ref="U2:W4"/>
    <mergeCell ref="I4:O5"/>
    <mergeCell ref="T7:W7"/>
    <mergeCell ref="L8:O8"/>
    <mergeCell ref="P8:S8"/>
    <mergeCell ref="T8:W8"/>
    <mergeCell ref="A7:C7"/>
    <mergeCell ref="D7:G7"/>
    <mergeCell ref="H7:K7"/>
    <mergeCell ref="L7:O7"/>
    <mergeCell ref="P7:S7"/>
    <mergeCell ref="A8:A9"/>
    <mergeCell ref="B8:B9"/>
    <mergeCell ref="C8:C9"/>
    <mergeCell ref="D8:G8"/>
    <mergeCell ref="H8:K8"/>
  </mergeCells>
  <pageMargins left="0.78740157480314965" right="0.39370078740157483" top="0.39370078740157483" bottom="0.39370078740157483" header="0.31496062992125984" footer="0.31496062992125984"/>
  <pageSetup paperSize="9" scale="91" orientation="landscape" r:id="rId1"/>
  <headerFooter alignWithMargins="0"/>
  <colBreaks count="1" manualBreakCount="1">
    <brk id="27" max="2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32"/>
  <sheetViews>
    <sheetView view="pageBreakPreview" zoomScaleNormal="100" zoomScaleSheetLayoutView="100" workbookViewId="0">
      <selection activeCell="AC9" sqref="AC9"/>
    </sheetView>
  </sheetViews>
  <sheetFormatPr defaultRowHeight="12.75" x14ac:dyDescent="0.2"/>
  <cols>
    <col min="1" max="1" width="6.375" style="1" customWidth="1"/>
    <col min="2" max="2" width="24.625" style="1" customWidth="1"/>
    <col min="3" max="3" width="4.125" style="1" customWidth="1"/>
    <col min="4" max="4" width="5" style="1" customWidth="1"/>
    <col min="5" max="6" width="3.875" style="1" customWidth="1"/>
    <col min="7" max="7" width="5.125" style="1" bestFit="1" customWidth="1"/>
    <col min="8" max="8" width="5" style="7" customWidth="1"/>
    <col min="9" max="10" width="3.875" style="1" customWidth="1"/>
    <col min="11" max="11" width="5.125" style="1" customWidth="1"/>
    <col min="12" max="12" width="5" style="7" customWidth="1"/>
    <col min="13" max="13" width="3.875" style="1" customWidth="1"/>
    <col min="14" max="14" width="4.25" style="1" customWidth="1"/>
    <col min="15" max="15" width="5.25" style="1" customWidth="1"/>
    <col min="16" max="16" width="5" style="1" customWidth="1"/>
    <col min="17" max="18" width="3.875" style="1" customWidth="1"/>
    <col min="19" max="19" width="4.625" style="1" customWidth="1"/>
    <col min="20" max="20" width="5" style="7" customWidth="1"/>
    <col min="21" max="21" width="3.875" style="1" customWidth="1"/>
    <col min="22" max="22" width="3.875" style="37" customWidth="1"/>
    <col min="23" max="23" width="4.625" style="1" customWidth="1"/>
    <col min="24" max="24" width="4.25" style="1" customWidth="1"/>
    <col min="25" max="25" width="4.125" style="1" customWidth="1"/>
    <col min="26" max="27" width="4.25" style="1" customWidth="1"/>
    <col min="28" max="28" width="4" style="1" customWidth="1"/>
    <col min="29" max="255" width="9" style="1"/>
    <col min="256" max="256" width="5" style="1" customWidth="1"/>
    <col min="257" max="257" width="20.5" style="1" customWidth="1"/>
    <col min="258" max="258" width="2.375" style="1" customWidth="1"/>
    <col min="259" max="259" width="3.75" style="1" customWidth="1"/>
    <col min="260" max="261" width="5" style="1" customWidth="1"/>
    <col min="262" max="263" width="3.75" style="1" customWidth="1"/>
    <col min="264" max="265" width="5" style="1" customWidth="1"/>
    <col min="266" max="267" width="3.75" style="1" customWidth="1"/>
    <col min="268" max="269" width="5" style="1" customWidth="1"/>
    <col min="270" max="271" width="3.75" style="1" customWidth="1"/>
    <col min="272" max="273" width="5" style="1" customWidth="1"/>
    <col min="274" max="275" width="3.75" style="1" customWidth="1"/>
    <col min="276" max="277" width="5" style="1" customWidth="1"/>
    <col min="278" max="279" width="3.75" style="1" customWidth="1"/>
    <col min="280" max="280" width="3.5" style="1" customWidth="1"/>
    <col min="281" max="511" width="9" style="1"/>
    <col min="512" max="512" width="5" style="1" customWidth="1"/>
    <col min="513" max="513" width="20.5" style="1" customWidth="1"/>
    <col min="514" max="514" width="2.375" style="1" customWidth="1"/>
    <col min="515" max="515" width="3.75" style="1" customWidth="1"/>
    <col min="516" max="517" width="5" style="1" customWidth="1"/>
    <col min="518" max="519" width="3.75" style="1" customWidth="1"/>
    <col min="520" max="521" width="5" style="1" customWidth="1"/>
    <col min="522" max="523" width="3.75" style="1" customWidth="1"/>
    <col min="524" max="525" width="5" style="1" customWidth="1"/>
    <col min="526" max="527" width="3.75" style="1" customWidth="1"/>
    <col min="528" max="529" width="5" style="1" customWidth="1"/>
    <col min="530" max="531" width="3.75" style="1" customWidth="1"/>
    <col min="532" max="533" width="5" style="1" customWidth="1"/>
    <col min="534" max="535" width="3.75" style="1" customWidth="1"/>
    <col min="536" max="536" width="3.5" style="1" customWidth="1"/>
    <col min="537" max="767" width="9" style="1"/>
    <col min="768" max="768" width="5" style="1" customWidth="1"/>
    <col min="769" max="769" width="20.5" style="1" customWidth="1"/>
    <col min="770" max="770" width="2.375" style="1" customWidth="1"/>
    <col min="771" max="771" width="3.75" style="1" customWidth="1"/>
    <col min="772" max="773" width="5" style="1" customWidth="1"/>
    <col min="774" max="775" width="3.75" style="1" customWidth="1"/>
    <col min="776" max="777" width="5" style="1" customWidth="1"/>
    <col min="778" max="779" width="3.75" style="1" customWidth="1"/>
    <col min="780" max="781" width="5" style="1" customWidth="1"/>
    <col min="782" max="783" width="3.75" style="1" customWidth="1"/>
    <col min="784" max="785" width="5" style="1" customWidth="1"/>
    <col min="786" max="787" width="3.75" style="1" customWidth="1"/>
    <col min="788" max="789" width="5" style="1" customWidth="1"/>
    <col min="790" max="791" width="3.75" style="1" customWidth="1"/>
    <col min="792" max="792" width="3.5" style="1" customWidth="1"/>
    <col min="793" max="1023" width="9" style="1"/>
    <col min="1024" max="1024" width="5" style="1" customWidth="1"/>
    <col min="1025" max="1025" width="20.5" style="1" customWidth="1"/>
    <col min="1026" max="1026" width="2.375" style="1" customWidth="1"/>
    <col min="1027" max="1027" width="3.75" style="1" customWidth="1"/>
    <col min="1028" max="1029" width="5" style="1" customWidth="1"/>
    <col min="1030" max="1031" width="3.75" style="1" customWidth="1"/>
    <col min="1032" max="1033" width="5" style="1" customWidth="1"/>
    <col min="1034" max="1035" width="3.75" style="1" customWidth="1"/>
    <col min="1036" max="1037" width="5" style="1" customWidth="1"/>
    <col min="1038" max="1039" width="3.75" style="1" customWidth="1"/>
    <col min="1040" max="1041" width="5" style="1" customWidth="1"/>
    <col min="1042" max="1043" width="3.75" style="1" customWidth="1"/>
    <col min="1044" max="1045" width="5" style="1" customWidth="1"/>
    <col min="1046" max="1047" width="3.75" style="1" customWidth="1"/>
    <col min="1048" max="1048" width="3.5" style="1" customWidth="1"/>
    <col min="1049" max="1279" width="9" style="1"/>
    <col min="1280" max="1280" width="5" style="1" customWidth="1"/>
    <col min="1281" max="1281" width="20.5" style="1" customWidth="1"/>
    <col min="1282" max="1282" width="2.375" style="1" customWidth="1"/>
    <col min="1283" max="1283" width="3.75" style="1" customWidth="1"/>
    <col min="1284" max="1285" width="5" style="1" customWidth="1"/>
    <col min="1286" max="1287" width="3.75" style="1" customWidth="1"/>
    <col min="1288" max="1289" width="5" style="1" customWidth="1"/>
    <col min="1290" max="1291" width="3.75" style="1" customWidth="1"/>
    <col min="1292" max="1293" width="5" style="1" customWidth="1"/>
    <col min="1294" max="1295" width="3.75" style="1" customWidth="1"/>
    <col min="1296" max="1297" width="5" style="1" customWidth="1"/>
    <col min="1298" max="1299" width="3.75" style="1" customWidth="1"/>
    <col min="1300" max="1301" width="5" style="1" customWidth="1"/>
    <col min="1302" max="1303" width="3.75" style="1" customWidth="1"/>
    <col min="1304" max="1304" width="3.5" style="1" customWidth="1"/>
    <col min="1305" max="1535" width="9" style="1"/>
    <col min="1536" max="1536" width="5" style="1" customWidth="1"/>
    <col min="1537" max="1537" width="20.5" style="1" customWidth="1"/>
    <col min="1538" max="1538" width="2.375" style="1" customWidth="1"/>
    <col min="1539" max="1539" width="3.75" style="1" customWidth="1"/>
    <col min="1540" max="1541" width="5" style="1" customWidth="1"/>
    <col min="1542" max="1543" width="3.75" style="1" customWidth="1"/>
    <col min="1544" max="1545" width="5" style="1" customWidth="1"/>
    <col min="1546" max="1547" width="3.75" style="1" customWidth="1"/>
    <col min="1548" max="1549" width="5" style="1" customWidth="1"/>
    <col min="1550" max="1551" width="3.75" style="1" customWidth="1"/>
    <col min="1552" max="1553" width="5" style="1" customWidth="1"/>
    <col min="1554" max="1555" width="3.75" style="1" customWidth="1"/>
    <col min="1556" max="1557" width="5" style="1" customWidth="1"/>
    <col min="1558" max="1559" width="3.75" style="1" customWidth="1"/>
    <col min="1560" max="1560" width="3.5" style="1" customWidth="1"/>
    <col min="1561" max="1791" width="9" style="1"/>
    <col min="1792" max="1792" width="5" style="1" customWidth="1"/>
    <col min="1793" max="1793" width="20.5" style="1" customWidth="1"/>
    <col min="1794" max="1794" width="2.375" style="1" customWidth="1"/>
    <col min="1795" max="1795" width="3.75" style="1" customWidth="1"/>
    <col min="1796" max="1797" width="5" style="1" customWidth="1"/>
    <col min="1798" max="1799" width="3.75" style="1" customWidth="1"/>
    <col min="1800" max="1801" width="5" style="1" customWidth="1"/>
    <col min="1802" max="1803" width="3.75" style="1" customWidth="1"/>
    <col min="1804" max="1805" width="5" style="1" customWidth="1"/>
    <col min="1806" max="1807" width="3.75" style="1" customWidth="1"/>
    <col min="1808" max="1809" width="5" style="1" customWidth="1"/>
    <col min="1810" max="1811" width="3.75" style="1" customWidth="1"/>
    <col min="1812" max="1813" width="5" style="1" customWidth="1"/>
    <col min="1814" max="1815" width="3.75" style="1" customWidth="1"/>
    <col min="1816" max="1816" width="3.5" style="1" customWidth="1"/>
    <col min="1817" max="2047" width="9" style="1"/>
    <col min="2048" max="2048" width="5" style="1" customWidth="1"/>
    <col min="2049" max="2049" width="20.5" style="1" customWidth="1"/>
    <col min="2050" max="2050" width="2.375" style="1" customWidth="1"/>
    <col min="2051" max="2051" width="3.75" style="1" customWidth="1"/>
    <col min="2052" max="2053" width="5" style="1" customWidth="1"/>
    <col min="2054" max="2055" width="3.75" style="1" customWidth="1"/>
    <col min="2056" max="2057" width="5" style="1" customWidth="1"/>
    <col min="2058" max="2059" width="3.75" style="1" customWidth="1"/>
    <col min="2060" max="2061" width="5" style="1" customWidth="1"/>
    <col min="2062" max="2063" width="3.75" style="1" customWidth="1"/>
    <col min="2064" max="2065" width="5" style="1" customWidth="1"/>
    <col min="2066" max="2067" width="3.75" style="1" customWidth="1"/>
    <col min="2068" max="2069" width="5" style="1" customWidth="1"/>
    <col min="2070" max="2071" width="3.75" style="1" customWidth="1"/>
    <col min="2072" max="2072" width="3.5" style="1" customWidth="1"/>
    <col min="2073" max="2303" width="9" style="1"/>
    <col min="2304" max="2304" width="5" style="1" customWidth="1"/>
    <col min="2305" max="2305" width="20.5" style="1" customWidth="1"/>
    <col min="2306" max="2306" width="2.375" style="1" customWidth="1"/>
    <col min="2307" max="2307" width="3.75" style="1" customWidth="1"/>
    <col min="2308" max="2309" width="5" style="1" customWidth="1"/>
    <col min="2310" max="2311" width="3.75" style="1" customWidth="1"/>
    <col min="2312" max="2313" width="5" style="1" customWidth="1"/>
    <col min="2314" max="2315" width="3.75" style="1" customWidth="1"/>
    <col min="2316" max="2317" width="5" style="1" customWidth="1"/>
    <col min="2318" max="2319" width="3.75" style="1" customWidth="1"/>
    <col min="2320" max="2321" width="5" style="1" customWidth="1"/>
    <col min="2322" max="2323" width="3.75" style="1" customWidth="1"/>
    <col min="2324" max="2325" width="5" style="1" customWidth="1"/>
    <col min="2326" max="2327" width="3.75" style="1" customWidth="1"/>
    <col min="2328" max="2328" width="3.5" style="1" customWidth="1"/>
    <col min="2329" max="2559" width="9" style="1"/>
    <col min="2560" max="2560" width="5" style="1" customWidth="1"/>
    <col min="2561" max="2561" width="20.5" style="1" customWidth="1"/>
    <col min="2562" max="2562" width="2.375" style="1" customWidth="1"/>
    <col min="2563" max="2563" width="3.75" style="1" customWidth="1"/>
    <col min="2564" max="2565" width="5" style="1" customWidth="1"/>
    <col min="2566" max="2567" width="3.75" style="1" customWidth="1"/>
    <col min="2568" max="2569" width="5" style="1" customWidth="1"/>
    <col min="2570" max="2571" width="3.75" style="1" customWidth="1"/>
    <col min="2572" max="2573" width="5" style="1" customWidth="1"/>
    <col min="2574" max="2575" width="3.75" style="1" customWidth="1"/>
    <col min="2576" max="2577" width="5" style="1" customWidth="1"/>
    <col min="2578" max="2579" width="3.75" style="1" customWidth="1"/>
    <col min="2580" max="2581" width="5" style="1" customWidth="1"/>
    <col min="2582" max="2583" width="3.75" style="1" customWidth="1"/>
    <col min="2584" max="2584" width="3.5" style="1" customWidth="1"/>
    <col min="2585" max="2815" width="9" style="1"/>
    <col min="2816" max="2816" width="5" style="1" customWidth="1"/>
    <col min="2817" max="2817" width="20.5" style="1" customWidth="1"/>
    <col min="2818" max="2818" width="2.375" style="1" customWidth="1"/>
    <col min="2819" max="2819" width="3.75" style="1" customWidth="1"/>
    <col min="2820" max="2821" width="5" style="1" customWidth="1"/>
    <col min="2822" max="2823" width="3.75" style="1" customWidth="1"/>
    <col min="2824" max="2825" width="5" style="1" customWidth="1"/>
    <col min="2826" max="2827" width="3.75" style="1" customWidth="1"/>
    <col min="2828" max="2829" width="5" style="1" customWidth="1"/>
    <col min="2830" max="2831" width="3.75" style="1" customWidth="1"/>
    <col min="2832" max="2833" width="5" style="1" customWidth="1"/>
    <col min="2834" max="2835" width="3.75" style="1" customWidth="1"/>
    <col min="2836" max="2837" width="5" style="1" customWidth="1"/>
    <col min="2838" max="2839" width="3.75" style="1" customWidth="1"/>
    <col min="2840" max="2840" width="3.5" style="1" customWidth="1"/>
    <col min="2841" max="3071" width="9" style="1"/>
    <col min="3072" max="3072" width="5" style="1" customWidth="1"/>
    <col min="3073" max="3073" width="20.5" style="1" customWidth="1"/>
    <col min="3074" max="3074" width="2.375" style="1" customWidth="1"/>
    <col min="3075" max="3075" width="3.75" style="1" customWidth="1"/>
    <col min="3076" max="3077" width="5" style="1" customWidth="1"/>
    <col min="3078" max="3079" width="3.75" style="1" customWidth="1"/>
    <col min="3080" max="3081" width="5" style="1" customWidth="1"/>
    <col min="3082" max="3083" width="3.75" style="1" customWidth="1"/>
    <col min="3084" max="3085" width="5" style="1" customWidth="1"/>
    <col min="3086" max="3087" width="3.75" style="1" customWidth="1"/>
    <col min="3088" max="3089" width="5" style="1" customWidth="1"/>
    <col min="3090" max="3091" width="3.75" style="1" customWidth="1"/>
    <col min="3092" max="3093" width="5" style="1" customWidth="1"/>
    <col min="3094" max="3095" width="3.75" style="1" customWidth="1"/>
    <col min="3096" max="3096" width="3.5" style="1" customWidth="1"/>
    <col min="3097" max="3327" width="9" style="1"/>
    <col min="3328" max="3328" width="5" style="1" customWidth="1"/>
    <col min="3329" max="3329" width="20.5" style="1" customWidth="1"/>
    <col min="3330" max="3330" width="2.375" style="1" customWidth="1"/>
    <col min="3331" max="3331" width="3.75" style="1" customWidth="1"/>
    <col min="3332" max="3333" width="5" style="1" customWidth="1"/>
    <col min="3334" max="3335" width="3.75" style="1" customWidth="1"/>
    <col min="3336" max="3337" width="5" style="1" customWidth="1"/>
    <col min="3338" max="3339" width="3.75" style="1" customWidth="1"/>
    <col min="3340" max="3341" width="5" style="1" customWidth="1"/>
    <col min="3342" max="3343" width="3.75" style="1" customWidth="1"/>
    <col min="3344" max="3345" width="5" style="1" customWidth="1"/>
    <col min="3346" max="3347" width="3.75" style="1" customWidth="1"/>
    <col min="3348" max="3349" width="5" style="1" customWidth="1"/>
    <col min="3350" max="3351" width="3.75" style="1" customWidth="1"/>
    <col min="3352" max="3352" width="3.5" style="1" customWidth="1"/>
    <col min="3353" max="3583" width="9" style="1"/>
    <col min="3584" max="3584" width="5" style="1" customWidth="1"/>
    <col min="3585" max="3585" width="20.5" style="1" customWidth="1"/>
    <col min="3586" max="3586" width="2.375" style="1" customWidth="1"/>
    <col min="3587" max="3587" width="3.75" style="1" customWidth="1"/>
    <col min="3588" max="3589" width="5" style="1" customWidth="1"/>
    <col min="3590" max="3591" width="3.75" style="1" customWidth="1"/>
    <col min="3592" max="3593" width="5" style="1" customWidth="1"/>
    <col min="3594" max="3595" width="3.75" style="1" customWidth="1"/>
    <col min="3596" max="3597" width="5" style="1" customWidth="1"/>
    <col min="3598" max="3599" width="3.75" style="1" customWidth="1"/>
    <col min="3600" max="3601" width="5" style="1" customWidth="1"/>
    <col min="3602" max="3603" width="3.75" style="1" customWidth="1"/>
    <col min="3604" max="3605" width="5" style="1" customWidth="1"/>
    <col min="3606" max="3607" width="3.75" style="1" customWidth="1"/>
    <col min="3608" max="3608" width="3.5" style="1" customWidth="1"/>
    <col min="3609" max="3839" width="9" style="1"/>
    <col min="3840" max="3840" width="5" style="1" customWidth="1"/>
    <col min="3841" max="3841" width="20.5" style="1" customWidth="1"/>
    <col min="3842" max="3842" width="2.375" style="1" customWidth="1"/>
    <col min="3843" max="3843" width="3.75" style="1" customWidth="1"/>
    <col min="3844" max="3845" width="5" style="1" customWidth="1"/>
    <col min="3846" max="3847" width="3.75" style="1" customWidth="1"/>
    <col min="3848" max="3849" width="5" style="1" customWidth="1"/>
    <col min="3850" max="3851" width="3.75" style="1" customWidth="1"/>
    <col min="3852" max="3853" width="5" style="1" customWidth="1"/>
    <col min="3854" max="3855" width="3.75" style="1" customWidth="1"/>
    <col min="3856" max="3857" width="5" style="1" customWidth="1"/>
    <col min="3858" max="3859" width="3.75" style="1" customWidth="1"/>
    <col min="3860" max="3861" width="5" style="1" customWidth="1"/>
    <col min="3862" max="3863" width="3.75" style="1" customWidth="1"/>
    <col min="3864" max="3864" width="3.5" style="1" customWidth="1"/>
    <col min="3865" max="4095" width="9" style="1"/>
    <col min="4096" max="4096" width="5" style="1" customWidth="1"/>
    <col min="4097" max="4097" width="20.5" style="1" customWidth="1"/>
    <col min="4098" max="4098" width="2.375" style="1" customWidth="1"/>
    <col min="4099" max="4099" width="3.75" style="1" customWidth="1"/>
    <col min="4100" max="4101" width="5" style="1" customWidth="1"/>
    <col min="4102" max="4103" width="3.75" style="1" customWidth="1"/>
    <col min="4104" max="4105" width="5" style="1" customWidth="1"/>
    <col min="4106" max="4107" width="3.75" style="1" customWidth="1"/>
    <col min="4108" max="4109" width="5" style="1" customWidth="1"/>
    <col min="4110" max="4111" width="3.75" style="1" customWidth="1"/>
    <col min="4112" max="4113" width="5" style="1" customWidth="1"/>
    <col min="4114" max="4115" width="3.75" style="1" customWidth="1"/>
    <col min="4116" max="4117" width="5" style="1" customWidth="1"/>
    <col min="4118" max="4119" width="3.75" style="1" customWidth="1"/>
    <col min="4120" max="4120" width="3.5" style="1" customWidth="1"/>
    <col min="4121" max="4351" width="9" style="1"/>
    <col min="4352" max="4352" width="5" style="1" customWidth="1"/>
    <col min="4353" max="4353" width="20.5" style="1" customWidth="1"/>
    <col min="4354" max="4354" width="2.375" style="1" customWidth="1"/>
    <col min="4355" max="4355" width="3.75" style="1" customWidth="1"/>
    <col min="4356" max="4357" width="5" style="1" customWidth="1"/>
    <col min="4358" max="4359" width="3.75" style="1" customWidth="1"/>
    <col min="4360" max="4361" width="5" style="1" customWidth="1"/>
    <col min="4362" max="4363" width="3.75" style="1" customWidth="1"/>
    <col min="4364" max="4365" width="5" style="1" customWidth="1"/>
    <col min="4366" max="4367" width="3.75" style="1" customWidth="1"/>
    <col min="4368" max="4369" width="5" style="1" customWidth="1"/>
    <col min="4370" max="4371" width="3.75" style="1" customWidth="1"/>
    <col min="4372" max="4373" width="5" style="1" customWidth="1"/>
    <col min="4374" max="4375" width="3.75" style="1" customWidth="1"/>
    <col min="4376" max="4376" width="3.5" style="1" customWidth="1"/>
    <col min="4377" max="4607" width="9" style="1"/>
    <col min="4608" max="4608" width="5" style="1" customWidth="1"/>
    <col min="4609" max="4609" width="20.5" style="1" customWidth="1"/>
    <col min="4610" max="4610" width="2.375" style="1" customWidth="1"/>
    <col min="4611" max="4611" width="3.75" style="1" customWidth="1"/>
    <col min="4612" max="4613" width="5" style="1" customWidth="1"/>
    <col min="4614" max="4615" width="3.75" style="1" customWidth="1"/>
    <col min="4616" max="4617" width="5" style="1" customWidth="1"/>
    <col min="4618" max="4619" width="3.75" style="1" customWidth="1"/>
    <col min="4620" max="4621" width="5" style="1" customWidth="1"/>
    <col min="4622" max="4623" width="3.75" style="1" customWidth="1"/>
    <col min="4624" max="4625" width="5" style="1" customWidth="1"/>
    <col min="4626" max="4627" width="3.75" style="1" customWidth="1"/>
    <col min="4628" max="4629" width="5" style="1" customWidth="1"/>
    <col min="4630" max="4631" width="3.75" style="1" customWidth="1"/>
    <col min="4632" max="4632" width="3.5" style="1" customWidth="1"/>
    <col min="4633" max="4863" width="9" style="1"/>
    <col min="4864" max="4864" width="5" style="1" customWidth="1"/>
    <col min="4865" max="4865" width="20.5" style="1" customWidth="1"/>
    <col min="4866" max="4866" width="2.375" style="1" customWidth="1"/>
    <col min="4867" max="4867" width="3.75" style="1" customWidth="1"/>
    <col min="4868" max="4869" width="5" style="1" customWidth="1"/>
    <col min="4870" max="4871" width="3.75" style="1" customWidth="1"/>
    <col min="4872" max="4873" width="5" style="1" customWidth="1"/>
    <col min="4874" max="4875" width="3.75" style="1" customWidth="1"/>
    <col min="4876" max="4877" width="5" style="1" customWidth="1"/>
    <col min="4878" max="4879" width="3.75" style="1" customWidth="1"/>
    <col min="4880" max="4881" width="5" style="1" customWidth="1"/>
    <col min="4882" max="4883" width="3.75" style="1" customWidth="1"/>
    <col min="4884" max="4885" width="5" style="1" customWidth="1"/>
    <col min="4886" max="4887" width="3.75" style="1" customWidth="1"/>
    <col min="4888" max="4888" width="3.5" style="1" customWidth="1"/>
    <col min="4889" max="5119" width="9" style="1"/>
    <col min="5120" max="5120" width="5" style="1" customWidth="1"/>
    <col min="5121" max="5121" width="20.5" style="1" customWidth="1"/>
    <col min="5122" max="5122" width="2.375" style="1" customWidth="1"/>
    <col min="5123" max="5123" width="3.75" style="1" customWidth="1"/>
    <col min="5124" max="5125" width="5" style="1" customWidth="1"/>
    <col min="5126" max="5127" width="3.75" style="1" customWidth="1"/>
    <col min="5128" max="5129" width="5" style="1" customWidth="1"/>
    <col min="5130" max="5131" width="3.75" style="1" customWidth="1"/>
    <col min="5132" max="5133" width="5" style="1" customWidth="1"/>
    <col min="5134" max="5135" width="3.75" style="1" customWidth="1"/>
    <col min="5136" max="5137" width="5" style="1" customWidth="1"/>
    <col min="5138" max="5139" width="3.75" style="1" customWidth="1"/>
    <col min="5140" max="5141" width="5" style="1" customWidth="1"/>
    <col min="5142" max="5143" width="3.75" style="1" customWidth="1"/>
    <col min="5144" max="5144" width="3.5" style="1" customWidth="1"/>
    <col min="5145" max="5375" width="9" style="1"/>
    <col min="5376" max="5376" width="5" style="1" customWidth="1"/>
    <col min="5377" max="5377" width="20.5" style="1" customWidth="1"/>
    <col min="5378" max="5378" width="2.375" style="1" customWidth="1"/>
    <col min="5379" max="5379" width="3.75" style="1" customWidth="1"/>
    <col min="5380" max="5381" width="5" style="1" customWidth="1"/>
    <col min="5382" max="5383" width="3.75" style="1" customWidth="1"/>
    <col min="5384" max="5385" width="5" style="1" customWidth="1"/>
    <col min="5386" max="5387" width="3.75" style="1" customWidth="1"/>
    <col min="5388" max="5389" width="5" style="1" customWidth="1"/>
    <col min="5390" max="5391" width="3.75" style="1" customWidth="1"/>
    <col min="5392" max="5393" width="5" style="1" customWidth="1"/>
    <col min="5394" max="5395" width="3.75" style="1" customWidth="1"/>
    <col min="5396" max="5397" width="5" style="1" customWidth="1"/>
    <col min="5398" max="5399" width="3.75" style="1" customWidth="1"/>
    <col min="5400" max="5400" width="3.5" style="1" customWidth="1"/>
    <col min="5401" max="5631" width="9" style="1"/>
    <col min="5632" max="5632" width="5" style="1" customWidth="1"/>
    <col min="5633" max="5633" width="20.5" style="1" customWidth="1"/>
    <col min="5634" max="5634" width="2.375" style="1" customWidth="1"/>
    <col min="5635" max="5635" width="3.75" style="1" customWidth="1"/>
    <col min="5636" max="5637" width="5" style="1" customWidth="1"/>
    <col min="5638" max="5639" width="3.75" style="1" customWidth="1"/>
    <col min="5640" max="5641" width="5" style="1" customWidth="1"/>
    <col min="5642" max="5643" width="3.75" style="1" customWidth="1"/>
    <col min="5644" max="5645" width="5" style="1" customWidth="1"/>
    <col min="5646" max="5647" width="3.75" style="1" customWidth="1"/>
    <col min="5648" max="5649" width="5" style="1" customWidth="1"/>
    <col min="5650" max="5651" width="3.75" style="1" customWidth="1"/>
    <col min="5652" max="5653" width="5" style="1" customWidth="1"/>
    <col min="5654" max="5655" width="3.75" style="1" customWidth="1"/>
    <col min="5656" max="5656" width="3.5" style="1" customWidth="1"/>
    <col min="5657" max="5887" width="9" style="1"/>
    <col min="5888" max="5888" width="5" style="1" customWidth="1"/>
    <col min="5889" max="5889" width="20.5" style="1" customWidth="1"/>
    <col min="5890" max="5890" width="2.375" style="1" customWidth="1"/>
    <col min="5891" max="5891" width="3.75" style="1" customWidth="1"/>
    <col min="5892" max="5893" width="5" style="1" customWidth="1"/>
    <col min="5894" max="5895" width="3.75" style="1" customWidth="1"/>
    <col min="5896" max="5897" width="5" style="1" customWidth="1"/>
    <col min="5898" max="5899" width="3.75" style="1" customWidth="1"/>
    <col min="5900" max="5901" width="5" style="1" customWidth="1"/>
    <col min="5902" max="5903" width="3.75" style="1" customWidth="1"/>
    <col min="5904" max="5905" width="5" style="1" customWidth="1"/>
    <col min="5906" max="5907" width="3.75" style="1" customWidth="1"/>
    <col min="5908" max="5909" width="5" style="1" customWidth="1"/>
    <col min="5910" max="5911" width="3.75" style="1" customWidth="1"/>
    <col min="5912" max="5912" width="3.5" style="1" customWidth="1"/>
    <col min="5913" max="6143" width="9" style="1"/>
    <col min="6144" max="6144" width="5" style="1" customWidth="1"/>
    <col min="6145" max="6145" width="20.5" style="1" customWidth="1"/>
    <col min="6146" max="6146" width="2.375" style="1" customWidth="1"/>
    <col min="6147" max="6147" width="3.75" style="1" customWidth="1"/>
    <col min="6148" max="6149" width="5" style="1" customWidth="1"/>
    <col min="6150" max="6151" width="3.75" style="1" customWidth="1"/>
    <col min="6152" max="6153" width="5" style="1" customWidth="1"/>
    <col min="6154" max="6155" width="3.75" style="1" customWidth="1"/>
    <col min="6156" max="6157" width="5" style="1" customWidth="1"/>
    <col min="6158" max="6159" width="3.75" style="1" customWidth="1"/>
    <col min="6160" max="6161" width="5" style="1" customWidth="1"/>
    <col min="6162" max="6163" width="3.75" style="1" customWidth="1"/>
    <col min="6164" max="6165" width="5" style="1" customWidth="1"/>
    <col min="6166" max="6167" width="3.75" style="1" customWidth="1"/>
    <col min="6168" max="6168" width="3.5" style="1" customWidth="1"/>
    <col min="6169" max="6399" width="9" style="1"/>
    <col min="6400" max="6400" width="5" style="1" customWidth="1"/>
    <col min="6401" max="6401" width="20.5" style="1" customWidth="1"/>
    <col min="6402" max="6402" width="2.375" style="1" customWidth="1"/>
    <col min="6403" max="6403" width="3.75" style="1" customWidth="1"/>
    <col min="6404" max="6405" width="5" style="1" customWidth="1"/>
    <col min="6406" max="6407" width="3.75" style="1" customWidth="1"/>
    <col min="6408" max="6409" width="5" style="1" customWidth="1"/>
    <col min="6410" max="6411" width="3.75" style="1" customWidth="1"/>
    <col min="6412" max="6413" width="5" style="1" customWidth="1"/>
    <col min="6414" max="6415" width="3.75" style="1" customWidth="1"/>
    <col min="6416" max="6417" width="5" style="1" customWidth="1"/>
    <col min="6418" max="6419" width="3.75" style="1" customWidth="1"/>
    <col min="6420" max="6421" width="5" style="1" customWidth="1"/>
    <col min="6422" max="6423" width="3.75" style="1" customWidth="1"/>
    <col min="6424" max="6424" width="3.5" style="1" customWidth="1"/>
    <col min="6425" max="6655" width="9" style="1"/>
    <col min="6656" max="6656" width="5" style="1" customWidth="1"/>
    <col min="6657" max="6657" width="20.5" style="1" customWidth="1"/>
    <col min="6658" max="6658" width="2.375" style="1" customWidth="1"/>
    <col min="6659" max="6659" width="3.75" style="1" customWidth="1"/>
    <col min="6660" max="6661" width="5" style="1" customWidth="1"/>
    <col min="6662" max="6663" width="3.75" style="1" customWidth="1"/>
    <col min="6664" max="6665" width="5" style="1" customWidth="1"/>
    <col min="6666" max="6667" width="3.75" style="1" customWidth="1"/>
    <col min="6668" max="6669" width="5" style="1" customWidth="1"/>
    <col min="6670" max="6671" width="3.75" style="1" customWidth="1"/>
    <col min="6672" max="6673" width="5" style="1" customWidth="1"/>
    <col min="6674" max="6675" width="3.75" style="1" customWidth="1"/>
    <col min="6676" max="6677" width="5" style="1" customWidth="1"/>
    <col min="6678" max="6679" width="3.75" style="1" customWidth="1"/>
    <col min="6680" max="6680" width="3.5" style="1" customWidth="1"/>
    <col min="6681" max="6911" width="9" style="1"/>
    <col min="6912" max="6912" width="5" style="1" customWidth="1"/>
    <col min="6913" max="6913" width="20.5" style="1" customWidth="1"/>
    <col min="6914" max="6914" width="2.375" style="1" customWidth="1"/>
    <col min="6915" max="6915" width="3.75" style="1" customWidth="1"/>
    <col min="6916" max="6917" width="5" style="1" customWidth="1"/>
    <col min="6918" max="6919" width="3.75" style="1" customWidth="1"/>
    <col min="6920" max="6921" width="5" style="1" customWidth="1"/>
    <col min="6922" max="6923" width="3.75" style="1" customWidth="1"/>
    <col min="6924" max="6925" width="5" style="1" customWidth="1"/>
    <col min="6926" max="6927" width="3.75" style="1" customWidth="1"/>
    <col min="6928" max="6929" width="5" style="1" customWidth="1"/>
    <col min="6930" max="6931" width="3.75" style="1" customWidth="1"/>
    <col min="6932" max="6933" width="5" style="1" customWidth="1"/>
    <col min="6934" max="6935" width="3.75" style="1" customWidth="1"/>
    <col min="6936" max="6936" width="3.5" style="1" customWidth="1"/>
    <col min="6937" max="7167" width="9" style="1"/>
    <col min="7168" max="7168" width="5" style="1" customWidth="1"/>
    <col min="7169" max="7169" width="20.5" style="1" customWidth="1"/>
    <col min="7170" max="7170" width="2.375" style="1" customWidth="1"/>
    <col min="7171" max="7171" width="3.75" style="1" customWidth="1"/>
    <col min="7172" max="7173" width="5" style="1" customWidth="1"/>
    <col min="7174" max="7175" width="3.75" style="1" customWidth="1"/>
    <col min="7176" max="7177" width="5" style="1" customWidth="1"/>
    <col min="7178" max="7179" width="3.75" style="1" customWidth="1"/>
    <col min="7180" max="7181" width="5" style="1" customWidth="1"/>
    <col min="7182" max="7183" width="3.75" style="1" customWidth="1"/>
    <col min="7184" max="7185" width="5" style="1" customWidth="1"/>
    <col min="7186" max="7187" width="3.75" style="1" customWidth="1"/>
    <col min="7188" max="7189" width="5" style="1" customWidth="1"/>
    <col min="7190" max="7191" width="3.75" style="1" customWidth="1"/>
    <col min="7192" max="7192" width="3.5" style="1" customWidth="1"/>
    <col min="7193" max="7423" width="9" style="1"/>
    <col min="7424" max="7424" width="5" style="1" customWidth="1"/>
    <col min="7425" max="7425" width="20.5" style="1" customWidth="1"/>
    <col min="7426" max="7426" width="2.375" style="1" customWidth="1"/>
    <col min="7427" max="7427" width="3.75" style="1" customWidth="1"/>
    <col min="7428" max="7429" width="5" style="1" customWidth="1"/>
    <col min="7430" max="7431" width="3.75" style="1" customWidth="1"/>
    <col min="7432" max="7433" width="5" style="1" customWidth="1"/>
    <col min="7434" max="7435" width="3.75" style="1" customWidth="1"/>
    <col min="7436" max="7437" width="5" style="1" customWidth="1"/>
    <col min="7438" max="7439" width="3.75" style="1" customWidth="1"/>
    <col min="7440" max="7441" width="5" style="1" customWidth="1"/>
    <col min="7442" max="7443" width="3.75" style="1" customWidth="1"/>
    <col min="7444" max="7445" width="5" style="1" customWidth="1"/>
    <col min="7446" max="7447" width="3.75" style="1" customWidth="1"/>
    <col min="7448" max="7448" width="3.5" style="1" customWidth="1"/>
    <col min="7449" max="7679" width="9" style="1"/>
    <col min="7680" max="7680" width="5" style="1" customWidth="1"/>
    <col min="7681" max="7681" width="20.5" style="1" customWidth="1"/>
    <col min="7682" max="7682" width="2.375" style="1" customWidth="1"/>
    <col min="7683" max="7683" width="3.75" style="1" customWidth="1"/>
    <col min="7684" max="7685" width="5" style="1" customWidth="1"/>
    <col min="7686" max="7687" width="3.75" style="1" customWidth="1"/>
    <col min="7688" max="7689" width="5" style="1" customWidth="1"/>
    <col min="7690" max="7691" width="3.75" style="1" customWidth="1"/>
    <col min="7692" max="7693" width="5" style="1" customWidth="1"/>
    <col min="7694" max="7695" width="3.75" style="1" customWidth="1"/>
    <col min="7696" max="7697" width="5" style="1" customWidth="1"/>
    <col min="7698" max="7699" width="3.75" style="1" customWidth="1"/>
    <col min="7700" max="7701" width="5" style="1" customWidth="1"/>
    <col min="7702" max="7703" width="3.75" style="1" customWidth="1"/>
    <col min="7704" max="7704" width="3.5" style="1" customWidth="1"/>
    <col min="7705" max="7935" width="9" style="1"/>
    <col min="7936" max="7936" width="5" style="1" customWidth="1"/>
    <col min="7937" max="7937" width="20.5" style="1" customWidth="1"/>
    <col min="7938" max="7938" width="2.375" style="1" customWidth="1"/>
    <col min="7939" max="7939" width="3.75" style="1" customWidth="1"/>
    <col min="7940" max="7941" width="5" style="1" customWidth="1"/>
    <col min="7942" max="7943" width="3.75" style="1" customWidth="1"/>
    <col min="7944" max="7945" width="5" style="1" customWidth="1"/>
    <col min="7946" max="7947" width="3.75" style="1" customWidth="1"/>
    <col min="7948" max="7949" width="5" style="1" customWidth="1"/>
    <col min="7950" max="7951" width="3.75" style="1" customWidth="1"/>
    <col min="7952" max="7953" width="5" style="1" customWidth="1"/>
    <col min="7954" max="7955" width="3.75" style="1" customWidth="1"/>
    <col min="7956" max="7957" width="5" style="1" customWidth="1"/>
    <col min="7958" max="7959" width="3.75" style="1" customWidth="1"/>
    <col min="7960" max="7960" width="3.5" style="1" customWidth="1"/>
    <col min="7961" max="8191" width="9" style="1"/>
    <col min="8192" max="8192" width="5" style="1" customWidth="1"/>
    <col min="8193" max="8193" width="20.5" style="1" customWidth="1"/>
    <col min="8194" max="8194" width="2.375" style="1" customWidth="1"/>
    <col min="8195" max="8195" width="3.75" style="1" customWidth="1"/>
    <col min="8196" max="8197" width="5" style="1" customWidth="1"/>
    <col min="8198" max="8199" width="3.75" style="1" customWidth="1"/>
    <col min="8200" max="8201" width="5" style="1" customWidth="1"/>
    <col min="8202" max="8203" width="3.75" style="1" customWidth="1"/>
    <col min="8204" max="8205" width="5" style="1" customWidth="1"/>
    <col min="8206" max="8207" width="3.75" style="1" customWidth="1"/>
    <col min="8208" max="8209" width="5" style="1" customWidth="1"/>
    <col min="8210" max="8211" width="3.75" style="1" customWidth="1"/>
    <col min="8212" max="8213" width="5" style="1" customWidth="1"/>
    <col min="8214" max="8215" width="3.75" style="1" customWidth="1"/>
    <col min="8216" max="8216" width="3.5" style="1" customWidth="1"/>
    <col min="8217" max="8447" width="9" style="1"/>
    <col min="8448" max="8448" width="5" style="1" customWidth="1"/>
    <col min="8449" max="8449" width="20.5" style="1" customWidth="1"/>
    <col min="8450" max="8450" width="2.375" style="1" customWidth="1"/>
    <col min="8451" max="8451" width="3.75" style="1" customWidth="1"/>
    <col min="8452" max="8453" width="5" style="1" customWidth="1"/>
    <col min="8454" max="8455" width="3.75" style="1" customWidth="1"/>
    <col min="8456" max="8457" width="5" style="1" customWidth="1"/>
    <col min="8458" max="8459" width="3.75" style="1" customWidth="1"/>
    <col min="8460" max="8461" width="5" style="1" customWidth="1"/>
    <col min="8462" max="8463" width="3.75" style="1" customWidth="1"/>
    <col min="8464" max="8465" width="5" style="1" customWidth="1"/>
    <col min="8466" max="8467" width="3.75" style="1" customWidth="1"/>
    <col min="8468" max="8469" width="5" style="1" customWidth="1"/>
    <col min="8470" max="8471" width="3.75" style="1" customWidth="1"/>
    <col min="8472" max="8472" width="3.5" style="1" customWidth="1"/>
    <col min="8473" max="8703" width="9" style="1"/>
    <col min="8704" max="8704" width="5" style="1" customWidth="1"/>
    <col min="8705" max="8705" width="20.5" style="1" customWidth="1"/>
    <col min="8706" max="8706" width="2.375" style="1" customWidth="1"/>
    <col min="8707" max="8707" width="3.75" style="1" customWidth="1"/>
    <col min="8708" max="8709" width="5" style="1" customWidth="1"/>
    <col min="8710" max="8711" width="3.75" style="1" customWidth="1"/>
    <col min="8712" max="8713" width="5" style="1" customWidth="1"/>
    <col min="8714" max="8715" width="3.75" style="1" customWidth="1"/>
    <col min="8716" max="8717" width="5" style="1" customWidth="1"/>
    <col min="8718" max="8719" width="3.75" style="1" customWidth="1"/>
    <col min="8720" max="8721" width="5" style="1" customWidth="1"/>
    <col min="8722" max="8723" width="3.75" style="1" customWidth="1"/>
    <col min="8724" max="8725" width="5" style="1" customWidth="1"/>
    <col min="8726" max="8727" width="3.75" style="1" customWidth="1"/>
    <col min="8728" max="8728" width="3.5" style="1" customWidth="1"/>
    <col min="8729" max="8959" width="9" style="1"/>
    <col min="8960" max="8960" width="5" style="1" customWidth="1"/>
    <col min="8961" max="8961" width="20.5" style="1" customWidth="1"/>
    <col min="8962" max="8962" width="2.375" style="1" customWidth="1"/>
    <col min="8963" max="8963" width="3.75" style="1" customWidth="1"/>
    <col min="8964" max="8965" width="5" style="1" customWidth="1"/>
    <col min="8966" max="8967" width="3.75" style="1" customWidth="1"/>
    <col min="8968" max="8969" width="5" style="1" customWidth="1"/>
    <col min="8970" max="8971" width="3.75" style="1" customWidth="1"/>
    <col min="8972" max="8973" width="5" style="1" customWidth="1"/>
    <col min="8974" max="8975" width="3.75" style="1" customWidth="1"/>
    <col min="8976" max="8977" width="5" style="1" customWidth="1"/>
    <col min="8978" max="8979" width="3.75" style="1" customWidth="1"/>
    <col min="8980" max="8981" width="5" style="1" customWidth="1"/>
    <col min="8982" max="8983" width="3.75" style="1" customWidth="1"/>
    <col min="8984" max="8984" width="3.5" style="1" customWidth="1"/>
    <col min="8985" max="9215" width="9" style="1"/>
    <col min="9216" max="9216" width="5" style="1" customWidth="1"/>
    <col min="9217" max="9217" width="20.5" style="1" customWidth="1"/>
    <col min="9218" max="9218" width="2.375" style="1" customWidth="1"/>
    <col min="9219" max="9219" width="3.75" style="1" customWidth="1"/>
    <col min="9220" max="9221" width="5" style="1" customWidth="1"/>
    <col min="9222" max="9223" width="3.75" style="1" customWidth="1"/>
    <col min="9224" max="9225" width="5" style="1" customWidth="1"/>
    <col min="9226" max="9227" width="3.75" style="1" customWidth="1"/>
    <col min="9228" max="9229" width="5" style="1" customWidth="1"/>
    <col min="9230" max="9231" width="3.75" style="1" customWidth="1"/>
    <col min="9232" max="9233" width="5" style="1" customWidth="1"/>
    <col min="9234" max="9235" width="3.75" style="1" customWidth="1"/>
    <col min="9236" max="9237" width="5" style="1" customWidth="1"/>
    <col min="9238" max="9239" width="3.75" style="1" customWidth="1"/>
    <col min="9240" max="9240" width="3.5" style="1" customWidth="1"/>
    <col min="9241" max="9471" width="9" style="1"/>
    <col min="9472" max="9472" width="5" style="1" customWidth="1"/>
    <col min="9473" max="9473" width="20.5" style="1" customWidth="1"/>
    <col min="9474" max="9474" width="2.375" style="1" customWidth="1"/>
    <col min="9475" max="9475" width="3.75" style="1" customWidth="1"/>
    <col min="9476" max="9477" width="5" style="1" customWidth="1"/>
    <col min="9478" max="9479" width="3.75" style="1" customWidth="1"/>
    <col min="9480" max="9481" width="5" style="1" customWidth="1"/>
    <col min="9482" max="9483" width="3.75" style="1" customWidth="1"/>
    <col min="9484" max="9485" width="5" style="1" customWidth="1"/>
    <col min="9486" max="9487" width="3.75" style="1" customWidth="1"/>
    <col min="9488" max="9489" width="5" style="1" customWidth="1"/>
    <col min="9490" max="9491" width="3.75" style="1" customWidth="1"/>
    <col min="9492" max="9493" width="5" style="1" customWidth="1"/>
    <col min="9494" max="9495" width="3.75" style="1" customWidth="1"/>
    <col min="9496" max="9496" width="3.5" style="1" customWidth="1"/>
    <col min="9497" max="9727" width="9" style="1"/>
    <col min="9728" max="9728" width="5" style="1" customWidth="1"/>
    <col min="9729" max="9729" width="20.5" style="1" customWidth="1"/>
    <col min="9730" max="9730" width="2.375" style="1" customWidth="1"/>
    <col min="9731" max="9731" width="3.75" style="1" customWidth="1"/>
    <col min="9732" max="9733" width="5" style="1" customWidth="1"/>
    <col min="9734" max="9735" width="3.75" style="1" customWidth="1"/>
    <col min="9736" max="9737" width="5" style="1" customWidth="1"/>
    <col min="9738" max="9739" width="3.75" style="1" customWidth="1"/>
    <col min="9740" max="9741" width="5" style="1" customWidth="1"/>
    <col min="9742" max="9743" width="3.75" style="1" customWidth="1"/>
    <col min="9744" max="9745" width="5" style="1" customWidth="1"/>
    <col min="9746" max="9747" width="3.75" style="1" customWidth="1"/>
    <col min="9748" max="9749" width="5" style="1" customWidth="1"/>
    <col min="9750" max="9751" width="3.75" style="1" customWidth="1"/>
    <col min="9752" max="9752" width="3.5" style="1" customWidth="1"/>
    <col min="9753" max="9983" width="9" style="1"/>
    <col min="9984" max="9984" width="5" style="1" customWidth="1"/>
    <col min="9985" max="9985" width="20.5" style="1" customWidth="1"/>
    <col min="9986" max="9986" width="2.375" style="1" customWidth="1"/>
    <col min="9987" max="9987" width="3.75" style="1" customWidth="1"/>
    <col min="9988" max="9989" width="5" style="1" customWidth="1"/>
    <col min="9990" max="9991" width="3.75" style="1" customWidth="1"/>
    <col min="9992" max="9993" width="5" style="1" customWidth="1"/>
    <col min="9994" max="9995" width="3.75" style="1" customWidth="1"/>
    <col min="9996" max="9997" width="5" style="1" customWidth="1"/>
    <col min="9998" max="9999" width="3.75" style="1" customWidth="1"/>
    <col min="10000" max="10001" width="5" style="1" customWidth="1"/>
    <col min="10002" max="10003" width="3.75" style="1" customWidth="1"/>
    <col min="10004" max="10005" width="5" style="1" customWidth="1"/>
    <col min="10006" max="10007" width="3.75" style="1" customWidth="1"/>
    <col min="10008" max="10008" width="3.5" style="1" customWidth="1"/>
    <col min="10009" max="10239" width="9" style="1"/>
    <col min="10240" max="10240" width="5" style="1" customWidth="1"/>
    <col min="10241" max="10241" width="20.5" style="1" customWidth="1"/>
    <col min="10242" max="10242" width="2.375" style="1" customWidth="1"/>
    <col min="10243" max="10243" width="3.75" style="1" customWidth="1"/>
    <col min="10244" max="10245" width="5" style="1" customWidth="1"/>
    <col min="10246" max="10247" width="3.75" style="1" customWidth="1"/>
    <col min="10248" max="10249" width="5" style="1" customWidth="1"/>
    <col min="10250" max="10251" width="3.75" style="1" customWidth="1"/>
    <col min="10252" max="10253" width="5" style="1" customWidth="1"/>
    <col min="10254" max="10255" width="3.75" style="1" customWidth="1"/>
    <col min="10256" max="10257" width="5" style="1" customWidth="1"/>
    <col min="10258" max="10259" width="3.75" style="1" customWidth="1"/>
    <col min="10260" max="10261" width="5" style="1" customWidth="1"/>
    <col min="10262" max="10263" width="3.75" style="1" customWidth="1"/>
    <col min="10264" max="10264" width="3.5" style="1" customWidth="1"/>
    <col min="10265" max="10495" width="9" style="1"/>
    <col min="10496" max="10496" width="5" style="1" customWidth="1"/>
    <col min="10497" max="10497" width="20.5" style="1" customWidth="1"/>
    <col min="10498" max="10498" width="2.375" style="1" customWidth="1"/>
    <col min="10499" max="10499" width="3.75" style="1" customWidth="1"/>
    <col min="10500" max="10501" width="5" style="1" customWidth="1"/>
    <col min="10502" max="10503" width="3.75" style="1" customWidth="1"/>
    <col min="10504" max="10505" width="5" style="1" customWidth="1"/>
    <col min="10506" max="10507" width="3.75" style="1" customWidth="1"/>
    <col min="10508" max="10509" width="5" style="1" customWidth="1"/>
    <col min="10510" max="10511" width="3.75" style="1" customWidth="1"/>
    <col min="10512" max="10513" width="5" style="1" customWidth="1"/>
    <col min="10514" max="10515" width="3.75" style="1" customWidth="1"/>
    <col min="10516" max="10517" width="5" style="1" customWidth="1"/>
    <col min="10518" max="10519" width="3.75" style="1" customWidth="1"/>
    <col min="10520" max="10520" width="3.5" style="1" customWidth="1"/>
    <col min="10521" max="10751" width="9" style="1"/>
    <col min="10752" max="10752" width="5" style="1" customWidth="1"/>
    <col min="10753" max="10753" width="20.5" style="1" customWidth="1"/>
    <col min="10754" max="10754" width="2.375" style="1" customWidth="1"/>
    <col min="10755" max="10755" width="3.75" style="1" customWidth="1"/>
    <col min="10756" max="10757" width="5" style="1" customWidth="1"/>
    <col min="10758" max="10759" width="3.75" style="1" customWidth="1"/>
    <col min="10760" max="10761" width="5" style="1" customWidth="1"/>
    <col min="10762" max="10763" width="3.75" style="1" customWidth="1"/>
    <col min="10764" max="10765" width="5" style="1" customWidth="1"/>
    <col min="10766" max="10767" width="3.75" style="1" customWidth="1"/>
    <col min="10768" max="10769" width="5" style="1" customWidth="1"/>
    <col min="10770" max="10771" width="3.75" style="1" customWidth="1"/>
    <col min="10772" max="10773" width="5" style="1" customWidth="1"/>
    <col min="10774" max="10775" width="3.75" style="1" customWidth="1"/>
    <col min="10776" max="10776" width="3.5" style="1" customWidth="1"/>
    <col min="10777" max="11007" width="9" style="1"/>
    <col min="11008" max="11008" width="5" style="1" customWidth="1"/>
    <col min="11009" max="11009" width="20.5" style="1" customWidth="1"/>
    <col min="11010" max="11010" width="2.375" style="1" customWidth="1"/>
    <col min="11011" max="11011" width="3.75" style="1" customWidth="1"/>
    <col min="11012" max="11013" width="5" style="1" customWidth="1"/>
    <col min="11014" max="11015" width="3.75" style="1" customWidth="1"/>
    <col min="11016" max="11017" width="5" style="1" customWidth="1"/>
    <col min="11018" max="11019" width="3.75" style="1" customWidth="1"/>
    <col min="11020" max="11021" width="5" style="1" customWidth="1"/>
    <col min="11022" max="11023" width="3.75" style="1" customWidth="1"/>
    <col min="11024" max="11025" width="5" style="1" customWidth="1"/>
    <col min="11026" max="11027" width="3.75" style="1" customWidth="1"/>
    <col min="11028" max="11029" width="5" style="1" customWidth="1"/>
    <col min="11030" max="11031" width="3.75" style="1" customWidth="1"/>
    <col min="11032" max="11032" width="3.5" style="1" customWidth="1"/>
    <col min="11033" max="11263" width="9" style="1"/>
    <col min="11264" max="11264" width="5" style="1" customWidth="1"/>
    <col min="11265" max="11265" width="20.5" style="1" customWidth="1"/>
    <col min="11266" max="11266" width="2.375" style="1" customWidth="1"/>
    <col min="11267" max="11267" width="3.75" style="1" customWidth="1"/>
    <col min="11268" max="11269" width="5" style="1" customWidth="1"/>
    <col min="11270" max="11271" width="3.75" style="1" customWidth="1"/>
    <col min="11272" max="11273" width="5" style="1" customWidth="1"/>
    <col min="11274" max="11275" width="3.75" style="1" customWidth="1"/>
    <col min="11276" max="11277" width="5" style="1" customWidth="1"/>
    <col min="11278" max="11279" width="3.75" style="1" customWidth="1"/>
    <col min="11280" max="11281" width="5" style="1" customWidth="1"/>
    <col min="11282" max="11283" width="3.75" style="1" customWidth="1"/>
    <col min="11284" max="11285" width="5" style="1" customWidth="1"/>
    <col min="11286" max="11287" width="3.75" style="1" customWidth="1"/>
    <col min="11288" max="11288" width="3.5" style="1" customWidth="1"/>
    <col min="11289" max="11519" width="9" style="1"/>
    <col min="11520" max="11520" width="5" style="1" customWidth="1"/>
    <col min="11521" max="11521" width="20.5" style="1" customWidth="1"/>
    <col min="11522" max="11522" width="2.375" style="1" customWidth="1"/>
    <col min="11523" max="11523" width="3.75" style="1" customWidth="1"/>
    <col min="11524" max="11525" width="5" style="1" customWidth="1"/>
    <col min="11526" max="11527" width="3.75" style="1" customWidth="1"/>
    <col min="11528" max="11529" width="5" style="1" customWidth="1"/>
    <col min="11530" max="11531" width="3.75" style="1" customWidth="1"/>
    <col min="11532" max="11533" width="5" style="1" customWidth="1"/>
    <col min="11534" max="11535" width="3.75" style="1" customWidth="1"/>
    <col min="11536" max="11537" width="5" style="1" customWidth="1"/>
    <col min="11538" max="11539" width="3.75" style="1" customWidth="1"/>
    <col min="11540" max="11541" width="5" style="1" customWidth="1"/>
    <col min="11542" max="11543" width="3.75" style="1" customWidth="1"/>
    <col min="11544" max="11544" width="3.5" style="1" customWidth="1"/>
    <col min="11545" max="11775" width="9" style="1"/>
    <col min="11776" max="11776" width="5" style="1" customWidth="1"/>
    <col min="11777" max="11777" width="20.5" style="1" customWidth="1"/>
    <col min="11778" max="11778" width="2.375" style="1" customWidth="1"/>
    <col min="11779" max="11779" width="3.75" style="1" customWidth="1"/>
    <col min="11780" max="11781" width="5" style="1" customWidth="1"/>
    <col min="11782" max="11783" width="3.75" style="1" customWidth="1"/>
    <col min="11784" max="11785" width="5" style="1" customWidth="1"/>
    <col min="11786" max="11787" width="3.75" style="1" customWidth="1"/>
    <col min="11788" max="11789" width="5" style="1" customWidth="1"/>
    <col min="11790" max="11791" width="3.75" style="1" customWidth="1"/>
    <col min="11792" max="11793" width="5" style="1" customWidth="1"/>
    <col min="11794" max="11795" width="3.75" style="1" customWidth="1"/>
    <col min="11796" max="11797" width="5" style="1" customWidth="1"/>
    <col min="11798" max="11799" width="3.75" style="1" customWidth="1"/>
    <col min="11800" max="11800" width="3.5" style="1" customWidth="1"/>
    <col min="11801" max="12031" width="9" style="1"/>
    <col min="12032" max="12032" width="5" style="1" customWidth="1"/>
    <col min="12033" max="12033" width="20.5" style="1" customWidth="1"/>
    <col min="12034" max="12034" width="2.375" style="1" customWidth="1"/>
    <col min="12035" max="12035" width="3.75" style="1" customWidth="1"/>
    <col min="12036" max="12037" width="5" style="1" customWidth="1"/>
    <col min="12038" max="12039" width="3.75" style="1" customWidth="1"/>
    <col min="12040" max="12041" width="5" style="1" customWidth="1"/>
    <col min="12042" max="12043" width="3.75" style="1" customWidth="1"/>
    <col min="12044" max="12045" width="5" style="1" customWidth="1"/>
    <col min="12046" max="12047" width="3.75" style="1" customWidth="1"/>
    <col min="12048" max="12049" width="5" style="1" customWidth="1"/>
    <col min="12050" max="12051" width="3.75" style="1" customWidth="1"/>
    <col min="12052" max="12053" width="5" style="1" customWidth="1"/>
    <col min="12054" max="12055" width="3.75" style="1" customWidth="1"/>
    <col min="12056" max="12056" width="3.5" style="1" customWidth="1"/>
    <col min="12057" max="12287" width="9" style="1"/>
    <col min="12288" max="12288" width="5" style="1" customWidth="1"/>
    <col min="12289" max="12289" width="20.5" style="1" customWidth="1"/>
    <col min="12290" max="12290" width="2.375" style="1" customWidth="1"/>
    <col min="12291" max="12291" width="3.75" style="1" customWidth="1"/>
    <col min="12292" max="12293" width="5" style="1" customWidth="1"/>
    <col min="12294" max="12295" width="3.75" style="1" customWidth="1"/>
    <col min="12296" max="12297" width="5" style="1" customWidth="1"/>
    <col min="12298" max="12299" width="3.75" style="1" customWidth="1"/>
    <col min="12300" max="12301" width="5" style="1" customWidth="1"/>
    <col min="12302" max="12303" width="3.75" style="1" customWidth="1"/>
    <col min="12304" max="12305" width="5" style="1" customWidth="1"/>
    <col min="12306" max="12307" width="3.75" style="1" customWidth="1"/>
    <col min="12308" max="12309" width="5" style="1" customWidth="1"/>
    <col min="12310" max="12311" width="3.75" style="1" customWidth="1"/>
    <col min="12312" max="12312" width="3.5" style="1" customWidth="1"/>
    <col min="12313" max="12543" width="9" style="1"/>
    <col min="12544" max="12544" width="5" style="1" customWidth="1"/>
    <col min="12545" max="12545" width="20.5" style="1" customWidth="1"/>
    <col min="12546" max="12546" width="2.375" style="1" customWidth="1"/>
    <col min="12547" max="12547" width="3.75" style="1" customWidth="1"/>
    <col min="12548" max="12549" width="5" style="1" customWidth="1"/>
    <col min="12550" max="12551" width="3.75" style="1" customWidth="1"/>
    <col min="12552" max="12553" width="5" style="1" customWidth="1"/>
    <col min="12554" max="12555" width="3.75" style="1" customWidth="1"/>
    <col min="12556" max="12557" width="5" style="1" customWidth="1"/>
    <col min="12558" max="12559" width="3.75" style="1" customWidth="1"/>
    <col min="12560" max="12561" width="5" style="1" customWidth="1"/>
    <col min="12562" max="12563" width="3.75" style="1" customWidth="1"/>
    <col min="12564" max="12565" width="5" style="1" customWidth="1"/>
    <col min="12566" max="12567" width="3.75" style="1" customWidth="1"/>
    <col min="12568" max="12568" width="3.5" style="1" customWidth="1"/>
    <col min="12569" max="12799" width="9" style="1"/>
    <col min="12800" max="12800" width="5" style="1" customWidth="1"/>
    <col min="12801" max="12801" width="20.5" style="1" customWidth="1"/>
    <col min="12802" max="12802" width="2.375" style="1" customWidth="1"/>
    <col min="12803" max="12803" width="3.75" style="1" customWidth="1"/>
    <col min="12804" max="12805" width="5" style="1" customWidth="1"/>
    <col min="12806" max="12807" width="3.75" style="1" customWidth="1"/>
    <col min="12808" max="12809" width="5" style="1" customWidth="1"/>
    <col min="12810" max="12811" width="3.75" style="1" customWidth="1"/>
    <col min="12812" max="12813" width="5" style="1" customWidth="1"/>
    <col min="12814" max="12815" width="3.75" style="1" customWidth="1"/>
    <col min="12816" max="12817" width="5" style="1" customWidth="1"/>
    <col min="12818" max="12819" width="3.75" style="1" customWidth="1"/>
    <col min="12820" max="12821" width="5" style="1" customWidth="1"/>
    <col min="12822" max="12823" width="3.75" style="1" customWidth="1"/>
    <col min="12824" max="12824" width="3.5" style="1" customWidth="1"/>
    <col min="12825" max="13055" width="9" style="1"/>
    <col min="13056" max="13056" width="5" style="1" customWidth="1"/>
    <col min="13057" max="13057" width="20.5" style="1" customWidth="1"/>
    <col min="13058" max="13058" width="2.375" style="1" customWidth="1"/>
    <col min="13059" max="13059" width="3.75" style="1" customWidth="1"/>
    <col min="13060" max="13061" width="5" style="1" customWidth="1"/>
    <col min="13062" max="13063" width="3.75" style="1" customWidth="1"/>
    <col min="13064" max="13065" width="5" style="1" customWidth="1"/>
    <col min="13066" max="13067" width="3.75" style="1" customWidth="1"/>
    <col min="13068" max="13069" width="5" style="1" customWidth="1"/>
    <col min="13070" max="13071" width="3.75" style="1" customWidth="1"/>
    <col min="13072" max="13073" width="5" style="1" customWidth="1"/>
    <col min="13074" max="13075" width="3.75" style="1" customWidth="1"/>
    <col min="13076" max="13077" width="5" style="1" customWidth="1"/>
    <col min="13078" max="13079" width="3.75" style="1" customWidth="1"/>
    <col min="13080" max="13080" width="3.5" style="1" customWidth="1"/>
    <col min="13081" max="13311" width="9" style="1"/>
    <col min="13312" max="13312" width="5" style="1" customWidth="1"/>
    <col min="13313" max="13313" width="20.5" style="1" customWidth="1"/>
    <col min="13314" max="13314" width="2.375" style="1" customWidth="1"/>
    <col min="13315" max="13315" width="3.75" style="1" customWidth="1"/>
    <col min="13316" max="13317" width="5" style="1" customWidth="1"/>
    <col min="13318" max="13319" width="3.75" style="1" customWidth="1"/>
    <col min="13320" max="13321" width="5" style="1" customWidth="1"/>
    <col min="13322" max="13323" width="3.75" style="1" customWidth="1"/>
    <col min="13324" max="13325" width="5" style="1" customWidth="1"/>
    <col min="13326" max="13327" width="3.75" style="1" customWidth="1"/>
    <col min="13328" max="13329" width="5" style="1" customWidth="1"/>
    <col min="13330" max="13331" width="3.75" style="1" customWidth="1"/>
    <col min="13332" max="13333" width="5" style="1" customWidth="1"/>
    <col min="13334" max="13335" width="3.75" style="1" customWidth="1"/>
    <col min="13336" max="13336" width="3.5" style="1" customWidth="1"/>
    <col min="13337" max="13567" width="9" style="1"/>
    <col min="13568" max="13568" width="5" style="1" customWidth="1"/>
    <col min="13569" max="13569" width="20.5" style="1" customWidth="1"/>
    <col min="13570" max="13570" width="2.375" style="1" customWidth="1"/>
    <col min="13571" max="13571" width="3.75" style="1" customWidth="1"/>
    <col min="13572" max="13573" width="5" style="1" customWidth="1"/>
    <col min="13574" max="13575" width="3.75" style="1" customWidth="1"/>
    <col min="13576" max="13577" width="5" style="1" customWidth="1"/>
    <col min="13578" max="13579" width="3.75" style="1" customWidth="1"/>
    <col min="13580" max="13581" width="5" style="1" customWidth="1"/>
    <col min="13582" max="13583" width="3.75" style="1" customWidth="1"/>
    <col min="13584" max="13585" width="5" style="1" customWidth="1"/>
    <col min="13586" max="13587" width="3.75" style="1" customWidth="1"/>
    <col min="13588" max="13589" width="5" style="1" customWidth="1"/>
    <col min="13590" max="13591" width="3.75" style="1" customWidth="1"/>
    <col min="13592" max="13592" width="3.5" style="1" customWidth="1"/>
    <col min="13593" max="13823" width="9" style="1"/>
    <col min="13824" max="13824" width="5" style="1" customWidth="1"/>
    <col min="13825" max="13825" width="20.5" style="1" customWidth="1"/>
    <col min="13826" max="13826" width="2.375" style="1" customWidth="1"/>
    <col min="13827" max="13827" width="3.75" style="1" customWidth="1"/>
    <col min="13828" max="13829" width="5" style="1" customWidth="1"/>
    <col min="13830" max="13831" width="3.75" style="1" customWidth="1"/>
    <col min="13832" max="13833" width="5" style="1" customWidth="1"/>
    <col min="13834" max="13835" width="3.75" style="1" customWidth="1"/>
    <col min="13836" max="13837" width="5" style="1" customWidth="1"/>
    <col min="13838" max="13839" width="3.75" style="1" customWidth="1"/>
    <col min="13840" max="13841" width="5" style="1" customWidth="1"/>
    <col min="13842" max="13843" width="3.75" style="1" customWidth="1"/>
    <col min="13844" max="13845" width="5" style="1" customWidth="1"/>
    <col min="13846" max="13847" width="3.75" style="1" customWidth="1"/>
    <col min="13848" max="13848" width="3.5" style="1" customWidth="1"/>
    <col min="13849" max="14079" width="9" style="1"/>
    <col min="14080" max="14080" width="5" style="1" customWidth="1"/>
    <col min="14081" max="14081" width="20.5" style="1" customWidth="1"/>
    <col min="14082" max="14082" width="2.375" style="1" customWidth="1"/>
    <col min="14083" max="14083" width="3.75" style="1" customWidth="1"/>
    <col min="14084" max="14085" width="5" style="1" customWidth="1"/>
    <col min="14086" max="14087" width="3.75" style="1" customWidth="1"/>
    <col min="14088" max="14089" width="5" style="1" customWidth="1"/>
    <col min="14090" max="14091" width="3.75" style="1" customWidth="1"/>
    <col min="14092" max="14093" width="5" style="1" customWidth="1"/>
    <col min="14094" max="14095" width="3.75" style="1" customWidth="1"/>
    <col min="14096" max="14097" width="5" style="1" customWidth="1"/>
    <col min="14098" max="14099" width="3.75" style="1" customWidth="1"/>
    <col min="14100" max="14101" width="5" style="1" customWidth="1"/>
    <col min="14102" max="14103" width="3.75" style="1" customWidth="1"/>
    <col min="14104" max="14104" width="3.5" style="1" customWidth="1"/>
    <col min="14105" max="14335" width="9" style="1"/>
    <col min="14336" max="14336" width="5" style="1" customWidth="1"/>
    <col min="14337" max="14337" width="20.5" style="1" customWidth="1"/>
    <col min="14338" max="14338" width="2.375" style="1" customWidth="1"/>
    <col min="14339" max="14339" width="3.75" style="1" customWidth="1"/>
    <col min="14340" max="14341" width="5" style="1" customWidth="1"/>
    <col min="14342" max="14343" width="3.75" style="1" customWidth="1"/>
    <col min="14344" max="14345" width="5" style="1" customWidth="1"/>
    <col min="14346" max="14347" width="3.75" style="1" customWidth="1"/>
    <col min="14348" max="14349" width="5" style="1" customWidth="1"/>
    <col min="14350" max="14351" width="3.75" style="1" customWidth="1"/>
    <col min="14352" max="14353" width="5" style="1" customWidth="1"/>
    <col min="14354" max="14355" width="3.75" style="1" customWidth="1"/>
    <col min="14356" max="14357" width="5" style="1" customWidth="1"/>
    <col min="14358" max="14359" width="3.75" style="1" customWidth="1"/>
    <col min="14360" max="14360" width="3.5" style="1" customWidth="1"/>
    <col min="14361" max="14591" width="9" style="1"/>
    <col min="14592" max="14592" width="5" style="1" customWidth="1"/>
    <col min="14593" max="14593" width="20.5" style="1" customWidth="1"/>
    <col min="14594" max="14594" width="2.375" style="1" customWidth="1"/>
    <col min="14595" max="14595" width="3.75" style="1" customWidth="1"/>
    <col min="14596" max="14597" width="5" style="1" customWidth="1"/>
    <col min="14598" max="14599" width="3.75" style="1" customWidth="1"/>
    <col min="14600" max="14601" width="5" style="1" customWidth="1"/>
    <col min="14602" max="14603" width="3.75" style="1" customWidth="1"/>
    <col min="14604" max="14605" width="5" style="1" customWidth="1"/>
    <col min="14606" max="14607" width="3.75" style="1" customWidth="1"/>
    <col min="14608" max="14609" width="5" style="1" customWidth="1"/>
    <col min="14610" max="14611" width="3.75" style="1" customWidth="1"/>
    <col min="14612" max="14613" width="5" style="1" customWidth="1"/>
    <col min="14614" max="14615" width="3.75" style="1" customWidth="1"/>
    <col min="14616" max="14616" width="3.5" style="1" customWidth="1"/>
    <col min="14617" max="14847" width="9" style="1"/>
    <col min="14848" max="14848" width="5" style="1" customWidth="1"/>
    <col min="14849" max="14849" width="20.5" style="1" customWidth="1"/>
    <col min="14850" max="14850" width="2.375" style="1" customWidth="1"/>
    <col min="14851" max="14851" width="3.75" style="1" customWidth="1"/>
    <col min="14852" max="14853" width="5" style="1" customWidth="1"/>
    <col min="14854" max="14855" width="3.75" style="1" customWidth="1"/>
    <col min="14856" max="14857" width="5" style="1" customWidth="1"/>
    <col min="14858" max="14859" width="3.75" style="1" customWidth="1"/>
    <col min="14860" max="14861" width="5" style="1" customWidth="1"/>
    <col min="14862" max="14863" width="3.75" style="1" customWidth="1"/>
    <col min="14864" max="14865" width="5" style="1" customWidth="1"/>
    <col min="14866" max="14867" width="3.75" style="1" customWidth="1"/>
    <col min="14868" max="14869" width="5" style="1" customWidth="1"/>
    <col min="14870" max="14871" width="3.75" style="1" customWidth="1"/>
    <col min="14872" max="14872" width="3.5" style="1" customWidth="1"/>
    <col min="14873" max="15103" width="9" style="1"/>
    <col min="15104" max="15104" width="5" style="1" customWidth="1"/>
    <col min="15105" max="15105" width="20.5" style="1" customWidth="1"/>
    <col min="15106" max="15106" width="2.375" style="1" customWidth="1"/>
    <col min="15107" max="15107" width="3.75" style="1" customWidth="1"/>
    <col min="15108" max="15109" width="5" style="1" customWidth="1"/>
    <col min="15110" max="15111" width="3.75" style="1" customWidth="1"/>
    <col min="15112" max="15113" width="5" style="1" customWidth="1"/>
    <col min="15114" max="15115" width="3.75" style="1" customWidth="1"/>
    <col min="15116" max="15117" width="5" style="1" customWidth="1"/>
    <col min="15118" max="15119" width="3.75" style="1" customWidth="1"/>
    <col min="15120" max="15121" width="5" style="1" customWidth="1"/>
    <col min="15122" max="15123" width="3.75" style="1" customWidth="1"/>
    <col min="15124" max="15125" width="5" style="1" customWidth="1"/>
    <col min="15126" max="15127" width="3.75" style="1" customWidth="1"/>
    <col min="15128" max="15128" width="3.5" style="1" customWidth="1"/>
    <col min="15129" max="15359" width="9" style="1"/>
    <col min="15360" max="15360" width="5" style="1" customWidth="1"/>
    <col min="15361" max="15361" width="20.5" style="1" customWidth="1"/>
    <col min="15362" max="15362" width="2.375" style="1" customWidth="1"/>
    <col min="15363" max="15363" width="3.75" style="1" customWidth="1"/>
    <col min="15364" max="15365" width="5" style="1" customWidth="1"/>
    <col min="15366" max="15367" width="3.75" style="1" customWidth="1"/>
    <col min="15368" max="15369" width="5" style="1" customWidth="1"/>
    <col min="15370" max="15371" width="3.75" style="1" customWidth="1"/>
    <col min="15372" max="15373" width="5" style="1" customWidth="1"/>
    <col min="15374" max="15375" width="3.75" style="1" customWidth="1"/>
    <col min="15376" max="15377" width="5" style="1" customWidth="1"/>
    <col min="15378" max="15379" width="3.75" style="1" customWidth="1"/>
    <col min="15380" max="15381" width="5" style="1" customWidth="1"/>
    <col min="15382" max="15383" width="3.75" style="1" customWidth="1"/>
    <col min="15384" max="15384" width="3.5" style="1" customWidth="1"/>
    <col min="15385" max="15615" width="9" style="1"/>
    <col min="15616" max="15616" width="5" style="1" customWidth="1"/>
    <col min="15617" max="15617" width="20.5" style="1" customWidth="1"/>
    <col min="15618" max="15618" width="2.375" style="1" customWidth="1"/>
    <col min="15619" max="15619" width="3.75" style="1" customWidth="1"/>
    <col min="15620" max="15621" width="5" style="1" customWidth="1"/>
    <col min="15622" max="15623" width="3.75" style="1" customWidth="1"/>
    <col min="15624" max="15625" width="5" style="1" customWidth="1"/>
    <col min="15626" max="15627" width="3.75" style="1" customWidth="1"/>
    <col min="15628" max="15629" width="5" style="1" customWidth="1"/>
    <col min="15630" max="15631" width="3.75" style="1" customWidth="1"/>
    <col min="15632" max="15633" width="5" style="1" customWidth="1"/>
    <col min="15634" max="15635" width="3.75" style="1" customWidth="1"/>
    <col min="15636" max="15637" width="5" style="1" customWidth="1"/>
    <col min="15638" max="15639" width="3.75" style="1" customWidth="1"/>
    <col min="15640" max="15640" width="3.5" style="1" customWidth="1"/>
    <col min="15641" max="15871" width="9" style="1"/>
    <col min="15872" max="15872" width="5" style="1" customWidth="1"/>
    <col min="15873" max="15873" width="20.5" style="1" customWidth="1"/>
    <col min="15874" max="15874" width="2.375" style="1" customWidth="1"/>
    <col min="15875" max="15875" width="3.75" style="1" customWidth="1"/>
    <col min="15876" max="15877" width="5" style="1" customWidth="1"/>
    <col min="15878" max="15879" width="3.75" style="1" customWidth="1"/>
    <col min="15880" max="15881" width="5" style="1" customWidth="1"/>
    <col min="15882" max="15883" width="3.75" style="1" customWidth="1"/>
    <col min="15884" max="15885" width="5" style="1" customWidth="1"/>
    <col min="15886" max="15887" width="3.75" style="1" customWidth="1"/>
    <col min="15888" max="15889" width="5" style="1" customWidth="1"/>
    <col min="15890" max="15891" width="3.75" style="1" customWidth="1"/>
    <col min="15892" max="15893" width="5" style="1" customWidth="1"/>
    <col min="15894" max="15895" width="3.75" style="1" customWidth="1"/>
    <col min="15896" max="15896" width="3.5" style="1" customWidth="1"/>
    <col min="15897" max="16127" width="9" style="1"/>
    <col min="16128" max="16128" width="5" style="1" customWidth="1"/>
    <col min="16129" max="16129" width="20.5" style="1" customWidth="1"/>
    <col min="16130" max="16130" width="2.375" style="1" customWidth="1"/>
    <col min="16131" max="16131" width="3.75" style="1" customWidth="1"/>
    <col min="16132" max="16133" width="5" style="1" customWidth="1"/>
    <col min="16134" max="16135" width="3.75" style="1" customWidth="1"/>
    <col min="16136" max="16137" width="5" style="1" customWidth="1"/>
    <col min="16138" max="16139" width="3.75" style="1" customWidth="1"/>
    <col min="16140" max="16141" width="5" style="1" customWidth="1"/>
    <col min="16142" max="16143" width="3.75" style="1" customWidth="1"/>
    <col min="16144" max="16145" width="5" style="1" customWidth="1"/>
    <col min="16146" max="16147" width="3.75" style="1" customWidth="1"/>
    <col min="16148" max="16149" width="5" style="1" customWidth="1"/>
    <col min="16150" max="16151" width="3.75" style="1" customWidth="1"/>
    <col min="16152" max="16152" width="3.5" style="1" customWidth="1"/>
    <col min="16153" max="16383" width="9" style="1"/>
    <col min="16384" max="16384" width="9" style="1" customWidth="1"/>
  </cols>
  <sheetData>
    <row r="1" spans="1:29" x14ac:dyDescent="0.2">
      <c r="A1" s="2" t="s">
        <v>0</v>
      </c>
      <c r="K1" s="127" t="s">
        <v>23</v>
      </c>
      <c r="L1" s="127"/>
      <c r="M1" s="127"/>
    </row>
    <row r="2" spans="1:29" x14ac:dyDescent="0.2">
      <c r="A2" s="2" t="s">
        <v>18</v>
      </c>
      <c r="K2" s="127"/>
      <c r="L2" s="127"/>
      <c r="M2" s="127"/>
      <c r="U2" s="128" t="str">
        <f ca="1">Y2</f>
        <v>PE9</v>
      </c>
      <c r="V2" s="128"/>
      <c r="W2" s="128"/>
      <c r="Y2" s="5" t="str">
        <f ca="1">MID(CELL("filename",A1),FIND("]",CELL("filename",A1))+1,256)</f>
        <v>PE9</v>
      </c>
    </row>
    <row r="3" spans="1:29" x14ac:dyDescent="0.2">
      <c r="A3" s="2" t="s">
        <v>1</v>
      </c>
      <c r="U3" s="128"/>
      <c r="V3" s="128"/>
      <c r="W3" s="128"/>
    </row>
    <row r="4" spans="1:29" x14ac:dyDescent="0.2">
      <c r="A4" s="8" t="s">
        <v>19</v>
      </c>
      <c r="I4" s="127" t="s">
        <v>3</v>
      </c>
      <c r="J4" s="127"/>
      <c r="K4" s="127"/>
      <c r="L4" s="127"/>
      <c r="M4" s="127"/>
      <c r="N4" s="127"/>
      <c r="O4" s="127"/>
      <c r="U4" s="128"/>
      <c r="V4" s="128"/>
      <c r="W4" s="128"/>
    </row>
    <row r="5" spans="1:29" x14ac:dyDescent="0.2">
      <c r="A5" s="9" t="s">
        <v>21</v>
      </c>
      <c r="B5" s="2" t="s">
        <v>27</v>
      </c>
      <c r="I5" s="127"/>
      <c r="J5" s="127"/>
      <c r="K5" s="127"/>
      <c r="L5" s="127"/>
      <c r="M5" s="127"/>
      <c r="N5" s="127"/>
      <c r="O5" s="127"/>
    </row>
    <row r="6" spans="1:29" ht="13.5" thickBot="1" x14ac:dyDescent="0.25"/>
    <row r="7" spans="1:29" ht="15.95" customHeight="1" thickTop="1" thickBot="1" x14ac:dyDescent="0.25">
      <c r="A7" s="150" t="s">
        <v>4</v>
      </c>
      <c r="B7" s="130"/>
      <c r="C7" s="130"/>
      <c r="D7" s="131" t="s">
        <v>311</v>
      </c>
      <c r="E7" s="132"/>
      <c r="F7" s="133"/>
      <c r="G7" s="134"/>
      <c r="H7" s="131" t="s">
        <v>312</v>
      </c>
      <c r="I7" s="132"/>
      <c r="J7" s="133"/>
      <c r="K7" s="134"/>
      <c r="L7" s="131" t="s">
        <v>318</v>
      </c>
      <c r="M7" s="132"/>
      <c r="N7" s="133"/>
      <c r="O7" s="134"/>
      <c r="P7" s="131" t="s">
        <v>315</v>
      </c>
      <c r="Q7" s="132"/>
      <c r="R7" s="133"/>
      <c r="S7" s="134"/>
      <c r="T7" s="131"/>
      <c r="U7" s="132"/>
      <c r="V7" s="133"/>
      <c r="W7" s="134"/>
      <c r="X7" s="131"/>
      <c r="Y7" s="132"/>
      <c r="Z7" s="133"/>
      <c r="AA7" s="134"/>
    </row>
    <row r="8" spans="1:29" ht="15" customHeight="1" thickTop="1" x14ac:dyDescent="0.2">
      <c r="A8" s="147" t="s">
        <v>5</v>
      </c>
      <c r="B8" s="136" t="s">
        <v>6</v>
      </c>
      <c r="C8" s="142" t="s">
        <v>25</v>
      </c>
      <c r="D8" s="138" t="s">
        <v>7</v>
      </c>
      <c r="E8" s="139"/>
      <c r="F8" s="140"/>
      <c r="G8" s="141"/>
      <c r="H8" s="144" t="s">
        <v>8</v>
      </c>
      <c r="I8" s="145"/>
      <c r="J8" s="145"/>
      <c r="K8" s="146"/>
      <c r="L8" s="144" t="s">
        <v>9</v>
      </c>
      <c r="M8" s="145"/>
      <c r="N8" s="145"/>
      <c r="O8" s="146"/>
      <c r="P8" s="138" t="s">
        <v>10</v>
      </c>
      <c r="Q8" s="139"/>
      <c r="R8" s="140"/>
      <c r="S8" s="141"/>
      <c r="T8" s="138" t="s">
        <v>11</v>
      </c>
      <c r="U8" s="139"/>
      <c r="V8" s="140"/>
      <c r="W8" s="141"/>
      <c r="X8" s="138" t="s">
        <v>24</v>
      </c>
      <c r="Y8" s="139"/>
      <c r="Z8" s="140"/>
      <c r="AA8" s="141"/>
    </row>
    <row r="9" spans="1:29" s="3" customFormat="1" ht="67.5" customHeight="1" thickBot="1" x14ac:dyDescent="0.3">
      <c r="A9" s="148"/>
      <c r="B9" s="137"/>
      <c r="C9" s="149"/>
      <c r="D9" s="10" t="s">
        <v>12</v>
      </c>
      <c r="E9" s="11" t="s">
        <v>13</v>
      </c>
      <c r="F9" s="12" t="s">
        <v>14</v>
      </c>
      <c r="G9" s="13" t="s">
        <v>15</v>
      </c>
      <c r="H9" s="10" t="s">
        <v>12</v>
      </c>
      <c r="I9" s="11" t="s">
        <v>13</v>
      </c>
      <c r="J9" s="12" t="s">
        <v>14</v>
      </c>
      <c r="K9" s="13" t="s">
        <v>15</v>
      </c>
      <c r="L9" s="10" t="s">
        <v>12</v>
      </c>
      <c r="M9" s="11" t="s">
        <v>13</v>
      </c>
      <c r="N9" s="12" t="s">
        <v>14</v>
      </c>
      <c r="O9" s="13" t="s">
        <v>15</v>
      </c>
      <c r="P9" s="10" t="s">
        <v>12</v>
      </c>
      <c r="Q9" s="11" t="s">
        <v>13</v>
      </c>
      <c r="R9" s="12" t="s">
        <v>14</v>
      </c>
      <c r="S9" s="13" t="s">
        <v>15</v>
      </c>
      <c r="T9" s="10" t="s">
        <v>12</v>
      </c>
      <c r="U9" s="11" t="s">
        <v>13</v>
      </c>
      <c r="V9" s="38" t="s">
        <v>14</v>
      </c>
      <c r="W9" s="13" t="s">
        <v>15</v>
      </c>
      <c r="X9" s="10" t="s">
        <v>12</v>
      </c>
      <c r="Y9" s="11" t="s">
        <v>13</v>
      </c>
      <c r="Z9" s="38" t="s">
        <v>14</v>
      </c>
      <c r="AA9" s="13" t="s">
        <v>15</v>
      </c>
      <c r="AC9" s="152" t="s">
        <v>319</v>
      </c>
    </row>
    <row r="10" spans="1:29" ht="18" customHeight="1" thickTop="1" x14ac:dyDescent="0.25">
      <c r="A10" s="53" t="s">
        <v>184</v>
      </c>
      <c r="B10" s="54" t="s">
        <v>244</v>
      </c>
      <c r="C10" s="50" t="s">
        <v>242</v>
      </c>
      <c r="D10" s="49"/>
      <c r="E10" s="50">
        <v>2</v>
      </c>
      <c r="F10" s="52"/>
      <c r="G10" s="51"/>
      <c r="H10" s="49" t="s">
        <v>242</v>
      </c>
      <c r="I10" s="50">
        <v>2</v>
      </c>
      <c r="J10" s="52"/>
      <c r="K10" s="51"/>
      <c r="L10" s="30"/>
      <c r="M10" s="123">
        <v>1.5</v>
      </c>
      <c r="N10" s="52"/>
      <c r="O10" s="51"/>
      <c r="P10" s="49" t="s">
        <v>242</v>
      </c>
      <c r="Q10" s="50">
        <v>2</v>
      </c>
      <c r="R10" s="52"/>
      <c r="S10" s="51"/>
      <c r="T10" s="49" t="s">
        <v>242</v>
      </c>
      <c r="U10" s="50">
        <v>6</v>
      </c>
      <c r="V10" s="73"/>
      <c r="W10" s="51"/>
      <c r="X10" s="49" t="s">
        <v>242</v>
      </c>
      <c r="Y10" s="50">
        <v>5</v>
      </c>
      <c r="Z10" s="73"/>
      <c r="AA10" s="51"/>
      <c r="AC10" s="153">
        <f>(E10+I10+M10+Q10+U10+Y10)/2</f>
        <v>9.25</v>
      </c>
    </row>
    <row r="11" spans="1:29" s="42" customFormat="1" ht="18" customHeight="1" x14ac:dyDescent="0.25">
      <c r="A11" s="64" t="s">
        <v>185</v>
      </c>
      <c r="B11" s="64" t="s">
        <v>245</v>
      </c>
      <c r="C11" s="44" t="s">
        <v>242</v>
      </c>
      <c r="D11" s="43"/>
      <c r="E11" s="44">
        <v>1.5</v>
      </c>
      <c r="F11" s="35"/>
      <c r="G11" s="56"/>
      <c r="H11" s="43" t="s">
        <v>242</v>
      </c>
      <c r="I11" s="44">
        <v>1</v>
      </c>
      <c r="J11" s="35"/>
      <c r="K11" s="56"/>
      <c r="L11" s="44"/>
      <c r="M11" s="30">
        <v>1.5</v>
      </c>
      <c r="N11" s="35"/>
      <c r="O11" s="56"/>
      <c r="P11" s="43" t="s">
        <v>242</v>
      </c>
      <c r="Q11" s="44">
        <v>1.5</v>
      </c>
      <c r="R11" s="35"/>
      <c r="S11" s="56"/>
      <c r="T11" s="43" t="s">
        <v>242</v>
      </c>
      <c r="U11" s="44">
        <v>6</v>
      </c>
      <c r="V11" s="74"/>
      <c r="W11" s="56"/>
      <c r="X11" s="43" t="s">
        <v>242</v>
      </c>
      <c r="Y11" s="44">
        <v>6</v>
      </c>
      <c r="Z11" s="74"/>
      <c r="AA11" s="56"/>
      <c r="AC11" s="153">
        <f t="shared" ref="AC11:AC25" si="0">(E11+I11+M11+Q11+U11+Y11)/2</f>
        <v>8.75</v>
      </c>
    </row>
    <row r="12" spans="1:29" ht="18" customHeight="1" x14ac:dyDescent="0.25">
      <c r="A12" s="53" t="s">
        <v>186</v>
      </c>
      <c r="B12" s="53" t="s">
        <v>246</v>
      </c>
      <c r="C12" s="30" t="s">
        <v>242</v>
      </c>
      <c r="D12" s="29"/>
      <c r="E12" s="30">
        <v>2</v>
      </c>
      <c r="F12" s="32"/>
      <c r="G12" s="33"/>
      <c r="H12" s="29" t="s">
        <v>242</v>
      </c>
      <c r="I12" s="30">
        <v>2</v>
      </c>
      <c r="J12" s="32"/>
      <c r="K12" s="33"/>
      <c r="L12" s="29"/>
      <c r="M12" s="30">
        <v>1.5</v>
      </c>
      <c r="N12" s="32"/>
      <c r="O12" s="33"/>
      <c r="P12" s="29" t="s">
        <v>242</v>
      </c>
      <c r="Q12" s="30">
        <v>2</v>
      </c>
      <c r="R12" s="32"/>
      <c r="S12" s="33"/>
      <c r="T12" s="29" t="s">
        <v>242</v>
      </c>
      <c r="U12" s="30">
        <v>6</v>
      </c>
      <c r="V12" s="75"/>
      <c r="W12" s="33"/>
      <c r="X12" s="29" t="s">
        <v>242</v>
      </c>
      <c r="Y12" s="30">
        <v>5</v>
      </c>
      <c r="Z12" s="75"/>
      <c r="AA12" s="33"/>
      <c r="AC12" s="153">
        <f t="shared" si="0"/>
        <v>9.25</v>
      </c>
    </row>
    <row r="13" spans="1:29" ht="18" customHeight="1" x14ac:dyDescent="0.25">
      <c r="A13" s="53" t="s">
        <v>187</v>
      </c>
      <c r="B13" s="47" t="s">
        <v>247</v>
      </c>
      <c r="C13" s="30" t="s">
        <v>242</v>
      </c>
      <c r="D13" s="29"/>
      <c r="E13" s="30">
        <v>1.5</v>
      </c>
      <c r="F13" s="32"/>
      <c r="G13" s="33"/>
      <c r="H13" s="29" t="s">
        <v>242</v>
      </c>
      <c r="I13" s="30">
        <v>1</v>
      </c>
      <c r="J13" s="32"/>
      <c r="K13" s="33"/>
      <c r="L13" s="29"/>
      <c r="M13" s="30">
        <v>1.5</v>
      </c>
      <c r="N13" s="32"/>
      <c r="O13" s="33"/>
      <c r="P13" s="29" t="s">
        <v>242</v>
      </c>
      <c r="Q13" s="30">
        <v>1.5</v>
      </c>
      <c r="R13" s="32"/>
      <c r="S13" s="33"/>
      <c r="T13" s="29" t="s">
        <v>242</v>
      </c>
      <c r="U13" s="30">
        <v>6</v>
      </c>
      <c r="V13" s="75"/>
      <c r="W13" s="33"/>
      <c r="X13" s="29" t="s">
        <v>242</v>
      </c>
      <c r="Y13" s="30">
        <v>5</v>
      </c>
      <c r="Z13" s="75"/>
      <c r="AA13" s="33"/>
      <c r="AC13" s="153">
        <f t="shared" si="0"/>
        <v>8.25</v>
      </c>
    </row>
    <row r="14" spans="1:29" ht="18" customHeight="1" x14ac:dyDescent="0.25">
      <c r="A14" s="53" t="s">
        <v>188</v>
      </c>
      <c r="B14" s="54" t="s">
        <v>248</v>
      </c>
      <c r="C14" s="30" t="s">
        <v>242</v>
      </c>
      <c r="D14" s="29"/>
      <c r="E14" s="30">
        <v>1.5</v>
      </c>
      <c r="F14" s="32"/>
      <c r="G14" s="31"/>
      <c r="H14" s="29" t="s">
        <v>242</v>
      </c>
      <c r="I14" s="30">
        <v>1</v>
      </c>
      <c r="J14" s="32"/>
      <c r="K14" s="33"/>
      <c r="L14" s="29"/>
      <c r="M14" s="30">
        <v>1.5</v>
      </c>
      <c r="N14" s="35"/>
      <c r="O14" s="33"/>
      <c r="P14" s="29" t="s">
        <v>242</v>
      </c>
      <c r="Q14" s="30">
        <v>1</v>
      </c>
      <c r="R14" s="32"/>
      <c r="S14" s="33"/>
      <c r="T14" s="29" t="s">
        <v>242</v>
      </c>
      <c r="U14" s="30">
        <v>5</v>
      </c>
      <c r="V14" s="75"/>
      <c r="W14" s="33"/>
      <c r="X14" s="29" t="s">
        <v>242</v>
      </c>
      <c r="Y14" s="30">
        <v>5</v>
      </c>
      <c r="Z14" s="75"/>
      <c r="AA14" s="33"/>
      <c r="AC14" s="153">
        <f t="shared" si="0"/>
        <v>7.5</v>
      </c>
    </row>
    <row r="15" spans="1:29" ht="18" customHeight="1" x14ac:dyDescent="0.25">
      <c r="A15" s="53" t="s">
        <v>189</v>
      </c>
      <c r="B15" s="54" t="s">
        <v>249</v>
      </c>
      <c r="C15" s="30" t="s">
        <v>242</v>
      </c>
      <c r="D15" s="29"/>
      <c r="E15" s="30">
        <v>1.5</v>
      </c>
      <c r="F15" s="32"/>
      <c r="G15" s="33"/>
      <c r="H15" s="29" t="s">
        <v>242</v>
      </c>
      <c r="I15" s="30">
        <v>1</v>
      </c>
      <c r="J15" s="32"/>
      <c r="K15" s="33"/>
      <c r="L15" s="29"/>
      <c r="M15" s="30">
        <v>1.5</v>
      </c>
      <c r="N15" s="32"/>
      <c r="O15" s="33"/>
      <c r="P15" s="29" t="s">
        <v>242</v>
      </c>
      <c r="Q15" s="30">
        <v>2</v>
      </c>
      <c r="R15" s="32"/>
      <c r="S15" s="33"/>
      <c r="T15" s="29" t="s">
        <v>242</v>
      </c>
      <c r="U15" s="30">
        <v>6</v>
      </c>
      <c r="V15" s="75"/>
      <c r="W15" s="33"/>
      <c r="X15" s="29" t="s">
        <v>242</v>
      </c>
      <c r="Y15" s="30">
        <v>5</v>
      </c>
      <c r="Z15" s="75"/>
      <c r="AA15" s="33"/>
      <c r="AC15" s="153">
        <f t="shared" si="0"/>
        <v>8.5</v>
      </c>
    </row>
    <row r="16" spans="1:29" ht="18" customHeight="1" x14ac:dyDescent="0.25">
      <c r="A16" s="53" t="s">
        <v>190</v>
      </c>
      <c r="B16" s="54" t="s">
        <v>250</v>
      </c>
      <c r="C16" s="30" t="s">
        <v>242</v>
      </c>
      <c r="D16" s="29"/>
      <c r="E16" s="30">
        <v>2</v>
      </c>
      <c r="F16" s="32"/>
      <c r="G16" s="33"/>
      <c r="H16" s="29" t="s">
        <v>242</v>
      </c>
      <c r="I16" s="30">
        <v>1.5</v>
      </c>
      <c r="J16" s="32"/>
      <c r="K16" s="33"/>
      <c r="L16" s="29"/>
      <c r="M16" s="30">
        <v>1.5</v>
      </c>
      <c r="N16" s="32"/>
      <c r="O16" s="33"/>
      <c r="P16" s="29" t="s">
        <v>242</v>
      </c>
      <c r="Q16" s="30">
        <v>2</v>
      </c>
      <c r="R16" s="32"/>
      <c r="S16" s="33"/>
      <c r="T16" s="29" t="s">
        <v>242</v>
      </c>
      <c r="U16" s="30">
        <v>6</v>
      </c>
      <c r="V16" s="75"/>
      <c r="W16" s="33"/>
      <c r="X16" s="29" t="s">
        <v>242</v>
      </c>
      <c r="Y16" s="30">
        <v>5</v>
      </c>
      <c r="Z16" s="75"/>
      <c r="AA16" s="33"/>
      <c r="AC16" s="153">
        <f t="shared" si="0"/>
        <v>9</v>
      </c>
    </row>
    <row r="17" spans="1:29" ht="18" customHeight="1" x14ac:dyDescent="0.25">
      <c r="A17" s="53" t="s">
        <v>191</v>
      </c>
      <c r="B17" s="54" t="s">
        <v>251</v>
      </c>
      <c r="C17" s="30" t="s">
        <v>242</v>
      </c>
      <c r="D17" s="29"/>
      <c r="E17" s="30">
        <v>1.5</v>
      </c>
      <c r="F17" s="32"/>
      <c r="G17" s="33"/>
      <c r="H17" s="29" t="s">
        <v>242</v>
      </c>
      <c r="I17" s="30">
        <v>1.5</v>
      </c>
      <c r="J17" s="32"/>
      <c r="K17" s="33"/>
      <c r="L17" s="29"/>
      <c r="M17" s="66">
        <v>1.5</v>
      </c>
      <c r="N17" s="32"/>
      <c r="O17" s="33"/>
      <c r="P17" s="29" t="s">
        <v>242</v>
      </c>
      <c r="Q17" s="30">
        <v>1.5</v>
      </c>
      <c r="R17" s="32"/>
      <c r="S17" s="33"/>
      <c r="T17" s="29" t="s">
        <v>242</v>
      </c>
      <c r="U17" s="30">
        <v>6</v>
      </c>
      <c r="V17" s="75"/>
      <c r="W17" s="33"/>
      <c r="X17" s="29" t="s">
        <v>242</v>
      </c>
      <c r="Y17" s="30">
        <v>5</v>
      </c>
      <c r="Z17" s="75"/>
      <c r="AA17" s="33"/>
      <c r="AC17" s="153">
        <f t="shared" si="0"/>
        <v>8.5</v>
      </c>
    </row>
    <row r="18" spans="1:29" ht="18" customHeight="1" x14ac:dyDescent="0.25">
      <c r="A18" s="113" t="s">
        <v>192</v>
      </c>
      <c r="B18" s="114" t="s">
        <v>252</v>
      </c>
      <c r="C18" s="95" t="s">
        <v>243</v>
      </c>
      <c r="D18" s="94"/>
      <c r="E18" s="95"/>
      <c r="F18" s="102"/>
      <c r="G18" s="121"/>
      <c r="H18" s="94"/>
      <c r="I18" s="95"/>
      <c r="J18" s="102"/>
      <c r="K18" s="121"/>
      <c r="L18" s="94"/>
      <c r="M18" s="95"/>
      <c r="N18" s="102"/>
      <c r="O18" s="121"/>
      <c r="P18" s="94"/>
      <c r="Q18" s="95"/>
      <c r="R18" s="102"/>
      <c r="S18" s="121"/>
      <c r="T18" s="94"/>
      <c r="U18" s="95"/>
      <c r="V18" s="122"/>
      <c r="W18" s="121"/>
      <c r="X18" s="94"/>
      <c r="Y18" s="95"/>
      <c r="Z18" s="122"/>
      <c r="AA18" s="121"/>
      <c r="AC18" s="154"/>
    </row>
    <row r="19" spans="1:29" ht="18" customHeight="1" x14ac:dyDescent="0.25">
      <c r="A19" s="53" t="s">
        <v>193</v>
      </c>
      <c r="B19" s="53" t="s">
        <v>253</v>
      </c>
      <c r="C19" s="30" t="s">
        <v>242</v>
      </c>
      <c r="D19" s="29"/>
      <c r="E19" s="30">
        <v>1.5</v>
      </c>
      <c r="F19" s="32"/>
      <c r="G19" s="33"/>
      <c r="H19" s="29" t="s">
        <v>242</v>
      </c>
      <c r="I19" s="30">
        <v>1</v>
      </c>
      <c r="J19" s="32"/>
      <c r="K19" s="33"/>
      <c r="L19" s="29"/>
      <c r="M19" s="30">
        <v>1.5</v>
      </c>
      <c r="N19" s="32"/>
      <c r="O19" s="33"/>
      <c r="P19" s="29" t="s">
        <v>242</v>
      </c>
      <c r="Q19" s="30">
        <v>1.2</v>
      </c>
      <c r="R19" s="32"/>
      <c r="S19" s="33"/>
      <c r="T19" s="29" t="s">
        <v>242</v>
      </c>
      <c r="U19" s="30">
        <v>5</v>
      </c>
      <c r="V19" s="75"/>
      <c r="W19" s="33"/>
      <c r="X19" s="29" t="s">
        <v>242</v>
      </c>
      <c r="Y19" s="30">
        <v>6</v>
      </c>
      <c r="Z19" s="75"/>
      <c r="AA19" s="33"/>
      <c r="AC19" s="153">
        <f t="shared" si="0"/>
        <v>8.1</v>
      </c>
    </row>
    <row r="20" spans="1:29" s="41" customFormat="1" ht="18" customHeight="1" x14ac:dyDescent="0.25">
      <c r="A20" s="113" t="s">
        <v>194</v>
      </c>
      <c r="B20" s="113" t="s">
        <v>254</v>
      </c>
      <c r="C20" s="95" t="s">
        <v>243</v>
      </c>
      <c r="D20" s="94"/>
      <c r="E20" s="95"/>
      <c r="F20" s="102"/>
      <c r="G20" s="121"/>
      <c r="H20" s="94"/>
      <c r="I20" s="95"/>
      <c r="J20" s="102"/>
      <c r="K20" s="121"/>
      <c r="L20" s="94"/>
      <c r="M20" s="95"/>
      <c r="N20" s="102"/>
      <c r="O20" s="121"/>
      <c r="P20" s="94"/>
      <c r="Q20" s="95"/>
      <c r="R20" s="102"/>
      <c r="S20" s="121"/>
      <c r="T20" s="94"/>
      <c r="U20" s="95"/>
      <c r="V20" s="122"/>
      <c r="W20" s="121"/>
      <c r="X20" s="94"/>
      <c r="Y20" s="95"/>
      <c r="Z20" s="122"/>
      <c r="AA20" s="121"/>
      <c r="AC20" s="154"/>
    </row>
    <row r="21" spans="1:29" s="41" customFormat="1" ht="18" customHeight="1" x14ac:dyDescent="0.25">
      <c r="A21" s="101" t="s">
        <v>195</v>
      </c>
      <c r="B21" s="101" t="s">
        <v>255</v>
      </c>
      <c r="C21" s="89" t="s">
        <v>242</v>
      </c>
      <c r="D21" s="88"/>
      <c r="E21" s="89">
        <v>1</v>
      </c>
      <c r="F21" s="100"/>
      <c r="G21" s="99"/>
      <c r="H21" s="88"/>
      <c r="I21" s="89"/>
      <c r="J21" s="100"/>
      <c r="K21" s="99"/>
      <c r="L21" s="88"/>
      <c r="M21" s="89"/>
      <c r="N21" s="100"/>
      <c r="O21" s="99"/>
      <c r="P21" s="88"/>
      <c r="Q21" s="89"/>
      <c r="R21" s="100"/>
      <c r="S21" s="99"/>
      <c r="T21" s="94"/>
      <c r="U21" s="89"/>
      <c r="V21" s="159"/>
      <c r="W21" s="99"/>
      <c r="X21" s="94"/>
      <c r="Y21" s="89"/>
      <c r="Z21" s="159"/>
      <c r="AA21" s="99"/>
      <c r="AC21" s="154"/>
    </row>
    <row r="22" spans="1:29" s="41" customFormat="1" ht="18" customHeight="1" x14ac:dyDescent="0.25">
      <c r="A22" s="64" t="s">
        <v>196</v>
      </c>
      <c r="B22" s="64" t="s">
        <v>256</v>
      </c>
      <c r="C22" s="44" t="s">
        <v>243</v>
      </c>
      <c r="D22" s="43"/>
      <c r="E22" s="44">
        <v>1.5</v>
      </c>
      <c r="F22" s="35"/>
      <c r="G22" s="56"/>
      <c r="H22" s="43" t="s">
        <v>242</v>
      </c>
      <c r="I22" s="44">
        <v>1.5</v>
      </c>
      <c r="J22" s="35"/>
      <c r="K22" s="56"/>
      <c r="L22" s="43"/>
      <c r="M22" s="44">
        <v>1.5</v>
      </c>
      <c r="N22" s="35"/>
      <c r="O22" s="56"/>
      <c r="P22" s="43" t="s">
        <v>242</v>
      </c>
      <c r="Q22" s="44">
        <v>1.5</v>
      </c>
      <c r="R22" s="35"/>
      <c r="S22" s="56"/>
      <c r="T22" s="43" t="s">
        <v>242</v>
      </c>
      <c r="U22" s="44">
        <v>6</v>
      </c>
      <c r="V22" s="74"/>
      <c r="W22" s="56"/>
      <c r="X22" s="43" t="s">
        <v>242</v>
      </c>
      <c r="Y22" s="44">
        <v>5</v>
      </c>
      <c r="Z22" s="74"/>
      <c r="AA22" s="56"/>
      <c r="AC22" s="153">
        <f t="shared" si="0"/>
        <v>8.5</v>
      </c>
    </row>
    <row r="23" spans="1:29" s="41" customFormat="1" ht="18" customHeight="1" x14ac:dyDescent="0.25">
      <c r="A23" s="64" t="s">
        <v>197</v>
      </c>
      <c r="B23" s="64" t="s">
        <v>257</v>
      </c>
      <c r="C23" s="44" t="s">
        <v>242</v>
      </c>
      <c r="D23" s="43"/>
      <c r="E23" s="44">
        <v>1</v>
      </c>
      <c r="F23" s="35"/>
      <c r="G23" s="56"/>
      <c r="H23" s="43" t="s">
        <v>242</v>
      </c>
      <c r="I23" s="44">
        <v>1.5</v>
      </c>
      <c r="J23" s="35"/>
      <c r="K23" s="56"/>
      <c r="L23" s="43"/>
      <c r="M23" s="44">
        <v>1</v>
      </c>
      <c r="N23" s="35"/>
      <c r="O23" s="56"/>
      <c r="P23" s="43" t="s">
        <v>242</v>
      </c>
      <c r="Q23" s="44">
        <v>1.5</v>
      </c>
      <c r="R23" s="35"/>
      <c r="S23" s="56"/>
      <c r="T23" s="43" t="s">
        <v>242</v>
      </c>
      <c r="U23" s="44">
        <v>3</v>
      </c>
      <c r="V23" s="74"/>
      <c r="W23" s="56"/>
      <c r="X23" s="43" t="s">
        <v>242</v>
      </c>
      <c r="Y23" s="44">
        <v>2</v>
      </c>
      <c r="Z23" s="74"/>
      <c r="AA23" s="56"/>
      <c r="AC23" s="153">
        <f t="shared" si="0"/>
        <v>5</v>
      </c>
    </row>
    <row r="24" spans="1:29" ht="18" customHeight="1" x14ac:dyDescent="0.25">
      <c r="A24" s="53" t="s">
        <v>168</v>
      </c>
      <c r="B24" s="54" t="s">
        <v>258</v>
      </c>
      <c r="C24" s="44" t="s">
        <v>242</v>
      </c>
      <c r="D24" s="43"/>
      <c r="E24" s="44">
        <v>1.5</v>
      </c>
      <c r="F24" s="35"/>
      <c r="G24" s="56"/>
      <c r="H24" s="43" t="s">
        <v>242</v>
      </c>
      <c r="I24" s="44">
        <v>1.5</v>
      </c>
      <c r="J24" s="35"/>
      <c r="K24" s="56"/>
      <c r="L24" s="43"/>
      <c r="M24" s="44">
        <v>2</v>
      </c>
      <c r="N24" s="35"/>
      <c r="O24" s="56"/>
      <c r="P24" s="43" t="s">
        <v>242</v>
      </c>
      <c r="Q24" s="44">
        <v>2</v>
      </c>
      <c r="R24" s="35"/>
      <c r="S24" s="56"/>
      <c r="T24" s="43" t="s">
        <v>242</v>
      </c>
      <c r="U24" s="44">
        <v>5.5</v>
      </c>
      <c r="V24" s="74"/>
      <c r="W24" s="56"/>
      <c r="X24" s="43" t="s">
        <v>242</v>
      </c>
      <c r="Y24" s="44">
        <v>4</v>
      </c>
      <c r="Z24" s="74"/>
      <c r="AA24" s="56"/>
      <c r="AC24" s="153">
        <f t="shared" si="0"/>
        <v>8.25</v>
      </c>
    </row>
    <row r="25" spans="1:29" ht="18" customHeight="1" x14ac:dyDescent="0.25">
      <c r="A25" s="53" t="s">
        <v>309</v>
      </c>
      <c r="B25" s="54" t="s">
        <v>310</v>
      </c>
      <c r="C25" s="30" t="s">
        <v>242</v>
      </c>
      <c r="D25" s="30"/>
      <c r="E25" s="30">
        <v>1.5</v>
      </c>
      <c r="F25" s="32"/>
      <c r="G25" s="30"/>
      <c r="H25" s="30" t="s">
        <v>242</v>
      </c>
      <c r="I25" s="30">
        <v>1</v>
      </c>
      <c r="J25" s="30"/>
      <c r="K25" s="30"/>
      <c r="L25" s="30"/>
      <c r="M25" s="30">
        <v>1.5</v>
      </c>
      <c r="N25" s="30"/>
      <c r="O25" s="30"/>
      <c r="P25" s="30" t="s">
        <v>242</v>
      </c>
      <c r="Q25" s="30">
        <v>1</v>
      </c>
      <c r="R25" s="30"/>
      <c r="S25" s="30"/>
      <c r="T25" s="30" t="s">
        <v>242</v>
      </c>
      <c r="U25" s="30">
        <v>5</v>
      </c>
      <c r="V25" s="57"/>
      <c r="W25" s="30"/>
      <c r="X25" s="30" t="s">
        <v>242</v>
      </c>
      <c r="Y25" s="30">
        <v>5</v>
      </c>
      <c r="Z25" s="57"/>
      <c r="AA25" s="30"/>
      <c r="AC25" s="153">
        <f t="shared" si="0"/>
        <v>7.5</v>
      </c>
    </row>
    <row r="26" spans="1:29" ht="18" customHeight="1" x14ac:dyDescent="0.25">
      <c r="A26" s="53"/>
      <c r="B26" s="54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57"/>
      <c r="W26" s="30"/>
      <c r="X26" s="76"/>
      <c r="Y26" s="77"/>
      <c r="Z26" s="77"/>
      <c r="AA26" s="77"/>
    </row>
    <row r="27" spans="1:29" ht="18" customHeight="1" x14ac:dyDescent="0.2">
      <c r="A27" s="22"/>
      <c r="B27" s="23"/>
      <c r="C27" s="22"/>
      <c r="D27" s="22"/>
      <c r="E27" s="22"/>
      <c r="F27" s="4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39"/>
      <c r="W27" s="22"/>
      <c r="X27" s="19"/>
      <c r="Y27" s="20"/>
    </row>
    <row r="28" spans="1:29" ht="18" customHeight="1" x14ac:dyDescent="0.2">
      <c r="A28" s="22"/>
      <c r="B28" s="23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39"/>
      <c r="W28" s="22"/>
      <c r="X28" s="19"/>
      <c r="Y28" s="20"/>
    </row>
    <row r="29" spans="1:29" ht="18" customHeight="1" x14ac:dyDescent="0.2">
      <c r="A29" s="22"/>
      <c r="B29" s="23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39"/>
      <c r="W29" s="22"/>
      <c r="X29" s="19"/>
      <c r="Y29" s="20"/>
    </row>
    <row r="30" spans="1:29" ht="18" customHeight="1" x14ac:dyDescent="0.2">
      <c r="A30" s="22"/>
      <c r="B30" s="23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39"/>
      <c r="W30" s="22"/>
      <c r="X30" s="19"/>
      <c r="Y30" s="20"/>
    </row>
    <row r="31" spans="1:29" ht="18" customHeight="1" x14ac:dyDescent="0.2">
      <c r="A31" s="22"/>
      <c r="B31" s="23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39"/>
      <c r="W31" s="22"/>
      <c r="X31" s="19"/>
      <c r="Y31" s="20"/>
    </row>
    <row r="32" spans="1:29" x14ac:dyDescent="0.2">
      <c r="A32" s="20"/>
      <c r="B32" s="20"/>
      <c r="C32" s="20"/>
      <c r="D32" s="20"/>
      <c r="E32" s="20"/>
      <c r="F32" s="20"/>
      <c r="G32" s="20"/>
      <c r="H32" s="21"/>
      <c r="I32" s="20"/>
      <c r="J32" s="20"/>
      <c r="K32" s="20"/>
      <c r="L32" s="21"/>
      <c r="M32" s="20"/>
      <c r="N32" s="20"/>
      <c r="O32" s="20"/>
      <c r="P32" s="20"/>
      <c r="Q32" s="20"/>
      <c r="R32" s="20"/>
      <c r="S32" s="20"/>
      <c r="T32" s="21"/>
      <c r="U32" s="20"/>
      <c r="V32" s="40"/>
      <c r="W32" s="20"/>
      <c r="X32" s="20"/>
      <c r="Y32" s="20"/>
    </row>
  </sheetData>
  <mergeCells count="19">
    <mergeCell ref="X7:AA7"/>
    <mergeCell ref="X8:AA8"/>
    <mergeCell ref="L8:O8"/>
    <mergeCell ref="P8:S8"/>
    <mergeCell ref="T8:W8"/>
    <mergeCell ref="A8:A9"/>
    <mergeCell ref="B8:B9"/>
    <mergeCell ref="C8:C9"/>
    <mergeCell ref="D8:G8"/>
    <mergeCell ref="H8:K8"/>
    <mergeCell ref="K1:M2"/>
    <mergeCell ref="U2:W4"/>
    <mergeCell ref="I4:O5"/>
    <mergeCell ref="A7:C7"/>
    <mergeCell ref="D7:G7"/>
    <mergeCell ref="H7:K7"/>
    <mergeCell ref="L7:O7"/>
    <mergeCell ref="P7:S7"/>
    <mergeCell ref="T7:W7"/>
  </mergeCells>
  <pageMargins left="0.25" right="0.25" top="0.75" bottom="0.75" header="0.3" footer="0.3"/>
  <pageSetup paperSize="9" scale="93" orientation="landscape" r:id="rId1"/>
  <headerFooter alignWithMargins="0"/>
  <colBreaks count="1" manualBreakCount="1">
    <brk id="27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PE1</vt:lpstr>
      <vt:lpstr>PE2</vt:lpstr>
      <vt:lpstr>PE3</vt:lpstr>
      <vt:lpstr>PE4</vt:lpstr>
      <vt:lpstr>PE5</vt:lpstr>
      <vt:lpstr>PE6</vt:lpstr>
      <vt:lpstr>PE7</vt:lpstr>
      <vt:lpstr>PE8</vt:lpstr>
      <vt:lpstr>PE9</vt:lpstr>
      <vt:lpstr>Novi</vt:lpstr>
      <vt:lpstr>Novi!Print_Area</vt:lpstr>
      <vt:lpstr>'PE1'!Print_Area</vt:lpstr>
      <vt:lpstr>'PE2'!Print_Area</vt:lpstr>
      <vt:lpstr>'PE3'!Print_Area</vt:lpstr>
      <vt:lpstr>'PE4'!Print_Area</vt:lpstr>
      <vt:lpstr>'PE5'!Print_Area</vt:lpstr>
      <vt:lpstr>'PE6'!Print_Area</vt:lpstr>
      <vt:lpstr>'PE7'!Print_Area</vt:lpstr>
      <vt:lpstr>'PE8'!Print_Area</vt:lpstr>
      <vt:lpstr>'PE9'!Print_Area</vt:lpstr>
    </vt:vector>
  </TitlesOfParts>
  <Manager/>
  <Company>BSG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BSG</dc:creator>
  <cp:keywords/>
  <dc:description/>
  <cp:lastModifiedBy>Dina</cp:lastModifiedBy>
  <cp:revision/>
  <cp:lastPrinted>2018-05-17T08:09:45Z</cp:lastPrinted>
  <dcterms:created xsi:type="dcterms:W3CDTF">2011-10-19T16:41:55Z</dcterms:created>
  <dcterms:modified xsi:type="dcterms:W3CDTF">2020-06-09T14:49:06Z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Tracking">
    <vt:lpwstr>false</vt:lpwstr>
  </property>
  <property fmtid="{D5CDD505-2E9C-101B-9397-08002B2CF9AE}" pid="3" name="Google.Documents.DocumentId">
    <vt:lpwstr>1ZXT5rDSsQhS9zbYCQteuuDu8WB6kRnP9DksCTEkVA8Y</vt:lpwstr>
  </property>
  <property fmtid="{D5CDD505-2E9C-101B-9397-08002B2CF9AE}" pid="4" name="Google.Documents.RevisionId">
    <vt:lpwstr>08901139878042924152</vt:lpwstr>
  </property>
  <property fmtid="{D5CDD505-2E9C-101B-9397-08002B2CF9AE}" pid="5" name="Google.Documents.PreviousRevisionId">
    <vt:lpwstr>04574312928461571168</vt:lpwstr>
  </property>
  <property fmtid="{D5CDD505-2E9C-101B-9397-08002B2CF9AE}" pid="6" name="Google.Documents.PluginVersion">
    <vt:lpwstr>2.0.2662.553</vt:lpwstr>
  </property>
  <property fmtid="{D5CDD505-2E9C-101B-9397-08002B2CF9AE}" pid="7" name="Google.Documents.MergeIncapabilityFlags">
    <vt:i4>0</vt:i4>
  </property>
</Properties>
</file>